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N10\Downloads\"/>
    </mc:Choice>
  </mc:AlternateContent>
  <xr:revisionPtr revIDLastSave="0" documentId="13_ncr:1_{A80C3C60-5CF5-47BE-AB93-0861155016EC}" xr6:coauthVersionLast="47" xr6:coauthVersionMax="47" xr10:uidLastSave="{00000000-0000-0000-0000-000000000000}"/>
  <bookViews>
    <workbookView xWindow="-120" yWindow="-120" windowWidth="20730" windowHeight="11160" tabRatio="890" activeTab="1" xr2:uid="{00000000-000D-0000-FFFF-FFFF00000000}"/>
  </bookViews>
  <sheets>
    <sheet name="Portada" sheetId="1" r:id="rId1"/>
    <sheet name="Objetos_Costo_Variables" sheetId="2" r:id="rId2"/>
    <sheet name="Matriz_Costeo_ABC" sheetId="3" r:id="rId3"/>
    <sheet name="Ventas " sheetId="10" r:id="rId4"/>
    <sheet name="Costo_Primo" sheetId="9" r:id="rId5"/>
    <sheet name="Cedula_MP" sheetId="4" r:id="rId6"/>
    <sheet name="Nomina" sheetId="5" r:id="rId7"/>
    <sheet name="CIF_Servicios_Publicos" sheetId="6" r:id="rId8"/>
    <sheet name="Area_Club_CIF" sheetId="8" r:id="rId9"/>
    <sheet name="CIF_Depreciacion" sheetId="7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" i="2" l="1"/>
  <c r="BE57" i="3"/>
  <c r="BF57" i="3"/>
  <c r="BG58" i="3"/>
  <c r="BF17" i="3"/>
  <c r="BE17" i="3"/>
  <c r="U17" i="3"/>
  <c r="BG25" i="3"/>
  <c r="AX4" i="3"/>
  <c r="K9" i="2"/>
  <c r="I12" i="2"/>
  <c r="E164" i="7"/>
  <c r="E162" i="7"/>
  <c r="M16" i="6"/>
  <c r="BA33" i="3" l="1"/>
  <c r="K160" i="7"/>
  <c r="L159" i="7" s="1"/>
  <c r="BB58" i="3" s="1"/>
  <c r="AV57" i="3"/>
  <c r="AV45" i="3"/>
  <c r="AV33" i="3"/>
  <c r="AV17" i="3"/>
  <c r="AV4" i="3"/>
  <c r="H61" i="6"/>
  <c r="K13" i="6" s="1"/>
  <c r="AQ57" i="3" s="1"/>
  <c r="H46" i="6"/>
  <c r="K16" i="6" s="1"/>
  <c r="H30" i="6"/>
  <c r="K11" i="6" s="1"/>
  <c r="H15" i="6"/>
  <c r="K12" i="6" s="1"/>
  <c r="BA17" i="3" l="1"/>
  <c r="BA45" i="3"/>
  <c r="BA4" i="3"/>
  <c r="BA57" i="3"/>
  <c r="BC57" i="3" s="1"/>
  <c r="AC33" i="3"/>
  <c r="AC4" i="3"/>
  <c r="AC17" i="3"/>
  <c r="AC57" i="3"/>
  <c r="AC45" i="3"/>
  <c r="AH57" i="3"/>
  <c r="AH4" i="3"/>
  <c r="AH17" i="3"/>
  <c r="AH45" i="3"/>
  <c r="AH33" i="3"/>
  <c r="AM45" i="3"/>
  <c r="AM17" i="3"/>
  <c r="AM57" i="3"/>
  <c r="AM4" i="3"/>
  <c r="AM33" i="3"/>
  <c r="H8" i="4" l="1"/>
  <c r="I25" i="5"/>
  <c r="G61" i="6"/>
  <c r="H46" i="4"/>
  <c r="M58" i="3" s="1"/>
  <c r="D49" i="10"/>
  <c r="I8" i="2" s="1"/>
  <c r="E29" i="2" s="1"/>
  <c r="N57" i="3" s="1"/>
  <c r="E25" i="2"/>
  <c r="L155" i="7"/>
  <c r="I9" i="2" l="1"/>
  <c r="AO57" i="3" s="1"/>
  <c r="AP57" i="3" s="1"/>
  <c r="C36" i="9"/>
  <c r="H3" i="4"/>
  <c r="B31" i="9"/>
  <c r="B30" i="9"/>
  <c r="B29" i="9"/>
  <c r="B24" i="9"/>
  <c r="B23" i="9"/>
  <c r="B22" i="9"/>
  <c r="B17" i="9"/>
  <c r="B16" i="9"/>
  <c r="B15" i="9"/>
  <c r="B14" i="9"/>
  <c r="B13" i="9"/>
  <c r="B12" i="9"/>
  <c r="B6" i="9"/>
  <c r="B5" i="9"/>
  <c r="B4" i="9"/>
  <c r="BD57" i="3" l="1"/>
  <c r="AQ38" i="3"/>
  <c r="AQ17" i="3"/>
  <c r="AQ50" i="3"/>
  <c r="AQ4" i="3"/>
  <c r="K6" i="6"/>
  <c r="L20" i="6" s="1"/>
  <c r="M20" i="6" s="1"/>
  <c r="AX33" i="3" l="1"/>
  <c r="AX17" i="3"/>
  <c r="AX57" i="3"/>
  <c r="AY57" i="3" s="1"/>
  <c r="AZ57" i="3" s="1"/>
  <c r="AX45" i="3"/>
  <c r="L13" i="6"/>
  <c r="BB4" i="3"/>
  <c r="BC4" i="3" s="1"/>
  <c r="L156" i="7"/>
  <c r="L12" i="6"/>
  <c r="M12" i="6" s="1"/>
  <c r="M13" i="6"/>
  <c r="AS57" i="3" s="1"/>
  <c r="AT57" i="3" s="1"/>
  <c r="AU57" i="3" s="1"/>
  <c r="L157" i="7"/>
  <c r="BB17" i="3" s="1"/>
  <c r="BC17" i="3" s="1"/>
  <c r="L158" i="7"/>
  <c r="BB50" i="3" s="1"/>
  <c r="BC45" i="3" s="1"/>
  <c r="L11" i="6"/>
  <c r="G46" i="6"/>
  <c r="G30" i="6"/>
  <c r="I30" i="6" s="1"/>
  <c r="G15" i="6"/>
  <c r="BB38" i="3" l="1"/>
  <c r="BC33" i="3" s="1"/>
  <c r="L160" i="7"/>
  <c r="AE57" i="3"/>
  <c r="AF57" i="3" s="1"/>
  <c r="AG57" i="3" s="1"/>
  <c r="AE45" i="3"/>
  <c r="AE4" i="3"/>
  <c r="AS50" i="3"/>
  <c r="AS38" i="3"/>
  <c r="AS4" i="3"/>
  <c r="AS17" i="3"/>
  <c r="AE33" i="3"/>
  <c r="K55" i="3"/>
  <c r="K54" i="3"/>
  <c r="K53" i="3"/>
  <c r="K48" i="3"/>
  <c r="N45" i="3"/>
  <c r="AY45" i="3" s="1"/>
  <c r="K47" i="3"/>
  <c r="K46" i="3"/>
  <c r="K45" i="3"/>
  <c r="H40" i="4"/>
  <c r="J46" i="3" s="1"/>
  <c r="K43" i="3"/>
  <c r="K42" i="3"/>
  <c r="K41" i="3"/>
  <c r="K36" i="3"/>
  <c r="N33" i="3"/>
  <c r="AO33" i="3" s="1"/>
  <c r="K34" i="3"/>
  <c r="K33" i="3"/>
  <c r="N17" i="3"/>
  <c r="AO17" i="3" s="1"/>
  <c r="K31" i="3"/>
  <c r="K30" i="3"/>
  <c r="K29" i="3"/>
  <c r="K28" i="3"/>
  <c r="K27" i="3"/>
  <c r="K25" i="3"/>
  <c r="K26" i="3"/>
  <c r="K24" i="3"/>
  <c r="K23" i="3"/>
  <c r="K22" i="3"/>
  <c r="K21" i="3"/>
  <c r="K20" i="3"/>
  <c r="K17" i="3"/>
  <c r="H38" i="4"/>
  <c r="J45" i="3" s="1"/>
  <c r="H39" i="4"/>
  <c r="J47" i="3" s="1"/>
  <c r="H41" i="4"/>
  <c r="J55" i="3" s="1"/>
  <c r="H42" i="4"/>
  <c r="J54" i="3" s="1"/>
  <c r="H43" i="4"/>
  <c r="J53" i="3" s="1"/>
  <c r="H37" i="4"/>
  <c r="J48" i="3" s="1"/>
  <c r="H30" i="4"/>
  <c r="J33" i="3" s="1"/>
  <c r="H31" i="4"/>
  <c r="J36" i="3" s="1"/>
  <c r="H32" i="4"/>
  <c r="J43" i="3" s="1"/>
  <c r="H33" i="4"/>
  <c r="J42" i="3" s="1"/>
  <c r="H34" i="4"/>
  <c r="J41" i="3" s="1"/>
  <c r="H29" i="4"/>
  <c r="J34" i="3" s="1"/>
  <c r="H15" i="4"/>
  <c r="J28" i="3" s="1"/>
  <c r="H16" i="4"/>
  <c r="J29" i="3" s="1"/>
  <c r="H17" i="4"/>
  <c r="J17" i="3" s="1"/>
  <c r="H18" i="4"/>
  <c r="J20" i="3" s="1"/>
  <c r="H19" i="4"/>
  <c r="J21" i="3" s="1"/>
  <c r="H20" i="4"/>
  <c r="J22" i="3" s="1"/>
  <c r="H21" i="4"/>
  <c r="J23" i="3" s="1"/>
  <c r="H22" i="4"/>
  <c r="J24" i="3" s="1"/>
  <c r="H23" i="4"/>
  <c r="J25" i="3" s="1"/>
  <c r="H24" i="4"/>
  <c r="J26" i="3" s="1"/>
  <c r="H25" i="4"/>
  <c r="J30" i="3" s="1"/>
  <c r="H26" i="4"/>
  <c r="J31" i="3" s="1"/>
  <c r="L31" i="3" s="1"/>
  <c r="H14" i="4"/>
  <c r="J27" i="3" s="1"/>
  <c r="H5" i="4"/>
  <c r="H6" i="4"/>
  <c r="H7" i="4"/>
  <c r="H9" i="4"/>
  <c r="H10" i="4"/>
  <c r="H11" i="4"/>
  <c r="H4" i="4"/>
  <c r="AF33" i="3" l="1"/>
  <c r="AY33" i="3"/>
  <c r="AT50" i="3"/>
  <c r="AY17" i="3"/>
  <c r="AT17" i="3"/>
  <c r="AF45" i="3"/>
  <c r="AO45" i="3"/>
  <c r="AT38" i="3"/>
  <c r="L30" i="3"/>
  <c r="M30" i="3" s="1"/>
  <c r="C17" i="9" s="1"/>
  <c r="L47" i="3"/>
  <c r="AE17" i="3"/>
  <c r="AF17" i="3" s="1"/>
  <c r="L27" i="3"/>
  <c r="L33" i="3"/>
  <c r="M33" i="3" s="1"/>
  <c r="C22" i="9" s="1"/>
  <c r="L34" i="3"/>
  <c r="L55" i="3"/>
  <c r="L54" i="3"/>
  <c r="L53" i="3"/>
  <c r="L46" i="3"/>
  <c r="L45" i="3"/>
  <c r="L26" i="3"/>
  <c r="L25" i="3"/>
  <c r="L41" i="3"/>
  <c r="L48" i="3"/>
  <c r="M48" i="3" s="1"/>
  <c r="C30" i="9" s="1"/>
  <c r="L43" i="3"/>
  <c r="L42" i="3"/>
  <c r="L36" i="3"/>
  <c r="M36" i="3" s="1"/>
  <c r="C23" i="9" s="1"/>
  <c r="L29" i="3"/>
  <c r="M29" i="3" s="1"/>
  <c r="C16" i="9" s="1"/>
  <c r="L17" i="3"/>
  <c r="M17" i="3" s="1"/>
  <c r="C12" i="9" s="1"/>
  <c r="L28" i="3"/>
  <c r="L24" i="3"/>
  <c r="L23" i="3"/>
  <c r="L22" i="3"/>
  <c r="L21" i="3"/>
  <c r="L20" i="3"/>
  <c r="N4" i="3"/>
  <c r="E161" i="7"/>
  <c r="AO4" i="3" l="1"/>
  <c r="AY4" i="3"/>
  <c r="M53" i="3"/>
  <c r="C31" i="9" s="1"/>
  <c r="AT4" i="3"/>
  <c r="AF4" i="3"/>
  <c r="M45" i="3"/>
  <c r="C29" i="9" s="1"/>
  <c r="M27" i="3"/>
  <c r="C15" i="9" s="1"/>
  <c r="M41" i="3"/>
  <c r="C24" i="9" s="1"/>
  <c r="M11" i="6"/>
  <c r="M24" i="3"/>
  <c r="C14" i="9" s="1"/>
  <c r="M20" i="3"/>
  <c r="C13" i="9" s="1"/>
  <c r="C25" i="5"/>
  <c r="C26" i="5"/>
  <c r="C27" i="5"/>
  <c r="C29" i="5"/>
  <c r="C30" i="5"/>
  <c r="K15" i="3"/>
  <c r="K14" i="3"/>
  <c r="K13" i="3"/>
  <c r="K11" i="3"/>
  <c r="K10" i="3"/>
  <c r="K9" i="3"/>
  <c r="K8" i="3"/>
  <c r="K4" i="3"/>
  <c r="AJ4" i="3" l="1"/>
  <c r="AK4" i="3" s="1"/>
  <c r="BE4" i="3" s="1"/>
  <c r="AJ57" i="3"/>
  <c r="AK57" i="3" s="1"/>
  <c r="AJ45" i="3"/>
  <c r="AK45" i="3" s="1"/>
  <c r="AJ33" i="3"/>
  <c r="AK33" i="3" s="1"/>
  <c r="AJ17" i="3"/>
  <c r="AK17" i="3" s="1"/>
  <c r="J15" i="3"/>
  <c r="J14" i="3"/>
  <c r="J13" i="3"/>
  <c r="J11" i="3"/>
  <c r="J10" i="3"/>
  <c r="J9" i="3"/>
  <c r="J8" i="3"/>
  <c r="L8" i="3" s="1"/>
  <c r="J4" i="3"/>
  <c r="L4" i="3" s="1"/>
  <c r="M4" i="3" s="1"/>
  <c r="I9" i="5"/>
  <c r="I8" i="5"/>
  <c r="I7" i="5"/>
  <c r="I6" i="5"/>
  <c r="I5" i="5"/>
  <c r="I4" i="5"/>
  <c r="AL57" i="3" l="1"/>
  <c r="C4" i="9"/>
  <c r="BE45" i="3"/>
  <c r="BE33" i="3"/>
  <c r="D7" i="5"/>
  <c r="D9" i="5"/>
  <c r="F9" i="5" s="1"/>
  <c r="H9" i="5" s="1"/>
  <c r="D8" i="5"/>
  <c r="F8" i="5" s="1"/>
  <c r="D6" i="5"/>
  <c r="D5" i="5"/>
  <c r="F5" i="5" s="1"/>
  <c r="D4" i="5"/>
  <c r="F4" i="5" s="1"/>
  <c r="E20" i="5"/>
  <c r="E19" i="5"/>
  <c r="E17" i="5"/>
  <c r="E16" i="5"/>
  <c r="E15" i="5"/>
  <c r="I10" i="5"/>
  <c r="G10" i="5"/>
  <c r="E10" i="5"/>
  <c r="E18" i="5"/>
  <c r="L9" i="3"/>
  <c r="L10" i="3"/>
  <c r="L11" i="3"/>
  <c r="L13" i="3"/>
  <c r="L14" i="3"/>
  <c r="L15" i="3"/>
  <c r="K7" i="2"/>
  <c r="K6" i="2"/>
  <c r="K5" i="2"/>
  <c r="K4" i="2"/>
  <c r="K8" i="2" l="1"/>
  <c r="J8" i="2" s="1"/>
  <c r="J9" i="2" s="1"/>
  <c r="M8" i="3"/>
  <c r="M13" i="3"/>
  <c r="C6" i="9" s="1"/>
  <c r="J9" i="5"/>
  <c r="L9" i="5" s="1"/>
  <c r="D20" i="5"/>
  <c r="E21" i="5"/>
  <c r="H8" i="5"/>
  <c r="F6" i="5"/>
  <c r="H5" i="5"/>
  <c r="D10" i="5"/>
  <c r="H4" i="5"/>
  <c r="D15" i="5" s="1"/>
  <c r="K15" i="5" s="1"/>
  <c r="F7" i="5"/>
  <c r="C5" i="9" l="1"/>
  <c r="K9" i="5"/>
  <c r="M9" i="5" s="1"/>
  <c r="N9" i="5" s="1"/>
  <c r="P15" i="5"/>
  <c r="O15" i="5"/>
  <c r="M15" i="5"/>
  <c r="N15" i="5"/>
  <c r="P20" i="5"/>
  <c r="O20" i="5"/>
  <c r="M20" i="5"/>
  <c r="N20" i="5"/>
  <c r="L15" i="5"/>
  <c r="J15" i="5"/>
  <c r="J20" i="5"/>
  <c r="K20" i="5"/>
  <c r="L20" i="5"/>
  <c r="F20" i="5"/>
  <c r="J4" i="5"/>
  <c r="L4" i="5" s="1"/>
  <c r="F15" i="5"/>
  <c r="G15" i="5" s="1"/>
  <c r="J5" i="5"/>
  <c r="D16" i="5"/>
  <c r="J8" i="5"/>
  <c r="D19" i="5"/>
  <c r="F10" i="5"/>
  <c r="H6" i="5"/>
  <c r="H7" i="5"/>
  <c r="D18" i="5" s="1"/>
  <c r="P16" i="5" l="1"/>
  <c r="O16" i="5"/>
  <c r="M16" i="5"/>
  <c r="N16" i="5"/>
  <c r="N18" i="5"/>
  <c r="O18" i="5"/>
  <c r="P18" i="5"/>
  <c r="M18" i="5"/>
  <c r="P19" i="5"/>
  <c r="N19" i="5"/>
  <c r="O19" i="5"/>
  <c r="M19" i="5"/>
  <c r="K4" i="5"/>
  <c r="M4" i="5" s="1"/>
  <c r="N4" i="5" s="1"/>
  <c r="H20" i="5"/>
  <c r="I20" i="5"/>
  <c r="G20" i="5"/>
  <c r="F18" i="5"/>
  <c r="J18" i="5"/>
  <c r="L18" i="5"/>
  <c r="K18" i="5"/>
  <c r="L19" i="5"/>
  <c r="J19" i="5"/>
  <c r="K19" i="5"/>
  <c r="H15" i="5"/>
  <c r="I15" i="5"/>
  <c r="L16" i="5"/>
  <c r="J16" i="5"/>
  <c r="K16" i="5"/>
  <c r="F19" i="5"/>
  <c r="J6" i="5"/>
  <c r="D17" i="5"/>
  <c r="K8" i="5"/>
  <c r="L8" i="5"/>
  <c r="L5" i="5"/>
  <c r="K5" i="5"/>
  <c r="F16" i="5"/>
  <c r="J7" i="5"/>
  <c r="H10" i="5"/>
  <c r="D30" i="5" l="1"/>
  <c r="E30" i="5" s="1"/>
  <c r="F30" i="5" s="1"/>
  <c r="G30" i="5" s="1"/>
  <c r="D25" i="5"/>
  <c r="E25" i="5" s="1"/>
  <c r="F25" i="5" s="1"/>
  <c r="G25" i="5" s="1"/>
  <c r="Q57" i="3" s="1"/>
  <c r="S57" i="3" s="1"/>
  <c r="D21" i="5"/>
  <c r="N17" i="5"/>
  <c r="P17" i="5"/>
  <c r="O17" i="5"/>
  <c r="M17" i="5"/>
  <c r="M5" i="5"/>
  <c r="N5" i="5" s="1"/>
  <c r="K17" i="5"/>
  <c r="K21" i="5" s="1"/>
  <c r="L17" i="5"/>
  <c r="J17" i="5"/>
  <c r="I19" i="5"/>
  <c r="G19" i="5"/>
  <c r="H19" i="5"/>
  <c r="H16" i="5"/>
  <c r="I16" i="5"/>
  <c r="G16" i="5"/>
  <c r="H18" i="5"/>
  <c r="I18" i="5"/>
  <c r="G18" i="5"/>
  <c r="F17" i="5"/>
  <c r="M8" i="5"/>
  <c r="N8" i="5" s="1"/>
  <c r="L6" i="5"/>
  <c r="K6" i="5"/>
  <c r="K7" i="5"/>
  <c r="L7" i="5"/>
  <c r="J10" i="5"/>
  <c r="X6" i="3" l="1"/>
  <c r="Z6" i="3" s="1"/>
  <c r="X59" i="3"/>
  <c r="Z59" i="3" s="1"/>
  <c r="Q4" i="3"/>
  <c r="S4" i="3" s="1"/>
  <c r="Q45" i="3"/>
  <c r="S45" i="3" s="1"/>
  <c r="Q33" i="3"/>
  <c r="S33" i="3" s="1"/>
  <c r="Q17" i="3"/>
  <c r="S17" i="3" s="1"/>
  <c r="X47" i="3"/>
  <c r="Z47" i="3" s="1"/>
  <c r="X35" i="3"/>
  <c r="Z35" i="3" s="1"/>
  <c r="X19" i="3"/>
  <c r="Z19" i="3" s="1"/>
  <c r="D28" i="5"/>
  <c r="E28" i="5" s="1"/>
  <c r="F28" i="5" s="1"/>
  <c r="G28" i="5" s="1"/>
  <c r="D26" i="5"/>
  <c r="E26" i="5" s="1"/>
  <c r="F26" i="5" s="1"/>
  <c r="D29" i="5"/>
  <c r="E29" i="5" s="1"/>
  <c r="F29" i="5" s="1"/>
  <c r="G29" i="5" s="1"/>
  <c r="N21" i="5"/>
  <c r="H17" i="5"/>
  <c r="H21" i="5" s="1"/>
  <c r="I17" i="5"/>
  <c r="I21" i="5" s="1"/>
  <c r="G17" i="5"/>
  <c r="G21" i="5" s="1"/>
  <c r="P21" i="5"/>
  <c r="F21" i="5"/>
  <c r="O21" i="5"/>
  <c r="M6" i="5"/>
  <c r="N6" i="5" s="1"/>
  <c r="J21" i="5"/>
  <c r="L10" i="5"/>
  <c r="M21" i="5"/>
  <c r="L21" i="5"/>
  <c r="M7" i="5"/>
  <c r="K10" i="5"/>
  <c r="X4" i="3" l="1"/>
  <c r="Z4" i="3" s="1"/>
  <c r="X57" i="3"/>
  <c r="Z57" i="3" s="1"/>
  <c r="Q6" i="3"/>
  <c r="S6" i="3" s="1"/>
  <c r="G26" i="5"/>
  <c r="Q59" i="3" s="1"/>
  <c r="S59" i="3" s="1"/>
  <c r="X5" i="3"/>
  <c r="Z5" i="3" s="1"/>
  <c r="X58" i="3"/>
  <c r="Z58" i="3" s="1"/>
  <c r="X46" i="3"/>
  <c r="Z46" i="3" s="1"/>
  <c r="X34" i="3"/>
  <c r="Z34" i="3" s="1"/>
  <c r="X18" i="3"/>
  <c r="Z18" i="3" s="1"/>
  <c r="X45" i="3"/>
  <c r="Z45" i="3" s="1"/>
  <c r="X33" i="3"/>
  <c r="Z33" i="3" s="1"/>
  <c r="X17" i="3"/>
  <c r="Z17" i="3" s="1"/>
  <c r="Q9" i="3"/>
  <c r="S9" i="3" s="1"/>
  <c r="D27" i="5"/>
  <c r="E27" i="5" s="1"/>
  <c r="F27" i="5" s="1"/>
  <c r="G27" i="5" s="1"/>
  <c r="P22" i="5"/>
  <c r="M10" i="5"/>
  <c r="N7" i="5"/>
  <c r="N10" i="5" s="1"/>
  <c r="AA4" i="3" l="1"/>
  <c r="G31" i="9" s="1"/>
  <c r="AA45" i="3"/>
  <c r="Q58" i="3"/>
  <c r="S58" i="3" s="1"/>
  <c r="T57" i="3" s="1"/>
  <c r="Q53" i="3"/>
  <c r="S53" i="3" s="1"/>
  <c r="T53" i="3" s="1"/>
  <c r="D31" i="9" s="1"/>
  <c r="E31" i="9" s="1"/>
  <c r="AA57" i="3"/>
  <c r="G13" i="9"/>
  <c r="G12" i="9"/>
  <c r="G15" i="9"/>
  <c r="G14" i="9"/>
  <c r="G22" i="9"/>
  <c r="G30" i="9"/>
  <c r="G17" i="9"/>
  <c r="G23" i="9"/>
  <c r="G29" i="9"/>
  <c r="AA33" i="3"/>
  <c r="AA17" i="3"/>
  <c r="G5" i="9"/>
  <c r="G6" i="9"/>
  <c r="G4" i="9"/>
  <c r="Q48" i="3"/>
  <c r="S48" i="3" s="1"/>
  <c r="T48" i="3" s="1"/>
  <c r="D30" i="9" s="1"/>
  <c r="E30" i="9" s="1"/>
  <c r="Q46" i="3"/>
  <c r="S46" i="3" s="1"/>
  <c r="T45" i="3" s="1"/>
  <c r="Q41" i="3"/>
  <c r="S41" i="3" s="1"/>
  <c r="T41" i="3" s="1"/>
  <c r="D24" i="9" s="1"/>
  <c r="E24" i="9" s="1"/>
  <c r="Q36" i="3"/>
  <c r="S36" i="3" s="1"/>
  <c r="T36" i="3" s="1"/>
  <c r="D23" i="9" s="1"/>
  <c r="E23" i="9" s="1"/>
  <c r="Q34" i="3"/>
  <c r="S34" i="3" s="1"/>
  <c r="T33" i="3" s="1"/>
  <c r="D22" i="9" s="1"/>
  <c r="E22" i="9" s="1"/>
  <c r="Q30" i="3"/>
  <c r="S30" i="3" s="1"/>
  <c r="T30" i="3" s="1"/>
  <c r="D17" i="9" s="1"/>
  <c r="Q29" i="3"/>
  <c r="S29" i="3" s="1"/>
  <c r="T29" i="3" s="1"/>
  <c r="D16" i="9" s="1"/>
  <c r="Q27" i="3"/>
  <c r="S27" i="3" s="1"/>
  <c r="T27" i="3" s="1"/>
  <c r="D15" i="9" s="1"/>
  <c r="Q24" i="3"/>
  <c r="S24" i="3" s="1"/>
  <c r="T24" i="3" s="1"/>
  <c r="D14" i="9" s="1"/>
  <c r="E14" i="9" s="1"/>
  <c r="Q20" i="3"/>
  <c r="S20" i="3" s="1"/>
  <c r="T20" i="3" s="1"/>
  <c r="D13" i="9" s="1"/>
  <c r="E13" i="9" s="1"/>
  <c r="Q18" i="3"/>
  <c r="S18" i="3" s="1"/>
  <c r="T17" i="3" s="1"/>
  <c r="D12" i="9" s="1"/>
  <c r="E12" i="9" s="1"/>
  <c r="Q8" i="3"/>
  <c r="S8" i="3" s="1"/>
  <c r="T8" i="3" s="1"/>
  <c r="D5" i="9" s="1"/>
  <c r="E5" i="9" s="1"/>
  <c r="Q13" i="3"/>
  <c r="S13" i="3" s="1"/>
  <c r="T13" i="3" s="1"/>
  <c r="D6" i="9" s="1"/>
  <c r="E6" i="9" s="1"/>
  <c r="Q5" i="3"/>
  <c r="S5" i="3" s="1"/>
  <c r="T4" i="3" s="1"/>
  <c r="G16" i="9" l="1"/>
  <c r="G24" i="9"/>
  <c r="BF45" i="3"/>
  <c r="BG50" i="3" s="1"/>
  <c r="L7" i="2" s="1"/>
  <c r="M7" i="2" s="1"/>
  <c r="N7" i="2" s="1"/>
  <c r="G36" i="9"/>
  <c r="H36" i="9" s="1"/>
  <c r="AB57" i="3"/>
  <c r="D36" i="9"/>
  <c r="E36" i="9" s="1"/>
  <c r="D4" i="9"/>
  <c r="E4" i="9" s="1"/>
  <c r="E7" i="9" s="1"/>
  <c r="F4" i="9" s="1"/>
  <c r="U4" i="3" s="1"/>
  <c r="BF4" i="3"/>
  <c r="BG9" i="3" s="1"/>
  <c r="L4" i="2" s="1"/>
  <c r="D29" i="9"/>
  <c r="E29" i="9" s="1"/>
  <c r="E15" i="9"/>
  <c r="E25" i="9"/>
  <c r="F22" i="9" s="1"/>
  <c r="L6" i="2"/>
  <c r="M6" i="2" s="1"/>
  <c r="N6" i="2" s="1"/>
  <c r="BF33" i="3"/>
  <c r="BG38" i="3" s="1"/>
  <c r="L5" i="2" s="1"/>
  <c r="M5" i="2" s="1"/>
  <c r="N5" i="2" s="1"/>
  <c r="AP4" i="3" l="1"/>
  <c r="AZ4" i="3"/>
  <c r="E32" i="9"/>
  <c r="F29" i="9" s="1"/>
  <c r="U45" i="3" s="1"/>
  <c r="AZ45" i="3" s="1"/>
  <c r="M4" i="2"/>
  <c r="BD4" i="3"/>
  <c r="AU4" i="3"/>
  <c r="AG4" i="3"/>
  <c r="AL4" i="3"/>
  <c r="F24" i="9"/>
  <c r="H24" i="9" s="1"/>
  <c r="AB4" i="3"/>
  <c r="U33" i="3"/>
  <c r="AZ33" i="3" s="1"/>
  <c r="H22" i="9"/>
  <c r="F23" i="9"/>
  <c r="E16" i="9"/>
  <c r="F5" i="9"/>
  <c r="F6" i="9"/>
  <c r="H4" i="9"/>
  <c r="AU33" i="3" l="1"/>
  <c r="AP33" i="3"/>
  <c r="AU45" i="3"/>
  <c r="AP45" i="3"/>
  <c r="U41" i="3"/>
  <c r="AZ41" i="3" s="1"/>
  <c r="F31" i="9"/>
  <c r="U53" i="3" s="1"/>
  <c r="AZ53" i="3" s="1"/>
  <c r="F30" i="9"/>
  <c r="H29" i="9"/>
  <c r="N4" i="2"/>
  <c r="M8" i="2"/>
  <c r="AL45" i="3"/>
  <c r="BD45" i="3"/>
  <c r="AL33" i="3"/>
  <c r="BD33" i="3"/>
  <c r="AB45" i="3"/>
  <c r="AG45" i="3"/>
  <c r="AB33" i="3"/>
  <c r="AG33" i="3"/>
  <c r="E17" i="9"/>
  <c r="U36" i="3"/>
  <c r="AZ36" i="3" s="1"/>
  <c r="H23" i="9"/>
  <c r="H25" i="9" s="1"/>
  <c r="F25" i="9"/>
  <c r="H6" i="9"/>
  <c r="U13" i="3"/>
  <c r="AZ13" i="3" s="1"/>
  <c r="H5" i="9"/>
  <c r="U8" i="3"/>
  <c r="AZ8" i="3" s="1"/>
  <c r="F7" i="9"/>
  <c r="H31" i="9" l="1"/>
  <c r="F32" i="9"/>
  <c r="AU53" i="3"/>
  <c r="AP53" i="3"/>
  <c r="AU13" i="3"/>
  <c r="AP13" i="3"/>
  <c r="AU36" i="3"/>
  <c r="AP36" i="3"/>
  <c r="AU8" i="3"/>
  <c r="AP8" i="3"/>
  <c r="AU41" i="3"/>
  <c r="AP41" i="3"/>
  <c r="AL41" i="3"/>
  <c r="AB41" i="3"/>
  <c r="AG41" i="3"/>
  <c r="BD41" i="3"/>
  <c r="U48" i="3"/>
  <c r="AZ48" i="3" s="1"/>
  <c r="H30" i="9"/>
  <c r="H32" i="9" s="1"/>
  <c r="N8" i="2"/>
  <c r="N9" i="2" s="1"/>
  <c r="L9" i="2"/>
  <c r="M9" i="2"/>
  <c r="H7" i="9"/>
  <c r="AL8" i="3"/>
  <c r="BD8" i="3"/>
  <c r="AL13" i="3"/>
  <c r="BD13" i="3"/>
  <c r="AL53" i="3"/>
  <c r="BD53" i="3"/>
  <c r="AL36" i="3"/>
  <c r="BD36" i="3"/>
  <c r="AB8" i="3"/>
  <c r="AG8" i="3"/>
  <c r="AB13" i="3"/>
  <c r="AG13" i="3"/>
  <c r="AB53" i="3"/>
  <c r="AG53" i="3"/>
  <c r="AB36" i="3"/>
  <c r="AG36" i="3"/>
  <c r="E18" i="9"/>
  <c r="AU48" i="3" l="1"/>
  <c r="AP48" i="3"/>
  <c r="AB48" i="3"/>
  <c r="BD48" i="3"/>
  <c r="AL48" i="3"/>
  <c r="AG48" i="3"/>
  <c r="F13" i="9"/>
  <c r="F12" i="9"/>
  <c r="F14" i="9"/>
  <c r="F15" i="9"/>
  <c r="F16" i="9"/>
  <c r="F17" i="9"/>
  <c r="U30" i="3" l="1"/>
  <c r="AZ30" i="3" s="1"/>
  <c r="H17" i="9"/>
  <c r="U27" i="3"/>
  <c r="AZ27" i="3" s="1"/>
  <c r="H15" i="9"/>
  <c r="F18" i="9"/>
  <c r="AZ17" i="3"/>
  <c r="H12" i="9"/>
  <c r="U29" i="3"/>
  <c r="AZ29" i="3" s="1"/>
  <c r="H16" i="9"/>
  <c r="U24" i="3"/>
  <c r="AZ24" i="3" s="1"/>
  <c r="H14" i="9"/>
  <c r="U20" i="3"/>
  <c r="AZ20" i="3" s="1"/>
  <c r="H13" i="9"/>
  <c r="AU20" i="3" l="1"/>
  <c r="AP20" i="3"/>
  <c r="AU29" i="3"/>
  <c r="AP29" i="3"/>
  <c r="AU27" i="3"/>
  <c r="AP27" i="3"/>
  <c r="AU24" i="3"/>
  <c r="AP24" i="3"/>
  <c r="AU17" i="3"/>
  <c r="AP17" i="3"/>
  <c r="AU30" i="3"/>
  <c r="AP30" i="3"/>
  <c r="AL20" i="3"/>
  <c r="BD20" i="3"/>
  <c r="AL24" i="3"/>
  <c r="BD24" i="3"/>
  <c r="AL29" i="3"/>
  <c r="BD29" i="3"/>
  <c r="AL17" i="3"/>
  <c r="BD17" i="3"/>
  <c r="AL27" i="3"/>
  <c r="BD27" i="3"/>
  <c r="AL30" i="3"/>
  <c r="BD30" i="3"/>
  <c r="AB20" i="3"/>
  <c r="AG20" i="3"/>
  <c r="AB24" i="3"/>
  <c r="AG24" i="3"/>
  <c r="AB29" i="3"/>
  <c r="AG29" i="3"/>
  <c r="AB17" i="3"/>
  <c r="AG17" i="3"/>
  <c r="AB27" i="3"/>
  <c r="AG27" i="3"/>
  <c r="AB30" i="3"/>
  <c r="AG30" i="3"/>
  <c r="H18" i="9"/>
</calcChain>
</file>

<file path=xl/sharedStrings.xml><?xml version="1.0" encoding="utf-8"?>
<sst xmlns="http://schemas.openxmlformats.org/spreadsheetml/2006/main" count="1153" uniqueCount="665">
  <si>
    <t>OBJETO DEL COSTO</t>
  </si>
  <si>
    <t>VALOR</t>
  </si>
  <si>
    <t xml:space="preserve">Salario Mínimo Mensual </t>
  </si>
  <si>
    <t>Aporte Salud Empleado</t>
  </si>
  <si>
    <t>Aporte Saludo Empleador</t>
  </si>
  <si>
    <t>VARIABLE</t>
  </si>
  <si>
    <t>#</t>
  </si>
  <si>
    <t>MACROPROCESOS</t>
  </si>
  <si>
    <t>PROCESOS PRIMARIOS</t>
  </si>
  <si>
    <t>PROCESOS SECUNDARIOS</t>
  </si>
  <si>
    <t>ACTIVIDADES PRIMARIAS</t>
  </si>
  <si>
    <t>SERVICIOS</t>
  </si>
  <si>
    <t>RESTAURANTE</t>
  </si>
  <si>
    <t>Preparación proteina</t>
  </si>
  <si>
    <t>Preparación vegetales</t>
  </si>
  <si>
    <t>MCP</t>
  </si>
  <si>
    <t>MCP 1</t>
  </si>
  <si>
    <t>PROCPRIM</t>
  </si>
  <si>
    <t>PROCPRIM1</t>
  </si>
  <si>
    <t>UNIDAD
MEDIDA</t>
  </si>
  <si>
    <t>MANO DE OBRA</t>
  </si>
  <si>
    <t>Chef</t>
  </si>
  <si>
    <t>Aux. cocina</t>
  </si>
  <si>
    <t>COSTO TOTAL CIF</t>
  </si>
  <si>
    <t>ITEM</t>
  </si>
  <si>
    <t>PLATO</t>
  </si>
  <si>
    <t>CANTIDAD</t>
  </si>
  <si>
    <t>PRECIO DE VENTA</t>
  </si>
  <si>
    <t>TOTAL GENERAL</t>
  </si>
  <si>
    <t>BABY BEEF-CARTA. 023</t>
  </si>
  <si>
    <t>MILANESA DE POLLO-CARTA. 023</t>
  </si>
  <si>
    <t>STEACK PIMIENTA-CARTA. 023</t>
  </si>
  <si>
    <t>TRUCHA (PLANCHA AJILLO)CARTA 023</t>
  </si>
  <si>
    <t>VENTAS 2023</t>
  </si>
  <si>
    <t>Salario Chef</t>
  </si>
  <si>
    <t>Salario Auxiliar Administrativo</t>
  </si>
  <si>
    <t xml:space="preserve">Sous chef </t>
  </si>
  <si>
    <t>Meseros</t>
  </si>
  <si>
    <t>Auxiliar contable</t>
  </si>
  <si>
    <t>Auxiliar Administrativo</t>
  </si>
  <si>
    <t xml:space="preserve">Salario Sous chef </t>
  </si>
  <si>
    <t>⁠Salario Auxiliar de cocina</t>
  </si>
  <si>
    <t>Salario Meseros</t>
  </si>
  <si>
    <t>Salario Auxiliar contable</t>
  </si>
  <si>
    <t>Aporte Pension Empleado</t>
  </si>
  <si>
    <t>Aporte Pension Empleador</t>
  </si>
  <si>
    <t>BABY BEEF</t>
  </si>
  <si>
    <t xml:space="preserve">LOMO BICHE </t>
  </si>
  <si>
    <t xml:space="preserve">CEBOLLA LARGA </t>
  </si>
  <si>
    <t xml:space="preserve">CEBOLLA PUERRRO </t>
  </si>
  <si>
    <t xml:space="preserve">CEBOLLETA </t>
  </si>
  <si>
    <t xml:space="preserve">PIMENTON ROJO </t>
  </si>
  <si>
    <t>PAPA RUSTICA</t>
  </si>
  <si>
    <t>LECHUGA CRESPA</t>
  </si>
  <si>
    <t>LECHUGA BATAVIA</t>
  </si>
  <si>
    <t>ESPINACA COMUN</t>
  </si>
  <si>
    <t>Lomo biche</t>
  </si>
  <si>
    <t>Preparación ensalada</t>
  </si>
  <si>
    <t>Lechuga crespa</t>
  </si>
  <si>
    <t>Lechuga batavia</t>
  </si>
  <si>
    <t>Pimenton Rojo</t>
  </si>
  <si>
    <t>Cebolla larga</t>
  </si>
  <si>
    <t>Cebolla puerro</t>
  </si>
  <si>
    <t>Cebolleta</t>
  </si>
  <si>
    <t>COSTO 
UNITARIO</t>
  </si>
  <si>
    <t>NETO PAGADO</t>
  </si>
  <si>
    <t>COMFACAUCA</t>
  </si>
  <si>
    <t>ICBF</t>
  </si>
  <si>
    <t>SENA</t>
  </si>
  <si>
    <t>Nº</t>
  </si>
  <si>
    <t xml:space="preserve"> TRABAJADOR</t>
  </si>
  <si>
    <t>BASICO</t>
  </si>
  <si>
    <t>SALARIO</t>
  </si>
  <si>
    <t>CANTIDAD PERSONAS</t>
  </si>
  <si>
    <t>TOTAL SALARIO</t>
  </si>
  <si>
    <t>TOTAL DEVENGO</t>
  </si>
  <si>
    <t>SALUD</t>
  </si>
  <si>
    <t>TOTALES:</t>
  </si>
  <si>
    <t xml:space="preserve">PROVISION PRESTACIONES SOCIALES Y APORTES PARAFISCALES </t>
  </si>
  <si>
    <t>TRABAJADOR</t>
  </si>
  <si>
    <t>AUX.TRANS PORTF</t>
  </si>
  <si>
    <t>TOTAL</t>
  </si>
  <si>
    <t>CESANTIAS</t>
  </si>
  <si>
    <t>INTERES CE/IAS</t>
  </si>
  <si>
    <t>PRIMA SERVICIOS</t>
  </si>
  <si>
    <t>VACACIONES</t>
  </si>
  <si>
    <t>PENSION</t>
  </si>
  <si>
    <t>ARL</t>
  </si>
  <si>
    <t>CARGO</t>
  </si>
  <si>
    <t>DIRECTA</t>
  </si>
  <si>
    <t>INDIRECTA</t>
  </si>
  <si>
    <t>TOTALES</t>
  </si>
  <si>
    <t>Auxiliar de cocina</t>
  </si>
  <si>
    <t>Auxilio de transporte</t>
  </si>
  <si>
    <t>Cantidad vendida producto Baby Beef mes</t>
  </si>
  <si>
    <t>Cantidad vendida producto Milanesa de Pollo mes</t>
  </si>
  <si>
    <t>Cantidad vendida producto Steack Pimienta mes</t>
  </si>
  <si>
    <t>Cantidad vendida producto Trucha mes</t>
  </si>
  <si>
    <t xml:space="preserve">Espinaca común </t>
  </si>
  <si>
    <t>UNIDAD DE 
MEDIDA</t>
  </si>
  <si>
    <t>STEACK PIMIENTA</t>
  </si>
  <si>
    <t xml:space="preserve">CREMA DE LECHE </t>
  </si>
  <si>
    <t>QUESO DOBLE CREMA</t>
  </si>
  <si>
    <t>PAPA GUATA</t>
  </si>
  <si>
    <t>LOMO BICHE</t>
  </si>
  <si>
    <t>CEBOLLA PUERRO</t>
  </si>
  <si>
    <t>CEBOLLETA</t>
  </si>
  <si>
    <t>ZANAHORIA</t>
  </si>
  <si>
    <t xml:space="preserve">HARINA DE TRIGO </t>
  </si>
  <si>
    <t>LECHE ENTERA</t>
  </si>
  <si>
    <t>MILANESA DE POLLO</t>
  </si>
  <si>
    <t>HUEVO DE GALLINA</t>
  </si>
  <si>
    <t>UND</t>
  </si>
  <si>
    <t>PECHUGA DE POLLO</t>
  </si>
  <si>
    <t>PAPAS A LA FRANCESA</t>
  </si>
  <si>
    <t>TRUCHA (AJILLO-PLANCHA)</t>
  </si>
  <si>
    <t>PLATANO VERDE</t>
  </si>
  <si>
    <t>TRUCHA ARCOIRIS</t>
  </si>
  <si>
    <t xml:space="preserve">LIMON </t>
  </si>
  <si>
    <t>Cesantias</t>
  </si>
  <si>
    <t>Intereses de Cesantias</t>
  </si>
  <si>
    <t>Prima de Servicios</t>
  </si>
  <si>
    <t>Vacaciones</t>
  </si>
  <si>
    <t>Aporte Comfacauca</t>
  </si>
  <si>
    <t>Aporte ARL</t>
  </si>
  <si>
    <t>Aporte ICBF</t>
  </si>
  <si>
    <t>Aporte Sena</t>
  </si>
  <si>
    <t>COSTO MANO DE OBRA</t>
  </si>
  <si>
    <t>VALOR 
MENSUAL</t>
  </si>
  <si>
    <t>VALOR 
DIARIO</t>
  </si>
  <si>
    <t>VALOR 
HORA</t>
  </si>
  <si>
    <t>VALOR
 MINUTO</t>
  </si>
  <si>
    <t>AUXILIO DE TRANSPORTE</t>
  </si>
  <si>
    <t>APORTES  E.P.S</t>
  </si>
  <si>
    <t>APORTES PENSION</t>
  </si>
  <si>
    <t>TOTAL 
DEDUCCIONES</t>
  </si>
  <si>
    <t>DIAS
LABORADOS</t>
  </si>
  <si>
    <t>PENSION
EMPLEADOR</t>
  </si>
  <si>
    <t>SALUD
EMPLEADOR</t>
  </si>
  <si>
    <t>N°</t>
  </si>
  <si>
    <t>PRODUCTO</t>
  </si>
  <si>
    <t>MATERIA
PRIMA</t>
  </si>
  <si>
    <t>SERVICIO ENERGIA ELECTRICA</t>
  </si>
  <si>
    <t>CONSUMO</t>
  </si>
  <si>
    <t>FC</t>
  </si>
  <si>
    <t>0000002862</t>
  </si>
  <si>
    <t>2023/01/11</t>
  </si>
  <si>
    <t>SERVICIO ENERGIA ELECTRICA DICIEMBRE</t>
  </si>
  <si>
    <t>0000002925</t>
  </si>
  <si>
    <t>2023/02/10</t>
  </si>
  <si>
    <t>SERVICIO ENERGIA ELECTRICA ENERO 2023</t>
  </si>
  <si>
    <t>0000002981</t>
  </si>
  <si>
    <t>2023/03/13</t>
  </si>
  <si>
    <t>SERVICIO ENERGIA ELECTRICA FEBRERO 2023</t>
  </si>
  <si>
    <t>0000003058</t>
  </si>
  <si>
    <t>2023/04/11</t>
  </si>
  <si>
    <t>SERVICIO ENERGIA ELECTRICA MARZO 2023</t>
  </si>
  <si>
    <t>0000003102</t>
  </si>
  <si>
    <t>2023/05/20</t>
  </si>
  <si>
    <t>SERVICIO ENERGIA ELECTRICA ABRIL 2023</t>
  </si>
  <si>
    <t>0000003157</t>
  </si>
  <si>
    <t>2023/06/27</t>
  </si>
  <si>
    <t>SERVICIO ENERGIA ELECTRICA MAYO 2023</t>
  </si>
  <si>
    <t>0000003237</t>
  </si>
  <si>
    <t>2023/07/31</t>
  </si>
  <si>
    <t>SERVICIO ENERGIA ELECTRICA JUNIO 2023</t>
  </si>
  <si>
    <t>0000003279</t>
  </si>
  <si>
    <t>2023/08/23</t>
  </si>
  <si>
    <t>SERVICIO ENERGIA ELECTRICA JULIO 2023</t>
  </si>
  <si>
    <t>0000003349</t>
  </si>
  <si>
    <t>2023/09/20</t>
  </si>
  <si>
    <t>SERVICIO ENERGIA ELECTRICA AGOSTO 2023</t>
  </si>
  <si>
    <t>0000003407</t>
  </si>
  <si>
    <t>2023/10/23</t>
  </si>
  <si>
    <t>SERVICIO ENERGIA ELECTRICA SEPTIEMBRE 23</t>
  </si>
  <si>
    <t>0000003465</t>
  </si>
  <si>
    <t>2023/11/23</t>
  </si>
  <si>
    <t>SERVICIO ENERGIA ELECTRICA OCTUBRE 2023</t>
  </si>
  <si>
    <t>0000003545</t>
  </si>
  <si>
    <t>2023/12/26</t>
  </si>
  <si>
    <t>SERVICIO ENERGIA ELECTRICA NOVIEMBRE 202</t>
  </si>
  <si>
    <t>SERVICIO ACUEDUCTO Y ALCANTARILLADO</t>
  </si>
  <si>
    <t>0000002845</t>
  </si>
  <si>
    <t>2023/01/06</t>
  </si>
  <si>
    <t>0000002910</t>
  </si>
  <si>
    <t>2023/02/07</t>
  </si>
  <si>
    <t>SERVICIO DE ACUEDUCTO ENERO</t>
  </si>
  <si>
    <t>0000002961</t>
  </si>
  <si>
    <t>2023/03/07</t>
  </si>
  <si>
    <t>SERVICIO DE ACUEDUCTO FEBRERO</t>
  </si>
  <si>
    <t>0000003031</t>
  </si>
  <si>
    <t>2023/04/10</t>
  </si>
  <si>
    <t>SERVICIO DE ACUEDUCTO MARZO</t>
  </si>
  <si>
    <t>0000003096</t>
  </si>
  <si>
    <t>2023/05/18</t>
  </si>
  <si>
    <t>SERVICIO DE ACUEDUCTO ABRIL</t>
  </si>
  <si>
    <t>0000003146</t>
  </si>
  <si>
    <t>2023/06/15</t>
  </si>
  <si>
    <t>SERVICIO DE  ACUEDUCTO MAYO</t>
  </si>
  <si>
    <t>0000003193</t>
  </si>
  <si>
    <t>2023/07/17</t>
  </si>
  <si>
    <t>SERVICIO DE  ACUEDUCTO JUNIO</t>
  </si>
  <si>
    <t>0000003260</t>
  </si>
  <si>
    <t>2023/08/15</t>
  </si>
  <si>
    <t>SERVICIO DE  ACUEDUCTO JULIO</t>
  </si>
  <si>
    <t>0000003347</t>
  </si>
  <si>
    <t>SERVICIO DE  ACUEDUCTO AGOSTO</t>
  </si>
  <si>
    <t>0000003392</t>
  </si>
  <si>
    <t>2023/10/13</t>
  </si>
  <si>
    <t>SERVICIO DE ACUEDUCTO SEPTIEMBRE</t>
  </si>
  <si>
    <t>0000003448</t>
  </si>
  <si>
    <t>2023/11/18</t>
  </si>
  <si>
    <t>SERVICIO DE ACUEDUCTO OCTUBRE</t>
  </si>
  <si>
    <t>0000003519</t>
  </si>
  <si>
    <t>2023/12/15</t>
  </si>
  <si>
    <t>SERVICIO DE ACUEDUCTO NOVIEMBRE</t>
  </si>
  <si>
    <t>SERVICIO GAS DOMICILIARIO</t>
  </si>
  <si>
    <t>0000002853</t>
  </si>
  <si>
    <t>SERVICIO GAS MES DE DICIEMBRE 2022</t>
  </si>
  <si>
    <t>0000002924</t>
  </si>
  <si>
    <t>2023/02/06</t>
  </si>
  <si>
    <t>SERVICIO DE GAS DOMICILIARIO ENERO 2023</t>
  </si>
  <si>
    <t>0000002984</t>
  </si>
  <si>
    <t>2023/03/15</t>
  </si>
  <si>
    <t>SERVICIO GAS DOMICILIARIO FEBRERO 2023</t>
  </si>
  <si>
    <t>0000003061</t>
  </si>
  <si>
    <t>2023/04/15</t>
  </si>
  <si>
    <t>SERVICIO GAS DOMICILIARIO MARZO 2023</t>
  </si>
  <si>
    <t>0000003104</t>
  </si>
  <si>
    <t>SERVICIO GAS DOMICILIARIO ABRIL 2023</t>
  </si>
  <si>
    <t>0000003145</t>
  </si>
  <si>
    <t>SERVICIO DE GAS DOMICILIARIO MAYO</t>
  </si>
  <si>
    <t>0000003218</t>
  </si>
  <si>
    <t>2023/07/21</t>
  </si>
  <si>
    <t>SERVICIO DE GAS DOMICILIARIO JUNIO</t>
  </si>
  <si>
    <t>0000003281</t>
  </si>
  <si>
    <t>2023/08/24</t>
  </si>
  <si>
    <t>SERVICIO DE GAS DOMICILIARIO JULIO</t>
  </si>
  <si>
    <t>0000003348</t>
  </si>
  <si>
    <t>SERVICIO DE GAS DOMICILIARIO AGOSTO</t>
  </si>
  <si>
    <t>0000003406</t>
  </si>
  <si>
    <t>SERVICIO DE GAS DOMICILIARIO SEPTIEMBRE</t>
  </si>
  <si>
    <t>0000003470</t>
  </si>
  <si>
    <t>2023/11/24</t>
  </si>
  <si>
    <t>SERVICIO DE GAS DOMICILIARIO OCTUBRE</t>
  </si>
  <si>
    <t>0000003532</t>
  </si>
  <si>
    <t>2023/12/22</t>
  </si>
  <si>
    <t>SERVICO DE GAS DOMICILIARIO NOVIEMBRE</t>
  </si>
  <si>
    <t>SERVICIO ACUEDUTO Y ALCANTARILLADO DICIEMBRE</t>
  </si>
  <si>
    <t>PROMEDIO CONSUMO SERVICIO GAS DOMICILIARIO POR MES</t>
  </si>
  <si>
    <t>CÓDIGO:</t>
  </si>
  <si>
    <t>VERSIÓN: 2</t>
  </si>
  <si>
    <t>FECHA:12/10/23</t>
  </si>
  <si>
    <t>PÁGINA: 1 DE 1</t>
  </si>
  <si>
    <t>DIA</t>
  </si>
  <si>
    <t>MES</t>
  </si>
  <si>
    <t>AÑO</t>
  </si>
  <si>
    <t>CANTIDAD POR UNIDAD</t>
  </si>
  <si>
    <t>DESCRIPCIÓN DEL ELEMENTO</t>
  </si>
  <si>
    <t>MARCA</t>
  </si>
  <si>
    <t>No. DE SERIE</t>
  </si>
  <si>
    <t>ESTADO DE CONSERVACION</t>
  </si>
  <si>
    <t>B</t>
  </si>
  <si>
    <t>R</t>
  </si>
  <si>
    <t>M</t>
  </si>
  <si>
    <t>ASADORES PARA AREPAS</t>
  </si>
  <si>
    <t>X</t>
  </si>
  <si>
    <t>BALANZA DIGITAL DE 40KL</t>
  </si>
  <si>
    <t>HT80148</t>
  </si>
  <si>
    <t>BANDEJA PLASTICA</t>
  </si>
  <si>
    <t>BASE DE ESCURRIDOR</t>
  </si>
  <si>
    <t>BASE PARA PIZZA</t>
  </si>
  <si>
    <t xml:space="preserve">BATIDORA DE MANO </t>
  </si>
  <si>
    <t>OSTER</t>
  </si>
  <si>
    <t>BOLW ROJO MEDIANO  (L)</t>
  </si>
  <si>
    <t>BOWL GRANDE (L)</t>
  </si>
  <si>
    <t>BOWL MEDIANO (M)</t>
  </si>
  <si>
    <t>BOWL PEQUEÑO (S)</t>
  </si>
  <si>
    <t xml:space="preserve">CALCULADORA </t>
  </si>
  <si>
    <t>CASIO</t>
  </si>
  <si>
    <t>KK-837-12</t>
  </si>
  <si>
    <t>KADIO</t>
  </si>
  <si>
    <t>KD-100B</t>
  </si>
  <si>
    <t>CANASTAS DE PLASTICO</t>
  </si>
  <si>
    <t>CASEROLAS</t>
  </si>
  <si>
    <t>IMUSA</t>
  </si>
  <si>
    <t>COLADORES GRANDES</t>
  </si>
  <si>
    <t>COLADORES PEQUEÑOS</t>
  </si>
  <si>
    <t>COMPRESOR DE GAS (SOPLETE)</t>
  </si>
  <si>
    <t>CORTA CINTA</t>
  </si>
  <si>
    <t>CORTA PIZZA</t>
  </si>
  <si>
    <t xml:space="preserve">COSEDORA </t>
  </si>
  <si>
    <t>STUDMARK</t>
  </si>
  <si>
    <t>ST-04351</t>
  </si>
  <si>
    <t>OFFI-ESCO</t>
  </si>
  <si>
    <t>OE-338</t>
  </si>
  <si>
    <t>COSEDORA  PEQUEÑA</t>
  </si>
  <si>
    <t>CUCHARA DE HELADO</t>
  </si>
  <si>
    <t>CUCHARAS DE PALO</t>
  </si>
  <si>
    <t xml:space="preserve">CUCHARON ESCURRIDOR </t>
  </si>
  <si>
    <t>CUCHARORES SOPEROS</t>
  </si>
  <si>
    <t xml:space="preserve">CUCHILLO CIERRA </t>
  </si>
  <si>
    <t>TRAMONTINA</t>
  </si>
  <si>
    <t xml:space="preserve">CUCHILLO FILETEADOR 11 PULGADAS </t>
  </si>
  <si>
    <t>CUCHILLOS CHEF</t>
  </si>
  <si>
    <t xml:space="preserve">CUCHULLO FILETEADOR 12 PULGADAS </t>
  </si>
  <si>
    <t xml:space="preserve">ESCURRIDORES </t>
  </si>
  <si>
    <t xml:space="preserve">ESPATULAS </t>
  </si>
  <si>
    <t>EXPRIDORES DE NARANJA</t>
  </si>
  <si>
    <t xml:space="preserve">EXPRIMIDOR DE LIMONES </t>
  </si>
  <si>
    <t xml:space="preserve">EXPRIMIDOR METALICO </t>
  </si>
  <si>
    <t>GLOBOS</t>
  </si>
  <si>
    <t>GRILLADORES</t>
  </si>
  <si>
    <t>IMPRESORA TERMICA</t>
  </si>
  <si>
    <t>80 MM JALTECH</t>
  </si>
  <si>
    <t>JARRA PEQUEÑA MEDIDORA</t>
  </si>
  <si>
    <t>JARRAS PLASTICAS</t>
  </si>
  <si>
    <t xml:space="preserve">LAMBONAS </t>
  </si>
  <si>
    <t>LATAS MOLDE GRANDE</t>
  </si>
  <si>
    <t>LATAS MOLDE PEQUEÑAS</t>
  </si>
  <si>
    <t>LATAS PANADERAS CUADRADAS</t>
  </si>
  <si>
    <t>LATAS PANADERAS GRANDE</t>
  </si>
  <si>
    <t xml:space="preserve">MESONES EN ACERO INOXIDABLE </t>
  </si>
  <si>
    <t>MOLDES DE TORTA 1 LB</t>
  </si>
  <si>
    <t>MOLDES DE TORTA 1/2 LB</t>
  </si>
  <si>
    <t>MOTOR LICUADORA</t>
  </si>
  <si>
    <t>0044655-013-000</t>
  </si>
  <si>
    <t xml:space="preserve">OLLA PITADORA GRANDE </t>
  </si>
  <si>
    <t xml:space="preserve">OLLA PITADORA PEQUEÑA </t>
  </si>
  <si>
    <t>OLLAS MEDIANAS</t>
  </si>
  <si>
    <t>OLLAS PEQUEÑAS</t>
  </si>
  <si>
    <t>PAILAS</t>
  </si>
  <si>
    <t>PALA PIZZERIA</t>
  </si>
  <si>
    <t>PINZAS CON BORDE PLASTICO</t>
  </si>
  <si>
    <t>PINZAS METALICAS</t>
  </si>
  <si>
    <t xml:space="preserve">PORCIONADOR METALICO </t>
  </si>
  <si>
    <t>RAYADORES</t>
  </si>
  <si>
    <t>RODILLO</t>
  </si>
  <si>
    <t>SANDWICHERA</t>
  </si>
  <si>
    <t>SARTEN DE ACERO GRANDE</t>
  </si>
  <si>
    <t>SARTEN DE ACERO MEDIANO</t>
  </si>
  <si>
    <t>SARTENES GRANDES</t>
  </si>
  <si>
    <t>SARTENES MEDIANOS</t>
  </si>
  <si>
    <t>SARTENES PEQUEÑO</t>
  </si>
  <si>
    <t>TABLA AMARILLA</t>
  </si>
  <si>
    <t>TABLA AZUL</t>
  </si>
  <si>
    <t>TABLA ROJA</t>
  </si>
  <si>
    <t>TABLA VERDE</t>
  </si>
  <si>
    <t>TABLAS BLANCAS GRANDES</t>
  </si>
  <si>
    <t xml:space="preserve">TABLAS BLANCAS MEDIANAS </t>
  </si>
  <si>
    <t>TABLAS DE PAPELERIA</t>
  </si>
  <si>
    <t xml:space="preserve">TABLERO DE ESCRITURA </t>
  </si>
  <si>
    <t>TAMIZADOR CHINO</t>
  </si>
  <si>
    <t>TAPAS DE OLLAS</t>
  </si>
  <si>
    <t>TAPER PLASTICO COMPLETO</t>
  </si>
  <si>
    <t>TARROS DE BASURA</t>
  </si>
  <si>
    <t xml:space="preserve">TELEFONO </t>
  </si>
  <si>
    <t>PANASONIC</t>
  </si>
  <si>
    <t>KX-TS500LX</t>
  </si>
  <si>
    <t>TETEROS GRANDES</t>
  </si>
  <si>
    <t>TETEROS PEQUEÑOS</t>
  </si>
  <si>
    <t>TIJERAS</t>
  </si>
  <si>
    <t xml:space="preserve">WOK GRANDE </t>
  </si>
  <si>
    <t xml:space="preserve">WOK PEQUEÑOS </t>
  </si>
  <si>
    <t xml:space="preserve">HORNO MICROONDAS </t>
  </si>
  <si>
    <t xml:space="preserve">SANDUCHERA </t>
  </si>
  <si>
    <t>INTERCA</t>
  </si>
  <si>
    <t xml:space="preserve">BATIDORA MANUAL </t>
  </si>
  <si>
    <t>BALANZA DE RELOJ</t>
  </si>
  <si>
    <t>EL TRIUNFO</t>
  </si>
  <si>
    <t xml:space="preserve">BANDEJAS PLASTICAS </t>
  </si>
  <si>
    <t>CAMPANA EXTRACTORA</t>
  </si>
  <si>
    <t>CARRETA</t>
  </si>
  <si>
    <t xml:space="preserve">CONGELADOR </t>
  </si>
  <si>
    <t>OPEN</t>
  </si>
  <si>
    <t>BD688SF</t>
  </si>
  <si>
    <t>CUARTO FRIO  Y DE CONGELACION</t>
  </si>
  <si>
    <t xml:space="preserve">CUCHARA SOPERA </t>
  </si>
  <si>
    <t>ALUMINIO</t>
  </si>
  <si>
    <t>ESCRITORIO CON CAJONES</t>
  </si>
  <si>
    <t>ESCRITORIO SENCILLO</t>
  </si>
  <si>
    <t xml:space="preserve">ESTANTES METALICOS </t>
  </si>
  <si>
    <t xml:space="preserve">ESTUFA 3 PUESTOS CON PLANCHA </t>
  </si>
  <si>
    <t>ESTUFA 4 PUESTOS CON PLANCHA</t>
  </si>
  <si>
    <t xml:space="preserve">ESTUFA DOS PUESTOS </t>
  </si>
  <si>
    <t>ESTUFA GRANDE 3 BOQUILLAS</t>
  </si>
  <si>
    <t>EXTINTORES</t>
  </si>
  <si>
    <t>FREIDOR UN PUESTO</t>
  </si>
  <si>
    <t>HORNO COMBI</t>
  </si>
  <si>
    <t>HORNO PIZZERO</t>
  </si>
  <si>
    <t>IMPRESORA RECIBOS</t>
  </si>
  <si>
    <t>POWER ARMURT</t>
  </si>
  <si>
    <t xml:space="preserve">JARRA CHOCOLATERA GRANDE </t>
  </si>
  <si>
    <t xml:space="preserve">IMPRESORA </t>
  </si>
  <si>
    <t>JALTECH</t>
  </si>
  <si>
    <t>OCPP-80582</t>
  </si>
  <si>
    <t>JARRA CHOCOLATERA PEQUEÑA</t>
  </si>
  <si>
    <t xml:space="preserve">LICUADORA </t>
  </si>
  <si>
    <t>108959-022</t>
  </si>
  <si>
    <t xml:space="preserve">LICUADORA BLANCA </t>
  </si>
  <si>
    <t>BLSTSE75-013</t>
  </si>
  <si>
    <t>MESONES METALICOS (LAVAPLATOS)</t>
  </si>
  <si>
    <t>MICROONDAS</t>
  </si>
  <si>
    <t xml:space="preserve">SAMSUNG </t>
  </si>
  <si>
    <t>MG40SMA</t>
  </si>
  <si>
    <t>MODEM</t>
  </si>
  <si>
    <t>NEXXT</t>
  </si>
  <si>
    <t>ARNO230406</t>
  </si>
  <si>
    <t xml:space="preserve">MONITOR </t>
  </si>
  <si>
    <t>LG</t>
  </si>
  <si>
    <t>E1942C</t>
  </si>
  <si>
    <t>MOUSE</t>
  </si>
  <si>
    <t>GENUIS</t>
  </si>
  <si>
    <t>NEVERA</t>
  </si>
  <si>
    <t>HACEB</t>
  </si>
  <si>
    <t xml:space="preserve">PIPAS DE GAS GRANDES </t>
  </si>
  <si>
    <t xml:space="preserve">100 L </t>
  </si>
  <si>
    <t>PLANCHA ESTUFA</t>
  </si>
  <si>
    <t xml:space="preserve">REFRIGERADOR </t>
  </si>
  <si>
    <t>CHANLLENGER</t>
  </si>
  <si>
    <t>CH363</t>
  </si>
  <si>
    <t>SANWICHERA</t>
  </si>
  <si>
    <t>HAMILTON</t>
  </si>
  <si>
    <t>BEACH</t>
  </si>
  <si>
    <t xml:space="preserve">SERNIDOR METALICO </t>
  </si>
  <si>
    <t>SILLA ESCRITORIO</t>
  </si>
  <si>
    <t>TARROS CON TAPA MEDIANO</t>
  </si>
  <si>
    <t xml:space="preserve">TARROS GRANDES CON TAPA </t>
  </si>
  <si>
    <t>TECLADO LOGITEC</t>
  </si>
  <si>
    <t xml:space="preserve">TORRE </t>
  </si>
  <si>
    <t>DELL</t>
  </si>
  <si>
    <t>JHONY ANYELO VELASCO CHAVEZ</t>
  </si>
  <si>
    <t>DEPENDENCIA:</t>
  </si>
  <si>
    <t>COCINA</t>
  </si>
  <si>
    <t>NT-0000002589</t>
  </si>
  <si>
    <t>2023/01/31</t>
  </si>
  <si>
    <t>DEPRECIACION ENERO 2023</t>
  </si>
  <si>
    <t>NT-0000002618</t>
  </si>
  <si>
    <t>2023/02/28</t>
  </si>
  <si>
    <t>DEPRECIACION FEBRERO 2023</t>
  </si>
  <si>
    <t>NT-0000002639</t>
  </si>
  <si>
    <t>2023/03/31</t>
  </si>
  <si>
    <t>DEPRECIACION MARZO 2023</t>
  </si>
  <si>
    <t>NT-0000002660</t>
  </si>
  <si>
    <t>2023/04/30</t>
  </si>
  <si>
    <t>DEPRECIACION ABRIL 2023</t>
  </si>
  <si>
    <t>NT-0000002682</t>
  </si>
  <si>
    <t>2023/05/31</t>
  </si>
  <si>
    <t>DEPRECIACION MAYO  2023</t>
  </si>
  <si>
    <t>NT-0000002716</t>
  </si>
  <si>
    <t>2023/06/30</t>
  </si>
  <si>
    <t>DEPRECIACION JUNIO 2023</t>
  </si>
  <si>
    <t>NT-0000002770</t>
  </si>
  <si>
    <t>DEPRECIACION JULIO 2023</t>
  </si>
  <si>
    <t>NT-0000002771</t>
  </si>
  <si>
    <t>2023/08/31</t>
  </si>
  <si>
    <t>DEPRECIACION AGOSTO 2023</t>
  </si>
  <si>
    <t>NT-0000002801</t>
  </si>
  <si>
    <t>2023/09/30</t>
  </si>
  <si>
    <t>DEPRECIACION SEPTIEMBRE 2023</t>
  </si>
  <si>
    <t>NT-0000002829</t>
  </si>
  <si>
    <t>2023/10/31</t>
  </si>
  <si>
    <t>DEPRECIACION OCTUBRE 2023</t>
  </si>
  <si>
    <t>2023/11/30</t>
  </si>
  <si>
    <t>DEPRECIACION NOVIEMBRE 2023</t>
  </si>
  <si>
    <t>NT-0000002887</t>
  </si>
  <si>
    <t>2023/12/31</t>
  </si>
  <si>
    <t>DEPRECIACION DICIEMBRE 2023</t>
  </si>
  <si>
    <t>Sub chef</t>
  </si>
  <si>
    <t>TIEMPO EMPLEADO
EN MINUTOS</t>
  </si>
  <si>
    <t>Aux. Cocina</t>
  </si>
  <si>
    <t>TOTAL COSTO
MO DIRECTA</t>
  </si>
  <si>
    <t>TOTAL COSTO
MO INDIRECTA</t>
  </si>
  <si>
    <t>TIEMPO EMPLEADO
EN PORCENTAJE</t>
  </si>
  <si>
    <t>Auxiliar Contable</t>
  </si>
  <si>
    <t>COSTO ACTIVIDAD 
POR MES</t>
  </si>
  <si>
    <t>UM</t>
  </si>
  <si>
    <t>TOTAL CONSUMO ACUEDUCTO MES</t>
  </si>
  <si>
    <t>TOTAL CONSUMO GAS MES</t>
  </si>
  <si>
    <t>DEPRECIACION POR MES</t>
  </si>
  <si>
    <t>COSTO TOTAL 
UNITARIO MP</t>
  </si>
  <si>
    <t xml:space="preserve">COSTO TOTAL MP
POR PLATOS </t>
  </si>
  <si>
    <t>MATERIA PRIMA</t>
  </si>
  <si>
    <t>CANTIDAD 
CARGOS</t>
  </si>
  <si>
    <t>PRODUCTOS
MES</t>
  </si>
  <si>
    <t>PREPARACION ALIMENTOS
 PLATO BABY BEEF</t>
  </si>
  <si>
    <t>MO
DIRECTA</t>
  </si>
  <si>
    <t>MO
INDIRECTA</t>
  </si>
  <si>
    <t>TOTAL
DEPRECIACION</t>
  </si>
  <si>
    <t>COSTOS INDIRECTOS DE FABRICACION</t>
  </si>
  <si>
    <t>COLABORADORES
MANO DE OBRA
DIRECTA</t>
  </si>
  <si>
    <t>COSTO MO
DIRECTA
 MINUTOS</t>
  </si>
  <si>
    <t>COSTO MO 
INDIRECTA 
MINUTOS</t>
  </si>
  <si>
    <t>SISTEMA DE COSTEO ABC PARA LA DETERMINACIÓN DE LOS COSTOS DEL RESTAURANTE DEL CLUB CAMPESTRE DE POPAYÁN</t>
  </si>
  <si>
    <t>MATRIZ DE CALCULOS</t>
  </si>
  <si>
    <t xml:space="preserve">Corporación Universitaria Comfacauca “Unicomfacauca” </t>
  </si>
  <si>
    <t xml:space="preserve">Facultad de Ciencias Empresariales </t>
  </si>
  <si>
    <t xml:space="preserve"> Programa de Contaduría Pública </t>
  </si>
  <si>
    <t xml:space="preserve">Popayán / Cauca </t>
  </si>
  <si>
    <t>Kelly Tatiana Ante Quinayás</t>
  </si>
  <si>
    <t>Kelin Eliana Montenegro Muñoz</t>
  </si>
  <si>
    <t xml:space="preserve">NOMINA </t>
  </si>
  <si>
    <r>
      <t xml:space="preserve">FORMATO DE INVENTARIO A22                              </t>
    </r>
    <r>
      <rPr>
        <b/>
        <i/>
        <u/>
        <sz val="11"/>
        <color theme="1"/>
        <rFont val="Calibri"/>
        <family val="2"/>
        <scheme val="minor"/>
      </rPr>
      <t>COCINA</t>
    </r>
  </si>
  <si>
    <t>NT-0000002854</t>
  </si>
  <si>
    <t xml:space="preserve">SERVICIO </t>
  </si>
  <si>
    <t>COSTO TOTAL</t>
  </si>
  <si>
    <t>AGUA</t>
  </si>
  <si>
    <t xml:space="preserve">ENERGIA </t>
  </si>
  <si>
    <t>GAS</t>
  </si>
  <si>
    <t>AÑO 2023</t>
  </si>
  <si>
    <t>COSTO POR GRAMO</t>
  </si>
  <si>
    <t>gr</t>
  </si>
  <si>
    <t>MCP 2</t>
  </si>
  <si>
    <t>PROCPRIM2</t>
  </si>
  <si>
    <t>PREPARACION ALIMENTOS
 PLATO STEACK PIMIENTA</t>
  </si>
  <si>
    <t>Zanahoria</t>
  </si>
  <si>
    <t>Preparación salsa</t>
  </si>
  <si>
    <t>Crema de leche</t>
  </si>
  <si>
    <t>Queso doblecrema</t>
  </si>
  <si>
    <t xml:space="preserve">Preparación guarnición </t>
  </si>
  <si>
    <t>Papa guata</t>
  </si>
  <si>
    <t>Preparación salsa espesa</t>
  </si>
  <si>
    <t>Harina de trigo</t>
  </si>
  <si>
    <t>Leche entera</t>
  </si>
  <si>
    <t>ml</t>
  </si>
  <si>
    <t>MCP 3</t>
  </si>
  <si>
    <t>PROCPRIM3</t>
  </si>
  <si>
    <t>PREPARACION ALIMENTOS
 PLATO MILANESA DE POLLO</t>
  </si>
  <si>
    <t>Preparación de la milanesa</t>
  </si>
  <si>
    <t>Pechuga de pollo</t>
  </si>
  <si>
    <t>Huevo de gallina</t>
  </si>
  <si>
    <t>und</t>
  </si>
  <si>
    <t>Preparación guarnición</t>
  </si>
  <si>
    <t>Papas a la francesa</t>
  </si>
  <si>
    <t>MCP 4</t>
  </si>
  <si>
    <t>PROCPRIM4</t>
  </si>
  <si>
    <t>PREPARACION ALIMENTOS
TRUCHA (AJILLO-PLANCHA)</t>
  </si>
  <si>
    <t>Preparación de la trucha</t>
  </si>
  <si>
    <t>Trucha arcoris</t>
  </si>
  <si>
    <t>AJO</t>
  </si>
  <si>
    <t>Ajo</t>
  </si>
  <si>
    <t>Limón</t>
  </si>
  <si>
    <t>Preparación platano</t>
  </si>
  <si>
    <t>Platano verde</t>
  </si>
  <si>
    <t>AREA TOTAL CLUB CAMPESTRE</t>
  </si>
  <si>
    <t>AREA COCINA</t>
  </si>
  <si>
    <t>MT2</t>
  </si>
  <si>
    <t>CONSUMO
ENERGIA
POR AREA</t>
  </si>
  <si>
    <t>CONSUMO ENERGIA ELECTRICA 2023</t>
  </si>
  <si>
    <t>CONSUMO SERVICIO DE ACUEDUCTO 2023</t>
  </si>
  <si>
    <t>VALOR CONSUMO COCINA</t>
  </si>
  <si>
    <t xml:space="preserve">CONSUMO
ACUEDUCTO
POR AREA </t>
  </si>
  <si>
    <t>PARTICIPACION % POR AREA</t>
  </si>
  <si>
    <t>% AREA</t>
  </si>
  <si>
    <t>DEPRECIACION CONTABLE POR MES</t>
  </si>
  <si>
    <t>% POR PRODUCTO</t>
  </si>
  <si>
    <t>COSTO PRIMO</t>
  </si>
  <si>
    <t>MP DIRECTA</t>
  </si>
  <si>
    <t>MO DIRECTA</t>
  </si>
  <si>
    <t>% COSTO PRIMO</t>
  </si>
  <si>
    <t>MO INDIRECTA</t>
  </si>
  <si>
    <t>COSTO PRIMO PLATO BABY BEEF</t>
  </si>
  <si>
    <t>ACTIVIDAD</t>
  </si>
  <si>
    <t>VALOR POR ACTIVIDAD</t>
  </si>
  <si>
    <t>COSTO
PRIMO POR
ACTIVIDAD</t>
  </si>
  <si>
    <t>COSTO PRIMO PLATO  PLATO STEACK PIMIENTA</t>
  </si>
  <si>
    <t>COSTO PRIMO PLATO MILANESA DE POLLO</t>
  </si>
  <si>
    <t>% COSTO 
PRIMO</t>
  </si>
  <si>
    <t>COSTO PRIMO PLATO TRUCHA (AJILLO-PLANCHA)</t>
  </si>
  <si>
    <t>COSTO 
PRIMO POR ACTIVIDAD</t>
  </si>
  <si>
    <t>TOTAL CONSUMO
CIF ENERGIA MENSUAL</t>
  </si>
  <si>
    <t>% POR 
PRODUCTO</t>
  </si>
  <si>
    <t>SERVICIO INTENET</t>
  </si>
  <si>
    <t>SERVICIO INTERNET MES DE DICIEMBRE 2022</t>
  </si>
  <si>
    <t>SERVICIO DE INTERNET ENERO 2023</t>
  </si>
  <si>
    <t>SERVICIO INTERNET FEBRERO 2023</t>
  </si>
  <si>
    <t>SERVICIO INTERNET MARZO 2023</t>
  </si>
  <si>
    <t>SERVICIO INTERNET ABRIL 2023</t>
  </si>
  <si>
    <t>SERVICIO DE INTERNET MAYO 2023</t>
  </si>
  <si>
    <t>SERVICIO DE INTERNET JUNIO 2023</t>
  </si>
  <si>
    <t>SERVICIO DE INTERNET JULIO 2023</t>
  </si>
  <si>
    <t>SERVICIO DE INTERNET AGOSTO 2023</t>
  </si>
  <si>
    <t>SERVICIO DE INTERNET SEPTIEMBRE 2023</t>
  </si>
  <si>
    <t>SERVICIO DE INTERNET OCTUBRE 2023</t>
  </si>
  <si>
    <t>SERVICO DE INTERNET NOVIEMBRE 2023</t>
  </si>
  <si>
    <t>CONSUMO
INTERNET
POR AREA</t>
  </si>
  <si>
    <t>TOTAL CONSUMO
CIF INTERNET MENSUAL</t>
  </si>
  <si>
    <t>INTERNET</t>
  </si>
  <si>
    <t>TOP</t>
  </si>
  <si>
    <t>DESCRIPCION</t>
  </si>
  <si>
    <t>TRUCHA (PLANCHA O AJILLO)CARTA.023</t>
  </si>
  <si>
    <t>BABY BEEF JUNIOR-CARTA. 023</t>
  </si>
  <si>
    <t>POLLO A LA PLANCHA-CARTA. 023</t>
  </si>
  <si>
    <t>FILET MIGNON-CARTA. 023</t>
  </si>
  <si>
    <t>MILANESA DE CERDO-CARTA. 023</t>
  </si>
  <si>
    <t>SALMON (PLANCHA O AJILLO)CART.023</t>
  </si>
  <si>
    <t>PIZZA MIXTA CARNES-CARTA. 023</t>
  </si>
  <si>
    <t>PIZZA HAWAIANA-CARTA. 023</t>
  </si>
  <si>
    <t>LENGUA A LA CRIOLLA-CARTA. 023</t>
  </si>
  <si>
    <t>CORVINA (APANADA)-CARTA. 023</t>
  </si>
  <si>
    <t>MIXTURA THAI-CARTA. 023</t>
  </si>
  <si>
    <t>CERDO ACARAMELADO-CARTA. 023</t>
  </si>
  <si>
    <t>SUPREMA RELLENA-CARTA. 023</t>
  </si>
  <si>
    <t>COSTILLAS CAMPESTRE-CARTA. 023</t>
  </si>
  <si>
    <t>ASADO AL CARBON DIA DEL PADRE</t>
  </si>
  <si>
    <t>CORDON BLEU DIA MADRE 2023</t>
  </si>
  <si>
    <t>CAZUELA DE MARISCOS-CARTA. 023</t>
  </si>
  <si>
    <t>PIZZA POLLO Y CHAMPIÑONES-CARTA.023</t>
  </si>
  <si>
    <t>PIZZA MARGARITA-CARTA. 023</t>
  </si>
  <si>
    <t>FISH FINGERS PARA NIÑOS- CARTA.023</t>
  </si>
  <si>
    <t>PIZZA PETETE-CARTA. 023</t>
  </si>
  <si>
    <t>ROBALO BAÑADO MANTEQUILLA-S.SANTA</t>
  </si>
  <si>
    <t>ROBALO DIA DE MADRE 2023</t>
  </si>
  <si>
    <t>PIZZA JAMON Y QUESO</t>
  </si>
  <si>
    <t>TRUCHA EN SALSA MARINERA</t>
  </si>
  <si>
    <t>SOPA DE TORTILLA Y PICADA PATOJA</t>
  </si>
  <si>
    <t>FILETE DE TRUCHA AL AJILLO</t>
  </si>
  <si>
    <t>TRUCHA PAPILLOTE-DOMINICAL</t>
  </si>
  <si>
    <t>PICADA PATOJA-CARTA. 023</t>
  </si>
  <si>
    <t>SALMON AL AJILLO</t>
  </si>
  <si>
    <t>POLLO EN SALSA DE CHAMPIÑONES</t>
  </si>
  <si>
    <t>POLLO TERIYAKI-DOMINICAL</t>
  </si>
  <si>
    <t>PASTA BOLOÑESA</t>
  </si>
  <si>
    <t>BROCHETA DE POLLO</t>
  </si>
  <si>
    <t>BROCHETA DE RES</t>
  </si>
  <si>
    <t>LOMO DE CERDO EN FRUTOS AMARILLOS</t>
  </si>
  <si>
    <t>PIZZA TRES QUESOS</t>
  </si>
  <si>
    <t>MITAD PIZZA HAWAINA</t>
  </si>
  <si>
    <t>MITAD PIZZA JAMON Y QUESO</t>
  </si>
  <si>
    <t>CEVICHE DE SALMON</t>
  </si>
  <si>
    <t>PAPAS MEXICANAS</t>
  </si>
  <si>
    <t>TOTAL VENTAS</t>
  </si>
  <si>
    <t>Cantidad vendida Otros Productos</t>
  </si>
  <si>
    <t xml:space="preserve">Cantidad vendida producto Otros Platos </t>
  </si>
  <si>
    <t xml:space="preserve">OTROS PLATOS </t>
  </si>
  <si>
    <t>OTROS PLATOS (43 PLATOS)</t>
  </si>
  <si>
    <t>COSTO DE PRODUCCION
UND</t>
  </si>
  <si>
    <t>COSTO DE PRODUCCION
TOTAL</t>
  </si>
  <si>
    <t>UTILIDAD PLATO</t>
  </si>
  <si>
    <t>PREPARACION OTROS PLATOS</t>
  </si>
  <si>
    <t xml:space="preserve">Preparación de Otros platos </t>
  </si>
  <si>
    <t>UTILIDAD</t>
  </si>
  <si>
    <t>Materia Prima Total</t>
  </si>
  <si>
    <t>MATERIA PRIMA GENERAL</t>
  </si>
  <si>
    <t>N/A</t>
  </si>
  <si>
    <t>COSTO POR MES</t>
  </si>
  <si>
    <t>COSTO ANUAL</t>
  </si>
  <si>
    <t>Preparacion Otros Platos</t>
  </si>
  <si>
    <t xml:space="preserve">POLIZA </t>
  </si>
  <si>
    <t>TOTAL PLATOS POR MES</t>
  </si>
  <si>
    <t>CIF ACUEDUCTO
MENSUAL</t>
  </si>
  <si>
    <t>ESTIMACIÓN DEL CONSUMO DE LOS CIF MENSUAL</t>
  </si>
  <si>
    <t xml:space="preserve">CIF ENERGIA
MENSUAL
</t>
  </si>
  <si>
    <t>CIF GAS 
DOMICILIARIO
MENSUAL</t>
  </si>
  <si>
    <t>CIF INTERNET
MENSUAL</t>
  </si>
  <si>
    <t>CIF POLIZA
MEENSUAL</t>
  </si>
  <si>
    <t>TOTAL CONSUMO
CIF POLIZA MENSUAL</t>
  </si>
  <si>
    <t>DISTRIBUCIÓN DEPRECIACION</t>
  </si>
  <si>
    <t>TOTAL PRODUCTOS VENDIDOS POR MES</t>
  </si>
  <si>
    <t>INFORME VENTAS POR PLATOS AÑO 2023</t>
  </si>
  <si>
    <r>
      <rPr>
        <b/>
        <sz val="11"/>
        <color theme="1"/>
        <rFont val="Calibri"/>
        <family val="2"/>
        <scheme val="minor"/>
      </rPr>
      <t>NOMBRE COMPLETO DEL RESPONSABLE</t>
    </r>
    <r>
      <rPr>
        <sz val="11"/>
        <color theme="1"/>
        <rFont val="Calibri"/>
        <family val="2"/>
        <scheme val="minor"/>
      </rPr>
      <t xml:space="preserve">:    </t>
    </r>
  </si>
  <si>
    <r>
      <rPr>
        <b/>
        <sz val="11"/>
        <color theme="1"/>
        <rFont val="Calibri"/>
        <family val="2"/>
        <scheme val="minor"/>
      </rPr>
      <t>FIRMA</t>
    </r>
    <r>
      <rPr>
        <sz val="11"/>
        <color theme="1"/>
        <rFont val="Calibri"/>
        <family val="2"/>
        <scheme val="minor"/>
      </rPr>
      <t>:    .</t>
    </r>
  </si>
  <si>
    <r>
      <rPr>
        <b/>
        <sz val="11"/>
        <color theme="1"/>
        <rFont val="Calibri"/>
        <family val="2"/>
        <scheme val="minor"/>
      </rPr>
      <t>CÉDULA</t>
    </r>
    <r>
      <rPr>
        <sz val="11"/>
        <color theme="1"/>
        <rFont val="Calibri"/>
        <family val="2"/>
        <scheme val="minor"/>
      </rPr>
      <t>:    .</t>
    </r>
  </si>
  <si>
    <t>COSTO TOTAL PLATO</t>
  </si>
  <si>
    <t>CONSUMO
POLIZA
POR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</si>
</sst>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\ _€_-;\-* #,##0\ _€_-;_-* &quot;-&quot;??\ _€_-;_-@_-"/>
    <numFmt numFmtId="165" formatCode="_(* #,##0_);_(* \(#,##0\);_(* &quot;-&quot;??_);_(@_)"/>
    <numFmt numFmtId="166" formatCode="[&gt;0]#,##0;[&lt;0]\(#,##0\);\-#"/>
    <numFmt numFmtId="167" formatCode="_-* #,##0_-;\-* #,##0_-;_-* &quot;-&quot;??_-;_-@_-"/>
    <numFmt numFmtId="168" formatCode="#,###"/>
    <numFmt numFmtId="169" formatCode="#,##0_ ;\-#,##0\ "/>
    <numFmt numFmtId="170" formatCode="[$$-240A]\ #,##0"/>
    <numFmt numFmtId="171" formatCode="0.000%"/>
    <numFmt numFmtId="172" formatCode="_-&quot;$&quot;\ * #,##0_-;\-&quot;$&quot;\ * #,##0_-;_-&quot;$&quot;\ 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1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05">
    <xf numFmtId="0" fontId="0" fillId="0" borderId="0" xfId="0"/>
    <xf numFmtId="0" fontId="4" fillId="0" borderId="0" xfId="0" applyFont="1"/>
    <xf numFmtId="167" fontId="0" fillId="0" borderId="0" xfId="1" applyNumberFormat="1" applyFont="1" applyBorder="1"/>
    <xf numFmtId="0" fontId="2" fillId="0" borderId="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6" xfId="0" applyBorder="1"/>
    <xf numFmtId="167" fontId="0" fillId="0" borderId="0" xfId="0" applyNumberFormat="1"/>
    <xf numFmtId="0" fontId="7" fillId="0" borderId="9" xfId="0" applyFont="1" applyBorder="1"/>
    <xf numFmtId="0" fontId="8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164" fontId="8" fillId="0" borderId="0" xfId="1" applyNumberFormat="1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165" fontId="8" fillId="0" borderId="7" xfId="1" applyNumberFormat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3" fontId="9" fillId="0" borderId="30" xfId="0" applyNumberFormat="1" applyFont="1" applyBorder="1"/>
    <xf numFmtId="0" fontId="0" fillId="0" borderId="32" xfId="0" applyBorder="1"/>
    <xf numFmtId="164" fontId="9" fillId="0" borderId="32" xfId="1" applyNumberFormat="1" applyFont="1" applyFill="1" applyBorder="1" applyAlignment="1">
      <alignment horizontal="center"/>
    </xf>
    <xf numFmtId="164" fontId="9" fillId="0" borderId="32" xfId="1" applyNumberFormat="1" applyFont="1" applyFill="1" applyBorder="1" applyAlignment="1">
      <alignment horizontal="center" vertical="center"/>
    </xf>
    <xf numFmtId="164" fontId="9" fillId="0" borderId="19" xfId="1" applyNumberFormat="1" applyFont="1" applyFill="1" applyBorder="1" applyAlignment="1">
      <alignment horizontal="center"/>
    </xf>
    <xf numFmtId="164" fontId="9" fillId="0" borderId="28" xfId="1" applyNumberFormat="1" applyFont="1" applyFill="1" applyBorder="1" applyAlignment="1">
      <alignment horizontal="center"/>
    </xf>
    <xf numFmtId="164" fontId="8" fillId="0" borderId="32" xfId="1" applyNumberFormat="1" applyFont="1" applyFill="1" applyBorder="1" applyAlignment="1">
      <alignment horizontal="center"/>
    </xf>
    <xf numFmtId="0" fontId="0" fillId="0" borderId="29" xfId="0" applyBorder="1"/>
    <xf numFmtId="164" fontId="9" fillId="0" borderId="29" xfId="1" applyNumberFormat="1" applyFont="1" applyFill="1" applyBorder="1" applyAlignment="1">
      <alignment horizontal="center"/>
    </xf>
    <xf numFmtId="164" fontId="9" fillId="0" borderId="29" xfId="1" applyNumberFormat="1" applyFont="1" applyFill="1" applyBorder="1" applyAlignment="1">
      <alignment horizontal="center" vertical="center"/>
    </xf>
    <xf numFmtId="164" fontId="8" fillId="0" borderId="29" xfId="1" applyNumberFormat="1" applyFont="1" applyFill="1" applyBorder="1" applyAlignment="1">
      <alignment horizontal="center"/>
    </xf>
    <xf numFmtId="166" fontId="8" fillId="0" borderId="0" xfId="0" applyNumberFormat="1" applyFont="1"/>
    <xf numFmtId="0" fontId="8" fillId="0" borderId="0" xfId="0" applyFont="1"/>
    <xf numFmtId="167" fontId="8" fillId="0" borderId="0" xfId="1" applyNumberFormat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center" vertical="center"/>
    </xf>
    <xf numFmtId="166" fontId="9" fillId="0" borderId="0" xfId="0" applyNumberFormat="1" applyFont="1"/>
    <xf numFmtId="0" fontId="10" fillId="0" borderId="0" xfId="0" applyFont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166" fontId="9" fillId="0" borderId="0" xfId="0" applyNumberFormat="1" applyFont="1" applyAlignment="1">
      <alignment horizontal="center"/>
    </xf>
    <xf numFmtId="164" fontId="9" fillId="0" borderId="1" xfId="1" applyNumberFormat="1" applyFont="1" applyBorder="1" applyAlignment="1">
      <alignment horizontal="center" vertical="center"/>
    </xf>
    <xf numFmtId="167" fontId="0" fillId="0" borderId="1" xfId="1" applyNumberFormat="1" applyFont="1" applyFill="1" applyBorder="1" applyAlignment="1">
      <alignment horizontal="center"/>
    </xf>
    <xf numFmtId="167" fontId="0" fillId="6" borderId="1" xfId="1" applyNumberFormat="1" applyFont="1" applyFill="1" applyBorder="1" applyAlignment="1">
      <alignment horizontal="center"/>
    </xf>
    <xf numFmtId="167" fontId="0" fillId="3" borderId="1" xfId="1" applyNumberFormat="1" applyFont="1" applyFill="1" applyBorder="1" applyAlignment="1">
      <alignment horizontal="center"/>
    </xf>
    <xf numFmtId="169" fontId="10" fillId="5" borderId="1" xfId="2" applyNumberFormat="1" applyFont="1" applyFill="1" applyBorder="1" applyAlignment="1">
      <alignment horizontal="center"/>
    </xf>
    <xf numFmtId="169" fontId="10" fillId="5" borderId="37" xfId="2" applyNumberFormat="1" applyFont="1" applyFill="1" applyBorder="1" applyAlignment="1">
      <alignment horizontal="center"/>
    </xf>
    <xf numFmtId="0" fontId="10" fillId="0" borderId="0" xfId="0" applyFont="1"/>
    <xf numFmtId="164" fontId="10" fillId="0" borderId="0" xfId="1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165" fontId="10" fillId="0" borderId="0" xfId="1" applyNumberFormat="1" applyFont="1" applyFill="1" applyAlignment="1">
      <alignment horizontal="center"/>
    </xf>
    <xf numFmtId="3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0" fontId="2" fillId="0" borderId="12" xfId="0" applyFont="1" applyBorder="1" applyAlignment="1">
      <alignment horizontal="center"/>
    </xf>
    <xf numFmtId="44" fontId="2" fillId="0" borderId="13" xfId="2" applyFont="1" applyFill="1" applyBorder="1" applyAlignment="1">
      <alignment horizontal="center" wrapText="1"/>
    </xf>
    <xf numFmtId="44" fontId="2" fillId="0" borderId="25" xfId="2" applyFont="1" applyFill="1" applyBorder="1" applyAlignment="1">
      <alignment horizontal="center" vertical="center" wrapText="1"/>
    </xf>
    <xf numFmtId="3" fontId="9" fillId="0" borderId="20" xfId="0" applyNumberFormat="1" applyFont="1" applyBorder="1"/>
    <xf numFmtId="43" fontId="0" fillId="0" borderId="21" xfId="1" applyFont="1" applyFill="1" applyBorder="1" applyAlignment="1">
      <alignment horizontal="center"/>
    </xf>
    <xf numFmtId="3" fontId="9" fillId="0" borderId="18" xfId="0" applyNumberFormat="1" applyFont="1" applyBorder="1"/>
    <xf numFmtId="43" fontId="0" fillId="0" borderId="1" xfId="1" applyFont="1" applyFill="1" applyBorder="1" applyAlignment="1">
      <alignment horizontal="center"/>
    </xf>
    <xf numFmtId="3" fontId="9" fillId="0" borderId="22" xfId="0" applyNumberFormat="1" applyFont="1" applyBorder="1"/>
    <xf numFmtId="43" fontId="0" fillId="0" borderId="23" xfId="1" applyFont="1" applyFill="1" applyBorder="1" applyAlignment="1">
      <alignment horizontal="center"/>
    </xf>
    <xf numFmtId="167" fontId="0" fillId="0" borderId="0" xfId="1" applyNumberFormat="1" applyFont="1"/>
    <xf numFmtId="0" fontId="6" fillId="7" borderId="1" xfId="0" applyFont="1" applyFill="1" applyBorder="1" applyAlignment="1">
      <alignment horizontal="left" vertical="center" wrapText="1"/>
    </xf>
    <xf numFmtId="3" fontId="6" fillId="7" borderId="1" xfId="0" applyNumberFormat="1" applyFont="1" applyFill="1" applyBorder="1" applyAlignment="1">
      <alignment horizontal="left" vertical="center" wrapText="1"/>
    </xf>
    <xf numFmtId="167" fontId="6" fillId="7" borderId="44" xfId="1" applyNumberFormat="1" applyFont="1" applyFill="1" applyBorder="1" applyAlignment="1">
      <alignment horizontal="right" vertical="center" wrapText="1"/>
    </xf>
    <xf numFmtId="0" fontId="6" fillId="7" borderId="0" xfId="0" applyFont="1" applyFill="1" applyAlignment="1">
      <alignment horizontal="left" vertical="center" wrapText="1"/>
    </xf>
    <xf numFmtId="3" fontId="6" fillId="7" borderId="0" xfId="0" applyNumberFormat="1" applyFont="1" applyFill="1" applyAlignment="1">
      <alignment horizontal="left" vertical="center" wrapText="1"/>
    </xf>
    <xf numFmtId="167" fontId="6" fillId="7" borderId="0" xfId="1" applyNumberFormat="1" applyFont="1" applyFill="1" applyBorder="1" applyAlignment="1">
      <alignment horizontal="right" vertical="center" wrapText="1"/>
    </xf>
    <xf numFmtId="0" fontId="2" fillId="9" borderId="16" xfId="0" applyFont="1" applyFill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0" fontId="2" fillId="10" borderId="16" xfId="0" applyFont="1" applyFill="1" applyBorder="1" applyAlignment="1">
      <alignment vertical="center"/>
    </xf>
    <xf numFmtId="167" fontId="11" fillId="10" borderId="16" xfId="1" applyNumberFormat="1" applyFont="1" applyFill="1" applyBorder="1" applyAlignment="1">
      <alignment horizontal="right" vertical="center" wrapText="1"/>
    </xf>
    <xf numFmtId="0" fontId="2" fillId="11" borderId="16" xfId="0" applyFont="1" applyFill="1" applyBorder="1" applyAlignment="1">
      <alignment horizontal="center" vertical="center"/>
    </xf>
    <xf numFmtId="164" fontId="9" fillId="0" borderId="6" xfId="1" applyNumberFormat="1" applyFont="1" applyBorder="1" applyAlignment="1">
      <alignment horizontal="center" vertical="center"/>
    </xf>
    <xf numFmtId="167" fontId="0" fillId="0" borderId="6" xfId="1" applyNumberFormat="1" applyFont="1" applyFill="1" applyBorder="1" applyAlignment="1">
      <alignment horizontal="center"/>
    </xf>
    <xf numFmtId="167" fontId="0" fillId="6" borderId="6" xfId="1" applyNumberFormat="1" applyFont="1" applyFill="1" applyBorder="1" applyAlignment="1">
      <alignment horizontal="center"/>
    </xf>
    <xf numFmtId="167" fontId="0" fillId="3" borderId="6" xfId="1" applyNumberFormat="1" applyFont="1" applyFill="1" applyBorder="1" applyAlignment="1">
      <alignment horizontal="center"/>
    </xf>
    <xf numFmtId="169" fontId="10" fillId="5" borderId="6" xfId="2" applyNumberFormat="1" applyFont="1" applyFill="1" applyBorder="1" applyAlignment="1">
      <alignment horizontal="center"/>
    </xf>
    <xf numFmtId="169" fontId="10" fillId="5" borderId="40" xfId="2" applyNumberFormat="1" applyFont="1" applyFill="1" applyBorder="1" applyAlignment="1">
      <alignment horizontal="center"/>
    </xf>
    <xf numFmtId="3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5" fontId="2" fillId="0" borderId="4" xfId="1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8" fillId="10" borderId="9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7" fontId="0" fillId="0" borderId="32" xfId="1" applyNumberFormat="1" applyFont="1" applyBorder="1" applyAlignment="1">
      <alignment horizontal="center"/>
    </xf>
    <xf numFmtId="167" fontId="0" fillId="0" borderId="29" xfId="1" applyNumberFormat="1" applyFont="1" applyBorder="1" applyAlignment="1">
      <alignment horizontal="center"/>
    </xf>
    <xf numFmtId="0" fontId="2" fillId="0" borderId="18" xfId="0" applyFont="1" applyBorder="1"/>
    <xf numFmtId="0" fontId="2" fillId="0" borderId="1" xfId="0" applyFont="1" applyBorder="1"/>
    <xf numFmtId="0" fontId="2" fillId="0" borderId="37" xfId="0" applyFont="1" applyBorder="1"/>
    <xf numFmtId="0" fontId="2" fillId="3" borderId="1" xfId="0" applyFont="1" applyFill="1" applyBorder="1" applyAlignment="1">
      <alignment horizontal="center"/>
    </xf>
    <xf numFmtId="0" fontId="2" fillId="3" borderId="37" xfId="0" applyFont="1" applyFill="1" applyBorder="1" applyAlignment="1">
      <alignment horizontal="center"/>
    </xf>
    <xf numFmtId="0" fontId="2" fillId="0" borderId="3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6" xfId="0" applyFont="1" applyBorder="1"/>
    <xf numFmtId="0" fontId="2" fillId="0" borderId="1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6" fillId="7" borderId="20" xfId="0" applyFont="1" applyFill="1" applyBorder="1" applyAlignment="1">
      <alignment vertical="top" wrapText="1"/>
    </xf>
    <xf numFmtId="0" fontId="6" fillId="7" borderId="21" xfId="0" applyFont="1" applyFill="1" applyBorder="1" applyAlignment="1">
      <alignment vertical="top" wrapText="1"/>
    </xf>
    <xf numFmtId="4" fontId="6" fillId="7" borderId="36" xfId="0" applyNumberFormat="1" applyFont="1" applyFill="1" applyBorder="1" applyAlignment="1">
      <alignment vertical="top" wrapText="1"/>
    </xf>
    <xf numFmtId="0" fontId="6" fillId="7" borderId="18" xfId="0" applyFont="1" applyFill="1" applyBorder="1" applyAlignment="1">
      <alignment vertical="top" wrapText="1"/>
    </xf>
    <xf numFmtId="0" fontId="6" fillId="7" borderId="1" xfId="0" applyFont="1" applyFill="1" applyBorder="1" applyAlignment="1">
      <alignment vertical="top" wrapText="1"/>
    </xf>
    <xf numFmtId="4" fontId="6" fillId="7" borderId="37" xfId="0" applyNumberFormat="1" applyFont="1" applyFill="1" applyBorder="1" applyAlignment="1">
      <alignment vertical="top" wrapText="1"/>
    </xf>
    <xf numFmtId="0" fontId="6" fillId="7" borderId="22" xfId="0" applyFont="1" applyFill="1" applyBorder="1" applyAlignment="1">
      <alignment vertical="top" wrapText="1"/>
    </xf>
    <xf numFmtId="0" fontId="6" fillId="7" borderId="23" xfId="0" applyFont="1" applyFill="1" applyBorder="1" applyAlignment="1">
      <alignment vertical="top" wrapText="1"/>
    </xf>
    <xf numFmtId="4" fontId="6" fillId="7" borderId="38" xfId="0" applyNumberFormat="1" applyFont="1" applyFill="1" applyBorder="1" applyAlignment="1">
      <alignment vertical="top" wrapText="1"/>
    </xf>
    <xf numFmtId="0" fontId="2" fillId="11" borderId="16" xfId="0" applyFont="1" applyFill="1" applyBorder="1" applyAlignment="1">
      <alignment horizontal="center" vertical="top" wrapText="1"/>
    </xf>
    <xf numFmtId="3" fontId="2" fillId="11" borderId="16" xfId="0" applyNumberFormat="1" applyFont="1" applyFill="1" applyBorder="1" applyAlignment="1">
      <alignment horizontal="right" vertical="top" wrapText="1"/>
    </xf>
    <xf numFmtId="167" fontId="11" fillId="9" borderId="41" xfId="1" applyNumberFormat="1" applyFont="1" applyFill="1" applyBorder="1" applyAlignment="1">
      <alignment horizontal="right" vertical="center" wrapText="1"/>
    </xf>
    <xf numFmtId="0" fontId="6" fillId="7" borderId="20" xfId="0" applyFont="1" applyFill="1" applyBorder="1" applyAlignment="1">
      <alignment horizontal="left" vertical="center" wrapText="1"/>
    </xf>
    <xf numFmtId="0" fontId="6" fillId="7" borderId="21" xfId="0" applyFont="1" applyFill="1" applyBorder="1" applyAlignment="1">
      <alignment horizontal="left" vertical="center" wrapText="1"/>
    </xf>
    <xf numFmtId="0" fontId="6" fillId="7" borderId="18" xfId="0" applyFont="1" applyFill="1" applyBorder="1" applyAlignment="1">
      <alignment horizontal="left" vertical="center" wrapText="1"/>
    </xf>
    <xf numFmtId="0" fontId="6" fillId="7" borderId="22" xfId="0" applyFont="1" applyFill="1" applyBorder="1" applyAlignment="1">
      <alignment horizontal="left" vertical="center" wrapText="1"/>
    </xf>
    <xf numFmtId="0" fontId="6" fillId="7" borderId="23" xfId="0" applyFont="1" applyFill="1" applyBorder="1" applyAlignment="1">
      <alignment horizontal="left" vertical="center" wrapText="1"/>
    </xf>
    <xf numFmtId="167" fontId="6" fillId="7" borderId="52" xfId="1" applyNumberFormat="1" applyFont="1" applyFill="1" applyBorder="1" applyAlignment="1">
      <alignment horizontal="right" vertical="center" wrapText="1"/>
    </xf>
    <xf numFmtId="167" fontId="6" fillId="7" borderId="62" xfId="1" applyNumberFormat="1" applyFont="1" applyFill="1" applyBorder="1" applyAlignment="1">
      <alignment horizontal="right" vertical="center" wrapText="1"/>
    </xf>
    <xf numFmtId="0" fontId="0" fillId="0" borderId="33" xfId="0" applyBorder="1"/>
    <xf numFmtId="3" fontId="6" fillId="7" borderId="21" xfId="0" applyNumberFormat="1" applyFont="1" applyFill="1" applyBorder="1" applyAlignment="1">
      <alignment horizontal="left" vertical="center" wrapText="1"/>
    </xf>
    <xf numFmtId="167" fontId="6" fillId="7" borderId="36" xfId="1" applyNumberFormat="1" applyFont="1" applyFill="1" applyBorder="1" applyAlignment="1">
      <alignment horizontal="right" vertical="center" wrapText="1"/>
    </xf>
    <xf numFmtId="167" fontId="6" fillId="7" borderId="37" xfId="1" applyNumberFormat="1" applyFont="1" applyFill="1" applyBorder="1" applyAlignment="1">
      <alignment horizontal="right" vertical="center" wrapText="1"/>
    </xf>
    <xf numFmtId="3" fontId="6" fillId="7" borderId="23" xfId="0" applyNumberFormat="1" applyFont="1" applyFill="1" applyBorder="1" applyAlignment="1">
      <alignment horizontal="left" vertical="center" wrapText="1"/>
    </xf>
    <xf numFmtId="167" fontId="6" fillId="7" borderId="38" xfId="1" applyNumberFormat="1" applyFont="1" applyFill="1" applyBorder="1" applyAlignment="1">
      <alignment horizontal="right" vertical="center" wrapText="1"/>
    </xf>
    <xf numFmtId="167" fontId="0" fillId="0" borderId="32" xfId="1" applyNumberFormat="1" applyFont="1" applyBorder="1"/>
    <xf numFmtId="167" fontId="0" fillId="0" borderId="29" xfId="1" applyNumberFormat="1" applyFont="1" applyBorder="1"/>
    <xf numFmtId="167" fontId="0" fillId="0" borderId="33" xfId="1" applyNumberFormat="1" applyFont="1" applyBorder="1"/>
    <xf numFmtId="167" fontId="6" fillId="7" borderId="36" xfId="1" applyNumberFormat="1" applyFont="1" applyFill="1" applyBorder="1" applyAlignment="1">
      <alignment horizontal="left" vertical="center" wrapText="1"/>
    </xf>
    <xf numFmtId="167" fontId="6" fillId="7" borderId="37" xfId="1" applyNumberFormat="1" applyFont="1" applyFill="1" applyBorder="1" applyAlignment="1">
      <alignment horizontal="left" vertical="center" wrapText="1"/>
    </xf>
    <xf numFmtId="167" fontId="6" fillId="7" borderId="38" xfId="1" applyNumberFormat="1" applyFont="1" applyFill="1" applyBorder="1" applyAlignment="1">
      <alignment horizontal="left" vertical="center" wrapText="1"/>
    </xf>
    <xf numFmtId="167" fontId="2" fillId="11" borderId="5" xfId="0" applyNumberFormat="1" applyFont="1" applyFill="1" applyBorder="1"/>
    <xf numFmtId="0" fontId="8" fillId="0" borderId="15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64" fontId="9" fillId="0" borderId="24" xfId="1" applyNumberFormat="1" applyFont="1" applyBorder="1" applyAlignment="1">
      <alignment horizontal="center" vertical="center"/>
    </xf>
    <xf numFmtId="167" fontId="0" fillId="0" borderId="24" xfId="1" applyNumberFormat="1" applyFont="1" applyFill="1" applyBorder="1" applyAlignment="1">
      <alignment horizontal="center"/>
    </xf>
    <xf numFmtId="167" fontId="0" fillId="6" borderId="24" xfId="1" applyNumberFormat="1" applyFont="1" applyFill="1" applyBorder="1" applyAlignment="1">
      <alignment horizontal="center"/>
    </xf>
    <xf numFmtId="167" fontId="0" fillId="3" borderId="24" xfId="1" applyNumberFormat="1" applyFont="1" applyFill="1" applyBorder="1" applyAlignment="1">
      <alignment horizontal="center"/>
    </xf>
    <xf numFmtId="169" fontId="10" fillId="5" borderId="24" xfId="2" applyNumberFormat="1" applyFont="1" applyFill="1" applyBorder="1" applyAlignment="1">
      <alignment horizontal="center"/>
    </xf>
    <xf numFmtId="169" fontId="10" fillId="5" borderId="76" xfId="2" applyNumberFormat="1" applyFont="1" applyFill="1" applyBorder="1" applyAlignment="1">
      <alignment horizontal="center"/>
    </xf>
    <xf numFmtId="170" fontId="2" fillId="0" borderId="9" xfId="0" applyNumberFormat="1" applyFont="1" applyBorder="1"/>
    <xf numFmtId="167" fontId="2" fillId="0" borderId="3" xfId="1" applyNumberFormat="1" applyFont="1" applyFill="1" applyBorder="1" applyAlignment="1"/>
    <xf numFmtId="167" fontId="2" fillId="4" borderId="4" xfId="1" applyNumberFormat="1" applyFont="1" applyFill="1" applyBorder="1" applyAlignment="1">
      <alignment horizontal="center"/>
    </xf>
    <xf numFmtId="167" fontId="2" fillId="5" borderId="4" xfId="1" applyNumberFormat="1" applyFont="1" applyFill="1" applyBorder="1" applyAlignment="1">
      <alignment horizontal="center"/>
    </xf>
    <xf numFmtId="167" fontId="2" fillId="5" borderId="5" xfId="1" applyNumberFormat="1" applyFont="1" applyFill="1" applyBorder="1" applyAlignment="1">
      <alignment horizontal="center"/>
    </xf>
    <xf numFmtId="3" fontId="9" fillId="0" borderId="77" xfId="0" applyNumberFormat="1" applyFont="1" applyBorder="1"/>
    <xf numFmtId="167" fontId="0" fillId="0" borderId="78" xfId="1" applyNumberFormat="1" applyFont="1" applyBorder="1" applyAlignment="1">
      <alignment horizontal="center"/>
    </xf>
    <xf numFmtId="164" fontId="9" fillId="0" borderId="78" xfId="1" applyNumberFormat="1" applyFont="1" applyFill="1" applyBorder="1" applyAlignment="1">
      <alignment horizontal="center"/>
    </xf>
    <xf numFmtId="164" fontId="9" fillId="0" borderId="78" xfId="1" applyNumberFormat="1" applyFont="1" applyFill="1" applyBorder="1" applyAlignment="1">
      <alignment horizontal="center" vertical="center"/>
    </xf>
    <xf numFmtId="164" fontId="9" fillId="0" borderId="79" xfId="1" applyNumberFormat="1" applyFont="1" applyFill="1" applyBorder="1" applyAlignment="1">
      <alignment horizontal="center"/>
    </xf>
    <xf numFmtId="164" fontId="8" fillId="0" borderId="78" xfId="1" applyNumberFormat="1" applyFont="1" applyFill="1" applyBorder="1" applyAlignment="1">
      <alignment horizontal="center"/>
    </xf>
    <xf numFmtId="166" fontId="8" fillId="0" borderId="9" xfId="0" applyNumberFormat="1" applyFont="1" applyBorder="1"/>
    <xf numFmtId="0" fontId="8" fillId="0" borderId="16" xfId="0" applyFont="1" applyBorder="1"/>
    <xf numFmtId="167" fontId="2" fillId="4" borderId="16" xfId="1" applyNumberFormat="1" applyFont="1" applyFill="1" applyBorder="1" applyAlignment="1">
      <alignment horizontal="center"/>
    </xf>
    <xf numFmtId="167" fontId="0" fillId="0" borderId="1" xfId="0" applyNumberFormat="1" applyBorder="1"/>
    <xf numFmtId="0" fontId="14" fillId="0" borderId="14" xfId="0" applyFont="1" applyBorder="1" applyAlignment="1">
      <alignment horizontal="center" vertical="center"/>
    </xf>
    <xf numFmtId="0" fontId="0" fillId="0" borderId="0" xfId="0" applyAlignment="1">
      <alignment wrapText="1"/>
    </xf>
    <xf numFmtId="167" fontId="0" fillId="0" borderId="1" xfId="1" applyNumberFormat="1" applyFont="1" applyBorder="1" applyAlignment="1">
      <alignment horizontal="center"/>
    </xf>
    <xf numFmtId="10" fontId="0" fillId="0" borderId="1" xfId="3" applyNumberFormat="1" applyFont="1" applyBorder="1" applyAlignment="1">
      <alignment horizontal="center"/>
    </xf>
    <xf numFmtId="10" fontId="0" fillId="0" borderId="1" xfId="3" applyNumberFormat="1" applyFont="1" applyBorder="1"/>
    <xf numFmtId="172" fontId="0" fillId="0" borderId="1" xfId="2" applyNumberFormat="1" applyFont="1" applyBorder="1"/>
    <xf numFmtId="172" fontId="2" fillId="0" borderId="1" xfId="0" applyNumberFormat="1" applyFont="1" applyBorder="1"/>
    <xf numFmtId="10" fontId="2" fillId="0" borderId="1" xfId="0" applyNumberFormat="1" applyFont="1" applyBorder="1"/>
    <xf numFmtId="172" fontId="2" fillId="0" borderId="1" xfId="0" applyNumberFormat="1" applyFon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167" fontId="6" fillId="7" borderId="1" xfId="1" applyNumberFormat="1" applyFont="1" applyFill="1" applyBorder="1" applyAlignment="1">
      <alignment horizontal="left" vertical="center" wrapText="1"/>
    </xf>
    <xf numFmtId="0" fontId="6" fillId="7" borderId="42" xfId="0" applyFont="1" applyFill="1" applyBorder="1" applyAlignment="1">
      <alignment horizontal="left" vertical="center" wrapText="1"/>
    </xf>
    <xf numFmtId="0" fontId="6" fillId="7" borderId="24" xfId="0" applyFont="1" applyFill="1" applyBorder="1" applyAlignment="1">
      <alignment horizontal="left" vertical="center" wrapText="1"/>
    </xf>
    <xf numFmtId="0" fontId="6" fillId="7" borderId="13" xfId="0" applyFont="1" applyFill="1" applyBorder="1" applyAlignment="1">
      <alignment horizontal="left" vertical="center" wrapText="1"/>
    </xf>
    <xf numFmtId="3" fontId="6" fillId="7" borderId="24" xfId="0" applyNumberFormat="1" applyFont="1" applyFill="1" applyBorder="1" applyAlignment="1">
      <alignment horizontal="left" vertical="center" wrapText="1"/>
    </xf>
    <xf numFmtId="167" fontId="6" fillId="7" borderId="24" xfId="1" applyNumberFormat="1" applyFont="1" applyFill="1" applyBorder="1" applyAlignment="1">
      <alignment horizontal="left" vertical="center" wrapText="1"/>
    </xf>
    <xf numFmtId="0" fontId="16" fillId="0" borderId="0" xfId="0" applyFont="1"/>
    <xf numFmtId="172" fontId="16" fillId="0" borderId="0" xfId="2" applyNumberFormat="1" applyFont="1"/>
    <xf numFmtId="0" fontId="14" fillId="14" borderId="4" xfId="0" applyFont="1" applyFill="1" applyBorder="1" applyAlignment="1">
      <alignment horizontal="center" vertical="center" wrapText="1"/>
    </xf>
    <xf numFmtId="0" fontId="14" fillId="14" borderId="4" xfId="0" applyFont="1" applyFill="1" applyBorder="1" applyAlignment="1">
      <alignment horizontal="center" vertical="center"/>
    </xf>
    <xf numFmtId="172" fontId="16" fillId="0" borderId="14" xfId="2" applyNumberFormat="1" applyFont="1" applyBorder="1" applyAlignment="1">
      <alignment horizontal="center" vertical="center"/>
    </xf>
    <xf numFmtId="172" fontId="16" fillId="0" borderId="0" xfId="2" applyNumberFormat="1" applyFont="1" applyBorder="1" applyAlignment="1">
      <alignment horizontal="center" vertical="center"/>
    </xf>
    <xf numFmtId="172" fontId="16" fillId="0" borderId="51" xfId="2" applyNumberFormat="1" applyFont="1" applyBorder="1" applyAlignment="1">
      <alignment horizontal="center" vertical="center"/>
    </xf>
    <xf numFmtId="172" fontId="16" fillId="17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172" fontId="0" fillId="0" borderId="1" xfId="0" applyNumberFormat="1" applyBorder="1"/>
    <xf numFmtId="10" fontId="0" fillId="0" borderId="1" xfId="0" applyNumberFormat="1" applyBorder="1"/>
    <xf numFmtId="172" fontId="0" fillId="0" borderId="0" xfId="0" applyNumberFormat="1"/>
    <xf numFmtId="0" fontId="17" fillId="0" borderId="0" xfId="0" applyFont="1"/>
    <xf numFmtId="0" fontId="17" fillId="0" borderId="1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1" fillId="11" borderId="3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5" xfId="0" applyFont="1" applyFill="1" applyBorder="1" applyAlignment="1">
      <alignment horizontal="center" vertical="center"/>
    </xf>
    <xf numFmtId="0" fontId="0" fillId="0" borderId="20" xfId="0" applyBorder="1"/>
    <xf numFmtId="0" fontId="0" fillId="0" borderId="21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8" xfId="0" applyBorder="1"/>
    <xf numFmtId="0" fontId="0" fillId="0" borderId="1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22" xfId="0" applyBorder="1"/>
    <xf numFmtId="0" fontId="0" fillId="0" borderId="23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/>
    <xf numFmtId="0" fontId="0" fillId="0" borderId="6" xfId="0" applyBorder="1" applyAlignment="1">
      <alignment horizontal="center"/>
    </xf>
    <xf numFmtId="0" fontId="0" fillId="0" borderId="40" xfId="0" applyBorder="1" applyAlignment="1">
      <alignment horizontal="center"/>
    </xf>
    <xf numFmtId="167" fontId="2" fillId="0" borderId="16" xfId="1" applyNumberFormat="1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8" fillId="2" borderId="69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/>
    </xf>
    <xf numFmtId="0" fontId="18" fillId="2" borderId="68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7" fillId="0" borderId="6" xfId="0" applyFont="1" applyBorder="1"/>
    <xf numFmtId="0" fontId="17" fillId="0" borderId="6" xfId="0" applyFont="1" applyBorder="1" applyAlignment="1">
      <alignment horizontal="center" vertical="center"/>
    </xf>
    <xf numFmtId="44" fontId="17" fillId="0" borderId="56" xfId="0" applyNumberFormat="1" applyFont="1" applyBorder="1" applyAlignment="1">
      <alignment horizontal="center" vertical="center"/>
    </xf>
    <xf numFmtId="44" fontId="17" fillId="0" borderId="40" xfId="2" applyFont="1" applyBorder="1" applyAlignment="1">
      <alignment horizontal="center" vertical="center"/>
    </xf>
    <xf numFmtId="0" fontId="17" fillId="0" borderId="1" xfId="0" applyFont="1" applyBorder="1"/>
    <xf numFmtId="0" fontId="17" fillId="0" borderId="1" xfId="0" applyFont="1" applyBorder="1" applyAlignment="1">
      <alignment horizontal="center" vertical="center"/>
    </xf>
    <xf numFmtId="172" fontId="17" fillId="0" borderId="0" xfId="2" applyNumberFormat="1" applyFont="1"/>
    <xf numFmtId="0" fontId="17" fillId="0" borderId="23" xfId="0" applyFont="1" applyBorder="1"/>
    <xf numFmtId="0" fontId="17" fillId="0" borderId="23" xfId="0" applyFont="1" applyBorder="1" applyAlignment="1">
      <alignment horizontal="center" vertical="center"/>
    </xf>
    <xf numFmtId="44" fontId="17" fillId="0" borderId="73" xfId="0" applyNumberFormat="1" applyFont="1" applyBorder="1" applyAlignment="1">
      <alignment horizontal="center" vertical="center"/>
    </xf>
    <xf numFmtId="44" fontId="17" fillId="0" borderId="41" xfId="2" applyFont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center" vertical="center"/>
    </xf>
    <xf numFmtId="44" fontId="20" fillId="0" borderId="44" xfId="2" applyFont="1" applyBorder="1" applyAlignment="1">
      <alignment horizontal="center" vertical="center"/>
    </xf>
    <xf numFmtId="44" fontId="20" fillId="0" borderId="37" xfId="2" applyFont="1" applyBorder="1" applyAlignment="1">
      <alignment horizontal="center" vertical="center"/>
    </xf>
    <xf numFmtId="0" fontId="20" fillId="0" borderId="1" xfId="0" applyFont="1" applyBorder="1"/>
    <xf numFmtId="44" fontId="17" fillId="0" borderId="44" xfId="2" applyFont="1" applyBorder="1" applyAlignment="1">
      <alignment horizontal="center" vertical="center"/>
    </xf>
    <xf numFmtId="44" fontId="17" fillId="0" borderId="37" xfId="2" applyFont="1" applyBorder="1" applyAlignment="1">
      <alignment horizontal="center" vertical="center"/>
    </xf>
    <xf numFmtId="44" fontId="17" fillId="0" borderId="62" xfId="2" applyFont="1" applyBorder="1" applyAlignment="1">
      <alignment horizontal="center" vertical="center"/>
    </xf>
    <xf numFmtId="44" fontId="17" fillId="0" borderId="38" xfId="2" applyFont="1" applyBorder="1" applyAlignment="1">
      <alignment horizontal="center" vertical="center"/>
    </xf>
    <xf numFmtId="44" fontId="17" fillId="0" borderId="44" xfId="2" applyFont="1" applyBorder="1" applyAlignment="1">
      <alignment horizontal="center"/>
    </xf>
    <xf numFmtId="44" fontId="17" fillId="0" borderId="37" xfId="2" applyFont="1" applyBorder="1" applyAlignment="1">
      <alignment horizontal="center"/>
    </xf>
    <xf numFmtId="44" fontId="17" fillId="0" borderId="62" xfId="2" applyFont="1" applyBorder="1" applyAlignment="1">
      <alignment horizontal="center"/>
    </xf>
    <xf numFmtId="44" fontId="17" fillId="0" borderId="38" xfId="2" applyFont="1" applyBorder="1" applyAlignment="1">
      <alignment horizontal="center"/>
    </xf>
    <xf numFmtId="0" fontId="17" fillId="0" borderId="16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left"/>
    </xf>
    <xf numFmtId="164" fontId="17" fillId="0" borderId="6" xfId="1" applyNumberFormat="1" applyFont="1" applyBorder="1" applyAlignment="1">
      <alignment horizontal="center" vertical="center"/>
    </xf>
    <xf numFmtId="44" fontId="17" fillId="0" borderId="6" xfId="2" applyFont="1" applyBorder="1" applyAlignment="1">
      <alignment horizontal="center" vertical="center"/>
    </xf>
    <xf numFmtId="164" fontId="17" fillId="0" borderId="1" xfId="1" applyNumberFormat="1" applyFont="1" applyBorder="1" applyAlignment="1">
      <alignment horizontal="center" vertical="center"/>
    </xf>
    <xf numFmtId="44" fontId="17" fillId="0" borderId="1" xfId="2" applyFont="1" applyBorder="1" applyAlignment="1">
      <alignment horizontal="center" vertical="center"/>
    </xf>
    <xf numFmtId="164" fontId="17" fillId="0" borderId="23" xfId="1" applyNumberFormat="1" applyFont="1" applyBorder="1" applyAlignment="1">
      <alignment horizontal="center" vertical="center"/>
    </xf>
    <xf numFmtId="44" fontId="17" fillId="0" borderId="23" xfId="2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7" fillId="0" borderId="4" xfId="0" applyFont="1" applyBorder="1" applyAlignment="1">
      <alignment horizontal="left"/>
    </xf>
    <xf numFmtId="164" fontId="17" fillId="0" borderId="4" xfId="1" applyNumberFormat="1" applyFont="1" applyBorder="1" applyAlignment="1">
      <alignment horizontal="center" vertical="center"/>
    </xf>
    <xf numFmtId="44" fontId="17" fillId="0" borderId="4" xfId="2" applyFont="1" applyBorder="1" applyAlignment="1">
      <alignment horizontal="center" vertical="center"/>
    </xf>
    <xf numFmtId="44" fontId="17" fillId="0" borderId="5" xfId="2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3" xfId="0" applyBorder="1"/>
    <xf numFmtId="0" fontId="0" fillId="0" borderId="78" xfId="0" applyBorder="1"/>
    <xf numFmtId="3" fontId="0" fillId="0" borderId="39" xfId="0" applyNumberFormat="1" applyBorder="1"/>
    <xf numFmtId="3" fontId="0" fillId="0" borderId="18" xfId="0" applyNumberFormat="1" applyBorder="1"/>
    <xf numFmtId="3" fontId="0" fillId="0" borderId="42" xfId="0" applyNumberFormat="1" applyBorder="1"/>
    <xf numFmtId="0" fontId="0" fillId="0" borderId="24" xfId="0" applyBorder="1"/>
    <xf numFmtId="3" fontId="0" fillId="0" borderId="74" xfId="0" applyNumberFormat="1" applyBorder="1"/>
    <xf numFmtId="3" fontId="0" fillId="0" borderId="75" xfId="0" applyNumberFormat="1" applyBorder="1"/>
    <xf numFmtId="3" fontId="0" fillId="0" borderId="8" xfId="0" applyNumberFormat="1" applyBorder="1"/>
    <xf numFmtId="0" fontId="0" fillId="11" borderId="36" xfId="0" applyFill="1" applyBorder="1" applyAlignment="1">
      <alignment horizontal="left" vertical="center" wrapText="1"/>
    </xf>
    <xf numFmtId="0" fontId="0" fillId="11" borderId="20" xfId="0" applyFill="1" applyBorder="1" applyAlignment="1">
      <alignment horizontal="left" vertical="center" wrapText="1"/>
    </xf>
    <xf numFmtId="3" fontId="0" fillId="11" borderId="21" xfId="0" applyNumberFormat="1" applyFill="1" applyBorder="1" applyAlignment="1">
      <alignment horizontal="left" vertical="center" wrapText="1"/>
    </xf>
    <xf numFmtId="0" fontId="0" fillId="11" borderId="18" xfId="0" applyFill="1" applyBorder="1" applyAlignment="1">
      <alignment horizontal="left" wrapText="1"/>
    </xf>
    <xf numFmtId="0" fontId="0" fillId="11" borderId="1" xfId="0" applyFill="1" applyBorder="1" applyAlignment="1">
      <alignment horizontal="left" wrapText="1"/>
    </xf>
    <xf numFmtId="0" fontId="0" fillId="11" borderId="37" xfId="0" applyFill="1" applyBorder="1" applyAlignment="1">
      <alignment horizontal="left" wrapText="1"/>
    </xf>
    <xf numFmtId="0" fontId="0" fillId="11" borderId="22" xfId="0" applyFill="1" applyBorder="1" applyAlignment="1">
      <alignment horizontal="left" wrapText="1"/>
    </xf>
    <xf numFmtId="10" fontId="0" fillId="11" borderId="23" xfId="3" applyNumberFormat="1" applyFont="1" applyFill="1" applyBorder="1" applyAlignment="1">
      <alignment horizontal="left" wrapText="1"/>
    </xf>
    <xf numFmtId="0" fontId="0" fillId="11" borderId="38" xfId="0" applyFill="1" applyBorder="1" applyAlignment="1">
      <alignment horizontal="left" wrapText="1"/>
    </xf>
    <xf numFmtId="167" fontId="0" fillId="0" borderId="6" xfId="0" applyNumberFormat="1" applyBorder="1"/>
    <xf numFmtId="10" fontId="0" fillId="0" borderId="6" xfId="3" applyNumberFormat="1" applyFont="1" applyBorder="1" applyAlignment="1">
      <alignment horizontal="center"/>
    </xf>
    <xf numFmtId="167" fontId="0" fillId="0" borderId="6" xfId="1" applyNumberFormat="1" applyFont="1" applyBorder="1" applyAlignment="1">
      <alignment horizontal="center"/>
    </xf>
    <xf numFmtId="0" fontId="2" fillId="11" borderId="22" xfId="0" applyFont="1" applyFill="1" applyBorder="1"/>
    <xf numFmtId="0" fontId="2" fillId="11" borderId="23" xfId="0" applyFont="1" applyFill="1" applyBorder="1"/>
    <xf numFmtId="0" fontId="2" fillId="11" borderId="23" xfId="0" applyFont="1" applyFill="1" applyBorder="1" applyAlignment="1">
      <alignment horizontal="center"/>
    </xf>
    <xf numFmtId="0" fontId="0" fillId="11" borderId="11" xfId="0" applyFill="1" applyBorder="1"/>
    <xf numFmtId="10" fontId="0" fillId="0" borderId="6" xfId="0" applyNumberFormat="1" applyBorder="1" applyAlignment="1">
      <alignment horizontal="center"/>
    </xf>
    <xf numFmtId="0" fontId="2" fillId="18" borderId="22" xfId="0" applyFont="1" applyFill="1" applyBorder="1"/>
    <xf numFmtId="0" fontId="2" fillId="18" borderId="23" xfId="0" applyFont="1" applyFill="1" applyBorder="1" applyAlignment="1">
      <alignment horizontal="center"/>
    </xf>
    <xf numFmtId="0" fontId="2" fillId="18" borderId="38" xfId="0" applyFont="1" applyFill="1" applyBorder="1"/>
    <xf numFmtId="0" fontId="2" fillId="0" borderId="3" xfId="0" applyFont="1" applyBorder="1"/>
    <xf numFmtId="1" fontId="2" fillId="0" borderId="4" xfId="0" applyNumberFormat="1" applyFont="1" applyBorder="1" applyAlignment="1">
      <alignment horizontal="center"/>
    </xf>
    <xf numFmtId="10" fontId="2" fillId="0" borderId="5" xfId="0" applyNumberFormat="1" applyFont="1" applyBorder="1"/>
    <xf numFmtId="10" fontId="0" fillId="0" borderId="36" xfId="3" applyNumberFormat="1" applyFont="1" applyBorder="1"/>
    <xf numFmtId="10" fontId="0" fillId="0" borderId="37" xfId="3" applyNumberFormat="1" applyFont="1" applyBorder="1"/>
    <xf numFmtId="10" fontId="0" fillId="0" borderId="38" xfId="3" applyNumberFormat="1" applyFont="1" applyBorder="1"/>
    <xf numFmtId="0" fontId="0" fillId="0" borderId="0" xfId="0" applyAlignment="1">
      <alignment horizontal="left" vertical="center"/>
    </xf>
    <xf numFmtId="0" fontId="0" fillId="0" borderId="38" xfId="0" applyBorder="1"/>
    <xf numFmtId="0" fontId="0" fillId="0" borderId="37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9" xfId="0" applyBorder="1" applyAlignment="1">
      <alignment horizontal="right" vertical="center"/>
    </xf>
    <xf numFmtId="0" fontId="0" fillId="0" borderId="59" xfId="0" applyBorder="1" applyAlignment="1">
      <alignment horizontal="right" vertic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right" vertical="center"/>
    </xf>
    <xf numFmtId="0" fontId="0" fillId="0" borderId="61" xfId="0" applyBorder="1" applyAlignment="1">
      <alignment horizontal="right" vertical="center"/>
    </xf>
    <xf numFmtId="0" fontId="0" fillId="0" borderId="62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/>
    </xf>
    <xf numFmtId="1" fontId="0" fillId="0" borderId="2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0" fontId="0" fillId="7" borderId="0" xfId="0" applyFill="1" applyAlignment="1">
      <alignment horizontal="left" vertical="top" wrapText="1"/>
    </xf>
    <xf numFmtId="4" fontId="0" fillId="0" borderId="0" xfId="0" applyNumberFormat="1"/>
    <xf numFmtId="167" fontId="2" fillId="0" borderId="16" xfId="0" applyNumberFormat="1" applyFont="1" applyBorder="1"/>
    <xf numFmtId="0" fontId="20" fillId="0" borderId="1" xfId="0" applyFont="1" applyBorder="1" applyAlignment="1">
      <alignment horizontal="center"/>
    </xf>
    <xf numFmtId="44" fontId="20" fillId="0" borderId="44" xfId="2" applyFont="1" applyBorder="1" applyAlignment="1">
      <alignment horizontal="center"/>
    </xf>
    <xf numFmtId="44" fontId="20" fillId="0" borderId="37" xfId="2" applyFont="1" applyBorder="1" applyAlignment="1">
      <alignment horizontal="center"/>
    </xf>
    <xf numFmtId="0" fontId="17" fillId="0" borderId="0" xfId="0" applyFont="1" applyAlignment="1">
      <alignment horizontal="center"/>
    </xf>
    <xf numFmtId="43" fontId="17" fillId="0" borderId="0" xfId="1" applyFont="1"/>
    <xf numFmtId="0" fontId="18" fillId="0" borderId="0" xfId="0" applyFont="1"/>
    <xf numFmtId="0" fontId="17" fillId="14" borderId="7" xfId="0" applyFont="1" applyFill="1" applyBorder="1"/>
    <xf numFmtId="0" fontId="19" fillId="14" borderId="12" xfId="0" applyFont="1" applyFill="1" applyBorder="1" applyAlignment="1">
      <alignment horizontal="center" vertical="center"/>
    </xf>
    <xf numFmtId="0" fontId="19" fillId="14" borderId="13" xfId="0" applyFont="1" applyFill="1" applyBorder="1" applyAlignment="1">
      <alignment horizontal="center" vertical="center"/>
    </xf>
    <xf numFmtId="44" fontId="18" fillId="14" borderId="13" xfId="2" applyFont="1" applyFill="1" applyBorder="1" applyAlignment="1">
      <alignment horizontal="center" vertical="center"/>
    </xf>
    <xf numFmtId="0" fontId="19" fillId="14" borderId="72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43" fontId="18" fillId="0" borderId="0" xfId="1" applyFont="1" applyAlignment="1">
      <alignment horizontal="center" vertical="center"/>
    </xf>
    <xf numFmtId="0" fontId="21" fillId="0" borderId="20" xfId="0" applyFont="1" applyBorder="1" applyAlignment="1">
      <alignment vertical="center"/>
    </xf>
    <xf numFmtId="0" fontId="21" fillId="0" borderId="21" xfId="0" applyFont="1" applyBorder="1" applyAlignment="1">
      <alignment vertical="center"/>
    </xf>
    <xf numFmtId="172" fontId="17" fillId="0" borderId="21" xfId="2" applyNumberFormat="1" applyFont="1" applyBorder="1"/>
    <xf numFmtId="44" fontId="17" fillId="0" borderId="52" xfId="0" applyNumberFormat="1" applyFont="1" applyBorder="1"/>
    <xf numFmtId="172" fontId="17" fillId="0" borderId="1" xfId="2" applyNumberFormat="1" applyFont="1" applyBorder="1"/>
    <xf numFmtId="172" fontId="17" fillId="0" borderId="37" xfId="0" applyNumberFormat="1" applyFont="1" applyBorder="1"/>
    <xf numFmtId="0" fontId="21" fillId="0" borderId="18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44" fontId="17" fillId="0" borderId="44" xfId="0" applyNumberFormat="1" applyFont="1" applyBorder="1"/>
    <xf numFmtId="167" fontId="17" fillId="0" borderId="18" xfId="0" applyNumberFormat="1" applyFont="1" applyBorder="1"/>
    <xf numFmtId="0" fontId="21" fillId="0" borderId="22" xfId="0" applyFont="1" applyBorder="1" applyAlignment="1">
      <alignment vertical="center"/>
    </xf>
    <xf numFmtId="0" fontId="21" fillId="0" borderId="23" xfId="0" applyFont="1" applyBorder="1" applyAlignment="1">
      <alignment vertical="center"/>
    </xf>
    <xf numFmtId="172" fontId="17" fillId="0" borderId="23" xfId="2" applyNumberFormat="1" applyFont="1" applyBorder="1"/>
    <xf numFmtId="44" fontId="17" fillId="0" borderId="62" xfId="0" applyNumberFormat="1" applyFont="1" applyBorder="1"/>
    <xf numFmtId="167" fontId="17" fillId="0" borderId="22" xfId="1" applyNumberFormat="1" applyFont="1" applyBorder="1"/>
    <xf numFmtId="167" fontId="17" fillId="14" borderId="15" xfId="1" applyNumberFormat="1" applyFont="1" applyFill="1" applyBorder="1"/>
    <xf numFmtId="44" fontId="17" fillId="14" borderId="51" xfId="2" applyFont="1" applyFill="1" applyBorder="1"/>
    <xf numFmtId="44" fontId="17" fillId="14" borderId="27" xfId="2" applyFont="1" applyFill="1" applyBorder="1"/>
    <xf numFmtId="167" fontId="17" fillId="16" borderId="27" xfId="1" applyNumberFormat="1" applyFont="1" applyFill="1" applyBorder="1"/>
    <xf numFmtId="1" fontId="17" fillId="0" borderId="0" xfId="0" applyNumberFormat="1" applyFont="1"/>
    <xf numFmtId="9" fontId="17" fillId="0" borderId="0" xfId="0" applyNumberFormat="1" applyFont="1"/>
    <xf numFmtId="10" fontId="17" fillId="0" borderId="0" xfId="0" applyNumberFormat="1" applyFont="1"/>
    <xf numFmtId="171" fontId="17" fillId="0" borderId="0" xfId="0" applyNumberFormat="1" applyFont="1"/>
    <xf numFmtId="0" fontId="18" fillId="18" borderId="9" xfId="0" applyFont="1" applyFill="1" applyBorder="1"/>
    <xf numFmtId="1" fontId="18" fillId="18" borderId="11" xfId="0" applyNumberFormat="1" applyFont="1" applyFill="1" applyBorder="1"/>
    <xf numFmtId="167" fontId="17" fillId="0" borderId="39" xfId="0" applyNumberFormat="1" applyFont="1" applyBorder="1"/>
    <xf numFmtId="172" fontId="17" fillId="0" borderId="6" xfId="2" applyNumberFormat="1" applyFont="1" applyBorder="1"/>
    <xf numFmtId="172" fontId="17" fillId="0" borderId="40" xfId="0" applyNumberFormat="1" applyFont="1" applyBorder="1"/>
    <xf numFmtId="0" fontId="18" fillId="16" borderId="3" xfId="0" applyFont="1" applyFill="1" applyBorder="1" applyAlignment="1">
      <alignment horizontal="center" vertical="center" wrapText="1"/>
    </xf>
    <xf numFmtId="0" fontId="18" fillId="16" borderId="16" xfId="0" applyFont="1" applyFill="1" applyBorder="1" applyAlignment="1">
      <alignment horizontal="center" vertical="center" wrapText="1"/>
    </xf>
    <xf numFmtId="0" fontId="18" fillId="16" borderId="11" xfId="0" applyFont="1" applyFill="1" applyBorder="1" applyAlignment="1">
      <alignment horizontal="center" vertical="center" wrapText="1"/>
    </xf>
    <xf numFmtId="172" fontId="17" fillId="0" borderId="24" xfId="2" applyNumberFormat="1" applyFont="1" applyBorder="1"/>
    <xf numFmtId="167" fontId="17" fillId="16" borderId="16" xfId="1" applyNumberFormat="1" applyFont="1" applyFill="1" applyBorder="1"/>
    <xf numFmtId="0" fontId="14" fillId="11" borderId="16" xfId="0" applyFont="1" applyFill="1" applyBorder="1" applyAlignment="1">
      <alignment horizontal="center" vertical="center"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center"/>
    </xf>
    <xf numFmtId="0" fontId="14" fillId="10" borderId="3" xfId="0" applyFont="1" applyFill="1" applyBorder="1" applyAlignment="1">
      <alignment horizontal="center" vertical="center"/>
    </xf>
    <xf numFmtId="0" fontId="14" fillId="10" borderId="4" xfId="0" applyFont="1" applyFill="1" applyBorder="1" applyAlignment="1">
      <alignment horizontal="center" vertical="center"/>
    </xf>
    <xf numFmtId="0" fontId="14" fillId="10" borderId="68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/>
    </xf>
    <xf numFmtId="0" fontId="14" fillId="4" borderId="68" xfId="0" applyFont="1" applyFill="1" applyBorder="1" applyAlignment="1">
      <alignment horizontal="center" vertical="center" wrapText="1"/>
    </xf>
    <xf numFmtId="0" fontId="14" fillId="12" borderId="3" xfId="0" applyFont="1" applyFill="1" applyBorder="1" applyAlignment="1">
      <alignment horizontal="center" vertical="center" wrapText="1"/>
    </xf>
    <xf numFmtId="0" fontId="14" fillId="12" borderId="68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14" fillId="15" borderId="69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69" xfId="0" applyFont="1" applyFill="1" applyBorder="1" applyAlignment="1">
      <alignment horizontal="center" vertical="center" wrapText="1"/>
    </xf>
    <xf numFmtId="0" fontId="14" fillId="13" borderId="68" xfId="0" applyFont="1" applyFill="1" applyBorder="1" applyAlignment="1">
      <alignment horizontal="center" vertical="center" wrapText="1"/>
    </xf>
    <xf numFmtId="0" fontId="14" fillId="8" borderId="16" xfId="0" applyFont="1" applyFill="1" applyBorder="1" applyAlignment="1">
      <alignment horizontal="center" vertical="center" wrapText="1"/>
    </xf>
    <xf numFmtId="0" fontId="16" fillId="0" borderId="17" xfId="0" applyFont="1" applyBorder="1"/>
    <xf numFmtId="0" fontId="16" fillId="0" borderId="14" xfId="0" applyFont="1" applyBorder="1" applyAlignment="1">
      <alignment horizontal="center"/>
    </xf>
    <xf numFmtId="44" fontId="16" fillId="0" borderId="14" xfId="2" applyFont="1" applyBorder="1"/>
    <xf numFmtId="0" fontId="16" fillId="0" borderId="14" xfId="0" applyFont="1" applyBorder="1"/>
    <xf numFmtId="172" fontId="14" fillId="12" borderId="12" xfId="2" applyNumberFormat="1" applyFont="1" applyFill="1" applyBorder="1" applyAlignment="1">
      <alignment vertical="center"/>
    </xf>
    <xf numFmtId="44" fontId="16" fillId="0" borderId="14" xfId="2" applyFont="1" applyBorder="1" applyAlignment="1">
      <alignment horizontal="center"/>
    </xf>
    <xf numFmtId="44" fontId="16" fillId="0" borderId="71" xfId="2" applyFont="1" applyBorder="1"/>
    <xf numFmtId="167" fontId="16" fillId="0" borderId="72" xfId="1" applyNumberFormat="1" applyFont="1" applyBorder="1"/>
    <xf numFmtId="9" fontId="16" fillId="0" borderId="14" xfId="3" applyFont="1" applyBorder="1"/>
    <xf numFmtId="0" fontId="14" fillId="11" borderId="7" xfId="0" applyFont="1" applyFill="1" applyBorder="1"/>
    <xf numFmtId="0" fontId="16" fillId="0" borderId="54" xfId="0" applyFont="1" applyBorder="1" applyAlignment="1">
      <alignment wrapText="1"/>
    </xf>
    <xf numFmtId="0" fontId="16" fillId="0" borderId="31" xfId="0" applyFont="1" applyBorder="1"/>
    <xf numFmtId="44" fontId="16" fillId="0" borderId="0" xfId="2" applyFont="1" applyBorder="1"/>
    <xf numFmtId="172" fontId="14" fillId="12" borderId="43" xfId="2" applyNumberFormat="1" applyFont="1" applyFill="1" applyBorder="1" applyAlignment="1">
      <alignment vertical="center"/>
    </xf>
    <xf numFmtId="44" fontId="16" fillId="0" borderId="0" xfId="2" applyFont="1" applyBorder="1" applyAlignment="1"/>
    <xf numFmtId="44" fontId="16" fillId="0" borderId="53" xfId="2" applyFont="1" applyBorder="1"/>
    <xf numFmtId="167" fontId="16" fillId="0" borderId="54" xfId="1" applyNumberFormat="1" applyFont="1" applyBorder="1"/>
    <xf numFmtId="9" fontId="16" fillId="0" borderId="0" xfId="3" applyFont="1" applyBorder="1"/>
    <xf numFmtId="10" fontId="16" fillId="0" borderId="0" xfId="3" applyNumberFormat="1" applyFont="1" applyBorder="1" applyAlignment="1">
      <alignment horizontal="center" vertical="center"/>
    </xf>
    <xf numFmtId="0" fontId="14" fillId="11" borderId="48" xfId="0" applyFont="1" applyFill="1" applyBorder="1"/>
    <xf numFmtId="0" fontId="16" fillId="0" borderId="56" xfId="0" applyFont="1" applyBorder="1" applyAlignment="1">
      <alignment wrapText="1"/>
    </xf>
    <xf numFmtId="0" fontId="16" fillId="0" borderId="28" xfId="0" applyFont="1" applyBorder="1"/>
    <xf numFmtId="0" fontId="16" fillId="0" borderId="57" xfId="0" applyFont="1" applyBorder="1" applyAlignment="1">
      <alignment horizontal="center"/>
    </xf>
    <xf numFmtId="44" fontId="16" fillId="0" borderId="57" xfId="2" applyFont="1" applyBorder="1"/>
    <xf numFmtId="0" fontId="16" fillId="0" borderId="57" xfId="0" applyFont="1" applyBorder="1"/>
    <xf numFmtId="172" fontId="14" fillId="12" borderId="39" xfId="2" applyNumberFormat="1" applyFont="1" applyFill="1" applyBorder="1" applyAlignment="1">
      <alignment vertical="center"/>
    </xf>
    <xf numFmtId="0" fontId="16" fillId="0" borderId="49" xfId="0" applyFont="1" applyBorder="1" applyAlignment="1">
      <alignment horizontal="center"/>
    </xf>
    <xf numFmtId="172" fontId="14" fillId="12" borderId="18" xfId="2" applyNumberFormat="1" applyFont="1" applyFill="1" applyBorder="1" applyAlignment="1">
      <alignment vertical="center"/>
    </xf>
    <xf numFmtId="0" fontId="16" fillId="0" borderId="19" xfId="0" applyFont="1" applyBorder="1"/>
    <xf numFmtId="44" fontId="16" fillId="0" borderId="49" xfId="2" applyFont="1" applyBorder="1" applyAlignment="1"/>
    <xf numFmtId="44" fontId="16" fillId="0" borderId="59" xfId="2" applyFont="1" applyBorder="1"/>
    <xf numFmtId="172" fontId="14" fillId="5" borderId="37" xfId="2" applyNumberFormat="1" applyFont="1" applyFill="1" applyBorder="1" applyAlignment="1">
      <alignment vertical="center"/>
    </xf>
    <xf numFmtId="9" fontId="14" fillId="15" borderId="59" xfId="3" applyFont="1" applyFill="1" applyBorder="1" applyAlignment="1">
      <alignment vertical="center"/>
    </xf>
    <xf numFmtId="167" fontId="16" fillId="0" borderId="66" xfId="0" applyNumberFormat="1" applyFont="1" applyBorder="1"/>
    <xf numFmtId="167" fontId="16" fillId="0" borderId="67" xfId="0" applyNumberFormat="1" applyFont="1" applyBorder="1"/>
    <xf numFmtId="167" fontId="16" fillId="0" borderId="65" xfId="0" applyNumberFormat="1" applyFont="1" applyBorder="1"/>
    <xf numFmtId="9" fontId="14" fillId="2" borderId="59" xfId="3" applyFont="1" applyFill="1" applyBorder="1" applyAlignment="1">
      <alignment vertical="center"/>
    </xf>
    <xf numFmtId="172" fontId="14" fillId="2" borderId="1" xfId="3" applyNumberFormat="1" applyFont="1" applyFill="1" applyBorder="1" applyAlignment="1">
      <alignment vertical="center"/>
    </xf>
    <xf numFmtId="0" fontId="16" fillId="0" borderId="66" xfId="0" applyFont="1" applyBorder="1" applyAlignment="1">
      <alignment wrapText="1"/>
    </xf>
    <xf numFmtId="0" fontId="16" fillId="0" borderId="79" xfId="0" applyFont="1" applyBorder="1"/>
    <xf numFmtId="44" fontId="16" fillId="0" borderId="67" xfId="2" applyFont="1" applyBorder="1"/>
    <xf numFmtId="0" fontId="16" fillId="0" borderId="67" xfId="0" applyFont="1" applyBorder="1"/>
    <xf numFmtId="167" fontId="16" fillId="0" borderId="54" xfId="0" applyNumberFormat="1" applyFont="1" applyBorder="1"/>
    <xf numFmtId="167" fontId="16" fillId="0" borderId="0" xfId="0" applyNumberFormat="1" applyFont="1"/>
    <xf numFmtId="167" fontId="16" fillId="0" borderId="53" xfId="0" applyNumberFormat="1" applyFont="1" applyBorder="1"/>
    <xf numFmtId="167" fontId="14" fillId="11" borderId="48" xfId="1" applyNumberFormat="1" applyFont="1" applyFill="1" applyBorder="1"/>
    <xf numFmtId="44" fontId="14" fillId="2" borderId="59" xfId="2" applyFont="1" applyFill="1" applyBorder="1" applyAlignment="1">
      <alignment vertical="center"/>
    </xf>
    <xf numFmtId="172" fontId="14" fillId="2" borderId="1" xfId="2" applyNumberFormat="1" applyFont="1" applyFill="1" applyBorder="1" applyAlignment="1">
      <alignment vertical="center"/>
    </xf>
    <xf numFmtId="0" fontId="16" fillId="0" borderId="67" xfId="0" applyFont="1" applyBorder="1" applyAlignment="1">
      <alignment horizontal="center"/>
    </xf>
    <xf numFmtId="44" fontId="16" fillId="0" borderId="67" xfId="2" applyFont="1" applyBorder="1" applyAlignment="1"/>
    <xf numFmtId="44" fontId="16" fillId="0" borderId="65" xfId="2" applyFont="1" applyBorder="1"/>
    <xf numFmtId="0" fontId="16" fillId="0" borderId="73" xfId="0" applyFont="1" applyBorder="1" applyAlignment="1">
      <alignment wrapText="1"/>
    </xf>
    <xf numFmtId="0" fontId="16" fillId="0" borderId="15" xfId="0" applyFont="1" applyBorder="1"/>
    <xf numFmtId="0" fontId="16" fillId="0" borderId="51" xfId="0" applyFont="1" applyBorder="1" applyAlignment="1">
      <alignment horizontal="center"/>
    </xf>
    <xf numFmtId="44" fontId="16" fillId="0" borderId="51" xfId="2" applyFont="1" applyBorder="1"/>
    <xf numFmtId="0" fontId="16" fillId="0" borderId="51" xfId="0" applyFont="1" applyBorder="1"/>
    <xf numFmtId="44" fontId="16" fillId="0" borderId="70" xfId="2" applyFont="1" applyBorder="1"/>
    <xf numFmtId="167" fontId="16" fillId="0" borderId="73" xfId="0" applyNumberFormat="1" applyFont="1" applyBorder="1"/>
    <xf numFmtId="167" fontId="16" fillId="0" borderId="51" xfId="0" applyNumberFormat="1" applyFont="1" applyBorder="1"/>
    <xf numFmtId="167" fontId="16" fillId="0" borderId="70" xfId="0" applyNumberFormat="1" applyFont="1" applyBorder="1"/>
    <xf numFmtId="0" fontId="14" fillId="11" borderId="8" xfId="0" applyFont="1" applyFill="1" applyBorder="1"/>
    <xf numFmtId="0" fontId="16" fillId="0" borderId="0" xfId="0" applyFont="1" applyAlignment="1">
      <alignment vertical="center"/>
    </xf>
    <xf numFmtId="0" fontId="16" fillId="0" borderId="71" xfId="0" applyFont="1" applyBorder="1" applyAlignment="1">
      <alignment wrapText="1"/>
    </xf>
    <xf numFmtId="172" fontId="16" fillId="0" borderId="14" xfId="1" applyNumberFormat="1" applyFont="1" applyBorder="1"/>
    <xf numFmtId="172" fontId="16" fillId="0" borderId="14" xfId="0" applyNumberFormat="1" applyFont="1" applyBorder="1" applyAlignment="1">
      <alignment horizontal="center"/>
    </xf>
    <xf numFmtId="172" fontId="16" fillId="0" borderId="14" xfId="2" applyNumberFormat="1" applyFont="1" applyBorder="1"/>
    <xf numFmtId="172" fontId="16" fillId="0" borderId="14" xfId="3" applyNumberFormat="1" applyFont="1" applyBorder="1"/>
    <xf numFmtId="172" fontId="16" fillId="0" borderId="13" xfId="2" applyNumberFormat="1" applyFont="1" applyBorder="1" applyAlignment="1">
      <alignment horizontal="center" vertical="center"/>
    </xf>
    <xf numFmtId="0" fontId="16" fillId="0" borderId="53" xfId="0" applyFont="1" applyBorder="1" applyAlignment="1">
      <alignment wrapText="1"/>
    </xf>
    <xf numFmtId="172" fontId="16" fillId="0" borderId="0" xfId="1" applyNumberFormat="1" applyFont="1" applyBorder="1"/>
    <xf numFmtId="172" fontId="16" fillId="0" borderId="0" xfId="0" applyNumberFormat="1" applyFont="1" applyAlignment="1">
      <alignment horizontal="center"/>
    </xf>
    <xf numFmtId="172" fontId="16" fillId="0" borderId="0" xfId="2" applyNumberFormat="1" applyFont="1" applyBorder="1"/>
    <xf numFmtId="172" fontId="16" fillId="0" borderId="0" xfId="3" applyNumberFormat="1" applyFont="1" applyBorder="1"/>
    <xf numFmtId="172" fontId="16" fillId="0" borderId="2" xfId="2" applyNumberFormat="1" applyFont="1" applyBorder="1" applyAlignment="1">
      <alignment horizontal="center" vertical="center"/>
    </xf>
    <xf numFmtId="0" fontId="16" fillId="0" borderId="55" xfId="0" applyFont="1" applyBorder="1" applyAlignment="1">
      <alignment wrapText="1"/>
    </xf>
    <xf numFmtId="44" fontId="16" fillId="0" borderId="57" xfId="2" applyFont="1" applyBorder="1" applyAlignment="1"/>
    <xf numFmtId="44" fontId="16" fillId="0" borderId="55" xfId="2" applyFont="1" applyBorder="1"/>
    <xf numFmtId="0" fontId="16" fillId="0" borderId="54" xfId="0" applyFont="1" applyBorder="1"/>
    <xf numFmtId="172" fontId="16" fillId="0" borderId="0" xfId="0" applyNumberFormat="1" applyFont="1"/>
    <xf numFmtId="0" fontId="16" fillId="0" borderId="66" xfId="0" applyFont="1" applyBorder="1"/>
    <xf numFmtId="172" fontId="16" fillId="0" borderId="0" xfId="1" applyNumberFormat="1" applyFont="1" applyBorder="1" applyAlignment="1">
      <alignment horizontal="center"/>
    </xf>
    <xf numFmtId="0" fontId="16" fillId="0" borderId="56" xfId="0" applyFont="1" applyBorder="1"/>
    <xf numFmtId="0" fontId="16" fillId="0" borderId="44" xfId="0" applyFont="1" applyBorder="1" applyAlignment="1">
      <alignment wrapText="1"/>
    </xf>
    <xf numFmtId="0" fontId="16" fillId="0" borderId="44" xfId="0" applyFont="1" applyBorder="1"/>
    <xf numFmtId="44" fontId="16" fillId="0" borderId="49" xfId="2" applyFont="1" applyBorder="1"/>
    <xf numFmtId="0" fontId="16" fillId="0" borderId="49" xfId="0" applyFont="1" applyBorder="1"/>
    <xf numFmtId="172" fontId="14" fillId="5" borderId="37" xfId="2" applyNumberFormat="1" applyFont="1" applyFill="1" applyBorder="1" applyAlignment="1">
      <alignment horizontal="center" vertical="center"/>
    </xf>
    <xf numFmtId="44" fontId="14" fillId="2" borderId="1" xfId="2" applyFont="1" applyFill="1" applyBorder="1" applyAlignment="1">
      <alignment horizontal="center" vertical="center"/>
    </xf>
    <xf numFmtId="172" fontId="14" fillId="2" borderId="1" xfId="2" applyNumberFormat="1" applyFont="1" applyFill="1" applyBorder="1" applyAlignment="1">
      <alignment horizontal="center" vertical="center"/>
    </xf>
    <xf numFmtId="44" fontId="16" fillId="0" borderId="67" xfId="0" applyNumberFormat="1" applyFont="1" applyBorder="1"/>
    <xf numFmtId="44" fontId="16" fillId="0" borderId="51" xfId="0" applyNumberFormat="1" applyFont="1" applyBorder="1"/>
    <xf numFmtId="172" fontId="16" fillId="0" borderId="51" xfId="0" applyNumberFormat="1" applyFont="1" applyBorder="1"/>
    <xf numFmtId="172" fontId="16" fillId="0" borderId="51" xfId="0" applyNumberFormat="1" applyFont="1" applyBorder="1" applyAlignment="1">
      <alignment horizontal="center"/>
    </xf>
    <xf numFmtId="172" fontId="16" fillId="0" borderId="35" xfId="2" applyNumberFormat="1" applyFont="1" applyBorder="1" applyAlignment="1">
      <alignment horizontal="center" vertical="center"/>
    </xf>
    <xf numFmtId="0" fontId="16" fillId="0" borderId="13" xfId="0" applyFont="1" applyBorder="1" applyAlignment="1">
      <alignment wrapText="1"/>
    </xf>
    <xf numFmtId="172" fontId="16" fillId="0" borderId="72" xfId="1" applyNumberFormat="1" applyFont="1" applyBorder="1"/>
    <xf numFmtId="172" fontId="16" fillId="0" borderId="71" xfId="2" applyNumberFormat="1" applyFont="1" applyBorder="1"/>
    <xf numFmtId="172" fontId="16" fillId="11" borderId="7" xfId="0" applyNumberFormat="1" applyFont="1" applyFill="1" applyBorder="1"/>
    <xf numFmtId="0" fontId="16" fillId="0" borderId="2" xfId="0" applyFont="1" applyBorder="1" applyAlignment="1">
      <alignment wrapText="1"/>
    </xf>
    <xf numFmtId="172" fontId="16" fillId="0" borderId="54" xfId="1" applyNumberFormat="1" applyFont="1" applyBorder="1"/>
    <xf numFmtId="172" fontId="16" fillId="0" borderId="53" xfId="2" applyNumberFormat="1" applyFont="1" applyBorder="1"/>
    <xf numFmtId="172" fontId="16" fillId="11" borderId="48" xfId="0" applyNumberFormat="1" applyFont="1" applyFill="1" applyBorder="1"/>
    <xf numFmtId="0" fontId="16" fillId="0" borderId="6" xfId="0" applyFont="1" applyBorder="1" applyAlignment="1">
      <alignment wrapText="1"/>
    </xf>
    <xf numFmtId="172" fontId="16" fillId="0" borderId="53" xfId="1" applyNumberFormat="1" applyFont="1" applyBorder="1"/>
    <xf numFmtId="172" fontId="16" fillId="0" borderId="54" xfId="0" applyNumberFormat="1" applyFont="1" applyBorder="1"/>
    <xf numFmtId="172" fontId="16" fillId="0" borderId="53" xfId="0" applyNumberFormat="1" applyFont="1" applyBorder="1"/>
    <xf numFmtId="172" fontId="14" fillId="11" borderId="48" xfId="1" applyNumberFormat="1" applyFont="1" applyFill="1" applyBorder="1"/>
    <xf numFmtId="0" fontId="16" fillId="0" borderId="73" xfId="0" applyFont="1" applyBorder="1"/>
    <xf numFmtId="172" fontId="16" fillId="0" borderId="73" xfId="0" applyNumberFormat="1" applyFont="1" applyBorder="1"/>
    <xf numFmtId="172" fontId="16" fillId="0" borderId="70" xfId="0" applyNumberFormat="1" applyFont="1" applyBorder="1"/>
    <xf numFmtId="172" fontId="16" fillId="11" borderId="8" xfId="0" applyNumberFormat="1" applyFont="1" applyFill="1" applyBorder="1"/>
    <xf numFmtId="172" fontId="16" fillId="0" borderId="0" xfId="2" applyNumberFormat="1" applyFont="1" applyAlignment="1">
      <alignment vertical="center"/>
    </xf>
    <xf numFmtId="172" fontId="14" fillId="11" borderId="7" xfId="0" applyNumberFormat="1" applyFont="1" applyFill="1" applyBorder="1"/>
    <xf numFmtId="172" fontId="14" fillId="11" borderId="48" xfId="0" applyNumberFormat="1" applyFont="1" applyFill="1" applyBorder="1"/>
    <xf numFmtId="44" fontId="16" fillId="0" borderId="58" xfId="2" applyFont="1" applyBorder="1"/>
    <xf numFmtId="0" fontId="16" fillId="17" borderId="43" xfId="0" applyFont="1" applyFill="1" applyBorder="1" applyAlignment="1">
      <alignment horizontal="center" vertical="center"/>
    </xf>
    <xf numFmtId="0" fontId="16" fillId="17" borderId="2" xfId="0" applyFont="1" applyFill="1" applyBorder="1" applyAlignment="1">
      <alignment horizontal="center" vertical="center"/>
    </xf>
    <xf numFmtId="0" fontId="16" fillId="17" borderId="54" xfId="0" applyFont="1" applyFill="1" applyBorder="1" applyAlignment="1">
      <alignment horizontal="center" vertical="center"/>
    </xf>
    <xf numFmtId="0" fontId="16" fillId="17" borderId="0" xfId="0" applyFont="1" applyFill="1" applyAlignment="1">
      <alignment horizontal="center" vertical="center"/>
    </xf>
    <xf numFmtId="0" fontId="16" fillId="17" borderId="54" xfId="0" applyFont="1" applyFill="1" applyBorder="1" applyAlignment="1">
      <alignment wrapText="1"/>
    </xf>
    <xf numFmtId="0" fontId="16" fillId="17" borderId="0" xfId="0" applyFont="1" applyFill="1"/>
    <xf numFmtId="0" fontId="16" fillId="17" borderId="0" xfId="0" applyFont="1" applyFill="1" applyAlignment="1">
      <alignment horizontal="center"/>
    </xf>
    <xf numFmtId="44" fontId="16" fillId="17" borderId="0" xfId="2" applyFont="1" applyFill="1" applyBorder="1"/>
    <xf numFmtId="44" fontId="14" fillId="17" borderId="31" xfId="2" applyFont="1" applyFill="1" applyBorder="1" applyAlignment="1">
      <alignment horizontal="center" vertical="center"/>
    </xf>
    <xf numFmtId="0" fontId="16" fillId="17" borderId="26" xfId="0" applyFont="1" applyFill="1" applyBorder="1" applyAlignment="1">
      <alignment horizontal="center" vertical="center"/>
    </xf>
    <xf numFmtId="0" fontId="16" fillId="17" borderId="31" xfId="0" applyFont="1" applyFill="1" applyBorder="1"/>
    <xf numFmtId="172" fontId="14" fillId="17" borderId="26" xfId="2" applyNumberFormat="1" applyFont="1" applyFill="1" applyBorder="1" applyAlignment="1">
      <alignment horizontal="center" vertical="center"/>
    </xf>
    <xf numFmtId="172" fontId="16" fillId="17" borderId="0" xfId="0" applyNumberFormat="1" applyFont="1" applyFill="1"/>
    <xf numFmtId="172" fontId="16" fillId="17" borderId="0" xfId="0" applyNumberFormat="1" applyFont="1" applyFill="1" applyAlignment="1">
      <alignment horizontal="center"/>
    </xf>
    <xf numFmtId="172" fontId="16" fillId="17" borderId="53" xfId="0" applyNumberFormat="1" applyFont="1" applyFill="1" applyBorder="1"/>
    <xf numFmtId="172" fontId="14" fillId="17" borderId="2" xfId="2" applyNumberFormat="1" applyFont="1" applyFill="1" applyBorder="1" applyAlignment="1">
      <alignment horizontal="center" vertical="center"/>
    </xf>
    <xf numFmtId="44" fontId="14" fillId="17" borderId="54" xfId="2" applyFont="1" applyFill="1" applyBorder="1" applyAlignment="1">
      <alignment horizontal="center" vertical="center"/>
    </xf>
    <xf numFmtId="172" fontId="16" fillId="17" borderId="53" xfId="2" applyNumberFormat="1" applyFont="1" applyFill="1" applyBorder="1" applyAlignment="1">
      <alignment horizontal="center" vertical="center"/>
    </xf>
    <xf numFmtId="44" fontId="16" fillId="17" borderId="0" xfId="2" applyFont="1" applyFill="1" applyBorder="1" applyAlignment="1">
      <alignment horizontal="center" vertical="center"/>
    </xf>
    <xf numFmtId="44" fontId="14" fillId="17" borderId="2" xfId="2" applyFont="1" applyFill="1" applyBorder="1" applyAlignment="1">
      <alignment horizontal="center" vertical="center"/>
    </xf>
    <xf numFmtId="172" fontId="16" fillId="17" borderId="54" xfId="2" applyNumberFormat="1" applyFont="1" applyFill="1" applyBorder="1" applyAlignment="1">
      <alignment horizontal="center" vertical="center"/>
    </xf>
    <xf numFmtId="172" fontId="16" fillId="17" borderId="0" xfId="2" applyNumberFormat="1" applyFont="1" applyFill="1" applyAlignment="1">
      <alignment horizontal="center" vertical="center"/>
    </xf>
    <xf numFmtId="44" fontId="16" fillId="17" borderId="53" xfId="2" applyFont="1" applyFill="1" applyBorder="1" applyAlignment="1">
      <alignment horizontal="center" vertical="center"/>
    </xf>
    <xf numFmtId="0" fontId="14" fillId="17" borderId="54" xfId="0" applyFont="1" applyFill="1" applyBorder="1" applyAlignment="1">
      <alignment horizontal="center" vertical="center"/>
    </xf>
    <xf numFmtId="0" fontId="16" fillId="17" borderId="48" xfId="0" applyFont="1" applyFill="1" applyBorder="1" applyAlignment="1">
      <alignment horizontal="center" vertical="center"/>
    </xf>
    <xf numFmtId="43" fontId="16" fillId="17" borderId="0" xfId="1" applyFont="1" applyFill="1"/>
    <xf numFmtId="44" fontId="16" fillId="0" borderId="25" xfId="2" applyFont="1" applyBorder="1"/>
    <xf numFmtId="172" fontId="16" fillId="0" borderId="17" xfId="1" applyNumberFormat="1" applyFont="1" applyBorder="1"/>
    <xf numFmtId="0" fontId="16" fillId="11" borderId="7" xfId="0" applyFont="1" applyFill="1" applyBorder="1"/>
    <xf numFmtId="44" fontId="16" fillId="0" borderId="0" xfId="2" applyFont="1" applyBorder="1" applyAlignment="1">
      <alignment horizontal="center"/>
    </xf>
    <xf numFmtId="44" fontId="16" fillId="0" borderId="26" xfId="2" applyFont="1" applyBorder="1"/>
    <xf numFmtId="172" fontId="16" fillId="0" borderId="31" xfId="1" applyNumberFormat="1" applyFont="1" applyBorder="1"/>
    <xf numFmtId="0" fontId="16" fillId="0" borderId="35" xfId="0" applyFont="1" applyBorder="1" applyAlignment="1">
      <alignment wrapText="1"/>
    </xf>
    <xf numFmtId="44" fontId="16" fillId="0" borderId="51" xfId="2" applyFont="1" applyBorder="1" applyAlignment="1"/>
    <xf numFmtId="44" fontId="16" fillId="0" borderId="27" xfId="2" applyFont="1" applyBorder="1"/>
    <xf numFmtId="172" fontId="16" fillId="0" borderId="15" xfId="1" applyNumberFormat="1" applyFont="1" applyBorder="1"/>
    <xf numFmtId="172" fontId="16" fillId="0" borderId="51" xfId="2" applyNumberFormat="1" applyFont="1" applyBorder="1"/>
    <xf numFmtId="172" fontId="16" fillId="0" borderId="51" xfId="3" applyNumberFormat="1" applyFont="1" applyBorder="1"/>
    <xf numFmtId="172" fontId="16" fillId="0" borderId="70" xfId="2" applyNumberFormat="1" applyFont="1" applyBorder="1"/>
    <xf numFmtId="0" fontId="16" fillId="11" borderId="8" xfId="0" applyFont="1" applyFill="1" applyBorder="1"/>
    <xf numFmtId="0" fontId="22" fillId="0" borderId="54" xfId="0" applyFont="1" applyBorder="1" applyAlignment="1">
      <alignment wrapText="1"/>
    </xf>
    <xf numFmtId="0" fontId="22" fillId="0" borderId="56" xfId="0" applyFont="1" applyBorder="1" applyAlignment="1">
      <alignment wrapText="1"/>
    </xf>
    <xf numFmtId="0" fontId="22" fillId="0" borderId="66" xfId="0" applyFont="1" applyBorder="1" applyAlignment="1">
      <alignment wrapText="1"/>
    </xf>
    <xf numFmtId="0" fontId="22" fillId="0" borderId="72" xfId="0" applyFont="1" applyBorder="1" applyAlignment="1">
      <alignment wrapText="1"/>
    </xf>
    <xf numFmtId="172" fontId="14" fillId="12" borderId="42" xfId="2" applyNumberFormat="1" applyFont="1" applyFill="1" applyBorder="1" applyAlignment="1">
      <alignment vertical="center"/>
    </xf>
    <xf numFmtId="172" fontId="14" fillId="12" borderId="17" xfId="2" applyNumberFormat="1" applyFont="1" applyFill="1" applyBorder="1" applyAlignment="1">
      <alignment vertical="center"/>
    </xf>
    <xf numFmtId="172" fontId="16" fillId="0" borderId="17" xfId="0" applyNumberFormat="1" applyFont="1" applyBorder="1"/>
    <xf numFmtId="172" fontId="16" fillId="0" borderId="14" xfId="2" applyNumberFormat="1" applyFont="1" applyBorder="1" applyAlignment="1">
      <alignment horizontal="center"/>
    </xf>
    <xf numFmtId="172" fontId="14" fillId="12" borderId="31" xfId="2" applyNumberFormat="1" applyFont="1" applyFill="1" applyBorder="1" applyAlignment="1">
      <alignment vertical="center"/>
    </xf>
    <xf numFmtId="172" fontId="16" fillId="0" borderId="31" xfId="0" applyNumberFormat="1" applyFont="1" applyBorder="1"/>
    <xf numFmtId="172" fontId="16" fillId="0" borderId="0" xfId="2" applyNumberFormat="1" applyFont="1" applyBorder="1" applyAlignment="1"/>
    <xf numFmtId="172" fontId="14" fillId="12" borderId="28" xfId="2" applyNumberFormat="1" applyFont="1" applyFill="1" applyBorder="1" applyAlignment="1">
      <alignment vertical="center"/>
    </xf>
    <xf numFmtId="172" fontId="16" fillId="0" borderId="28" xfId="0" applyNumberFormat="1" applyFont="1" applyBorder="1"/>
    <xf numFmtId="172" fontId="16" fillId="0" borderId="57" xfId="0" applyNumberFormat="1" applyFont="1" applyBorder="1" applyAlignment="1">
      <alignment horizontal="center"/>
    </xf>
    <xf numFmtId="172" fontId="16" fillId="0" borderId="57" xfId="2" applyNumberFormat="1" applyFont="1" applyBorder="1" applyAlignment="1"/>
    <xf numFmtId="172" fontId="16" fillId="0" borderId="55" xfId="2" applyNumberFormat="1" applyFont="1" applyBorder="1"/>
    <xf numFmtId="172" fontId="14" fillId="12" borderId="79" xfId="2" applyNumberFormat="1" applyFont="1" applyFill="1" applyBorder="1" applyAlignment="1">
      <alignment horizontal="center" vertical="center"/>
    </xf>
    <xf numFmtId="172" fontId="16" fillId="0" borderId="79" xfId="0" applyNumberFormat="1" applyFont="1" applyBorder="1"/>
    <xf numFmtId="172" fontId="16" fillId="0" borderId="67" xfId="0" applyNumberFormat="1" applyFont="1" applyBorder="1" applyAlignment="1">
      <alignment horizontal="center"/>
    </xf>
    <xf numFmtId="172" fontId="16" fillId="0" borderId="67" xfId="2" applyNumberFormat="1" applyFont="1" applyBorder="1" applyAlignment="1"/>
    <xf numFmtId="172" fontId="16" fillId="0" borderId="65" xfId="2" applyNumberFormat="1" applyFont="1" applyBorder="1"/>
    <xf numFmtId="172" fontId="16" fillId="0" borderId="57" xfId="0" applyNumberFormat="1" applyFont="1" applyBorder="1"/>
    <xf numFmtId="172" fontId="16" fillId="0" borderId="19" xfId="0" applyNumberFormat="1" applyFont="1" applyBorder="1"/>
    <xf numFmtId="172" fontId="16" fillId="0" borderId="49" xfId="0" applyNumberFormat="1" applyFont="1" applyBorder="1" applyAlignment="1">
      <alignment horizontal="center"/>
    </xf>
    <xf numFmtId="172" fontId="16" fillId="0" borderId="49" xfId="2" applyNumberFormat="1" applyFont="1" applyBorder="1" applyAlignment="1"/>
    <xf numFmtId="172" fontId="16" fillId="0" borderId="59" xfId="2" applyNumberFormat="1" applyFont="1" applyBorder="1"/>
    <xf numFmtId="172" fontId="16" fillId="0" borderId="15" xfId="0" applyNumberFormat="1" applyFont="1" applyBorder="1"/>
    <xf numFmtId="172" fontId="14" fillId="12" borderId="48" xfId="2" applyNumberFormat="1" applyFont="1" applyFill="1" applyBorder="1" applyAlignment="1">
      <alignment vertical="center"/>
    </xf>
    <xf numFmtId="44" fontId="14" fillId="12" borderId="8" xfId="2" applyFont="1" applyFill="1" applyBorder="1" applyAlignment="1">
      <alignment vertical="center"/>
    </xf>
    <xf numFmtId="0" fontId="16" fillId="12" borderId="7" xfId="0" applyFont="1" applyFill="1" applyBorder="1"/>
    <xf numFmtId="10" fontId="14" fillId="15" borderId="59" xfId="3" applyNumberFormat="1" applyFont="1" applyFill="1" applyBorder="1" applyAlignment="1">
      <alignment horizontal="center" vertical="center"/>
    </xf>
    <xf numFmtId="10" fontId="16" fillId="0" borderId="0" xfId="3" applyNumberFormat="1" applyFont="1"/>
    <xf numFmtId="10" fontId="14" fillId="17" borderId="0" xfId="3" applyNumberFormat="1" applyFont="1" applyFill="1" applyBorder="1" applyAlignment="1">
      <alignment horizontal="center" vertical="center"/>
    </xf>
    <xf numFmtId="172" fontId="14" fillId="11" borderId="48" xfId="2" applyNumberFormat="1" applyFont="1" applyFill="1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8" fillId="14" borderId="17" xfId="0" applyFont="1" applyFill="1" applyBorder="1" applyAlignment="1">
      <alignment horizontal="center" vertical="center"/>
    </xf>
    <xf numFmtId="0" fontId="18" fillId="14" borderId="14" xfId="0" applyFont="1" applyFill="1" applyBorder="1" applyAlignment="1">
      <alignment horizontal="center" vertical="center"/>
    </xf>
    <xf numFmtId="0" fontId="18" fillId="14" borderId="25" xfId="0" applyFont="1" applyFill="1" applyBorder="1" applyAlignment="1">
      <alignment horizontal="center" vertical="center"/>
    </xf>
    <xf numFmtId="0" fontId="18" fillId="16" borderId="9" xfId="0" applyFont="1" applyFill="1" applyBorder="1" applyAlignment="1">
      <alignment horizontal="center" vertical="center"/>
    </xf>
    <xf numFmtId="0" fontId="18" fillId="16" borderId="10" xfId="0" applyFont="1" applyFill="1" applyBorder="1" applyAlignment="1">
      <alignment horizontal="center" vertical="center"/>
    </xf>
    <xf numFmtId="0" fontId="18" fillId="16" borderId="11" xfId="0" applyFont="1" applyFill="1" applyBorder="1" applyAlignment="1">
      <alignment horizontal="center" vertical="center"/>
    </xf>
    <xf numFmtId="172" fontId="16" fillId="8" borderId="7" xfId="0" applyNumberFormat="1" applyFont="1" applyFill="1" applyBorder="1" applyAlignment="1">
      <alignment horizontal="center" vertical="center"/>
    </xf>
    <xf numFmtId="172" fontId="16" fillId="8" borderId="48" xfId="0" applyNumberFormat="1" applyFont="1" applyFill="1" applyBorder="1" applyAlignment="1">
      <alignment horizontal="center" vertical="center"/>
    </xf>
    <xf numFmtId="172" fontId="16" fillId="8" borderId="8" xfId="0" applyNumberFormat="1" applyFont="1" applyFill="1" applyBorder="1" applyAlignment="1">
      <alignment horizontal="center" vertical="center"/>
    </xf>
    <xf numFmtId="44" fontId="14" fillId="2" borderId="13" xfId="2" applyFont="1" applyFill="1" applyBorder="1" applyAlignment="1">
      <alignment horizontal="center" vertical="center"/>
    </xf>
    <xf numFmtId="44" fontId="14" fillId="2" borderId="2" xfId="2" applyFont="1" applyFill="1" applyBorder="1" applyAlignment="1">
      <alignment horizontal="center" vertical="center"/>
    </xf>
    <xf numFmtId="44" fontId="14" fillId="2" borderId="35" xfId="2" applyFont="1" applyFill="1" applyBorder="1" applyAlignment="1">
      <alignment horizontal="center" vertical="center"/>
    </xf>
    <xf numFmtId="172" fontId="16" fillId="0" borderId="72" xfId="2" applyNumberFormat="1" applyFont="1" applyBorder="1" applyAlignment="1">
      <alignment horizontal="center" vertical="center"/>
    </xf>
    <xf numFmtId="172" fontId="16" fillId="0" borderId="54" xfId="2" applyNumberFormat="1" applyFont="1" applyBorder="1" applyAlignment="1">
      <alignment horizontal="center" vertical="center"/>
    </xf>
    <xf numFmtId="172" fontId="16" fillId="0" borderId="73" xfId="2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51" xfId="0" applyFont="1" applyBorder="1" applyAlignment="1">
      <alignment horizontal="center" vertical="center"/>
    </xf>
    <xf numFmtId="172" fontId="16" fillId="0" borderId="71" xfId="2" applyNumberFormat="1" applyFont="1" applyBorder="1" applyAlignment="1">
      <alignment horizontal="center" vertical="center"/>
    </xf>
    <xf numFmtId="172" fontId="16" fillId="0" borderId="53" xfId="2" applyNumberFormat="1" applyFont="1" applyBorder="1" applyAlignment="1">
      <alignment horizontal="center" vertical="center"/>
    </xf>
    <xf numFmtId="172" fontId="16" fillId="0" borderId="70" xfId="2" applyNumberFormat="1" applyFont="1" applyBorder="1" applyAlignment="1">
      <alignment horizontal="center" vertical="center"/>
    </xf>
    <xf numFmtId="172" fontId="14" fillId="2" borderId="13" xfId="2" applyNumberFormat="1" applyFont="1" applyFill="1" applyBorder="1" applyAlignment="1">
      <alignment horizontal="center" vertical="center"/>
    </xf>
    <xf numFmtId="172" fontId="14" fillId="2" borderId="2" xfId="2" applyNumberFormat="1" applyFont="1" applyFill="1" applyBorder="1" applyAlignment="1">
      <alignment horizontal="center" vertical="center"/>
    </xf>
    <xf numFmtId="172" fontId="14" fillId="2" borderId="35" xfId="2" applyNumberFormat="1" applyFont="1" applyFill="1" applyBorder="1" applyAlignment="1">
      <alignment horizontal="center" vertical="center"/>
    </xf>
    <xf numFmtId="172" fontId="14" fillId="13" borderId="72" xfId="0" applyNumberFormat="1" applyFont="1" applyFill="1" applyBorder="1" applyAlignment="1">
      <alignment horizontal="center" vertical="center"/>
    </xf>
    <xf numFmtId="172" fontId="14" fillId="13" borderId="54" xfId="0" applyNumberFormat="1" applyFont="1" applyFill="1" applyBorder="1" applyAlignment="1">
      <alignment horizontal="center" vertical="center"/>
    </xf>
    <xf numFmtId="172" fontId="14" fillId="13" borderId="73" xfId="0" applyNumberFormat="1" applyFont="1" applyFill="1" applyBorder="1" applyAlignment="1">
      <alignment horizontal="center" vertical="center"/>
    </xf>
    <xf numFmtId="0" fontId="16" fillId="0" borderId="45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1" fontId="16" fillId="12" borderId="25" xfId="0" applyNumberFormat="1" applyFont="1" applyFill="1" applyBorder="1" applyAlignment="1">
      <alignment horizontal="center" vertical="center"/>
    </xf>
    <xf numFmtId="0" fontId="16" fillId="12" borderId="26" xfId="0" applyFont="1" applyFill="1" applyBorder="1" applyAlignment="1">
      <alignment horizontal="center" vertical="center"/>
    </xf>
    <xf numFmtId="0" fontId="16" fillId="12" borderId="27" xfId="0" applyFont="1" applyFill="1" applyBorder="1" applyAlignment="1">
      <alignment horizontal="center" vertical="center"/>
    </xf>
    <xf numFmtId="172" fontId="14" fillId="5" borderId="25" xfId="2" applyNumberFormat="1" applyFont="1" applyFill="1" applyBorder="1" applyAlignment="1">
      <alignment horizontal="center" vertical="center"/>
    </xf>
    <xf numFmtId="172" fontId="14" fillId="5" borderId="26" xfId="2" applyNumberFormat="1" applyFont="1" applyFill="1" applyBorder="1" applyAlignment="1">
      <alignment horizontal="center" vertical="center"/>
    </xf>
    <xf numFmtId="172" fontId="14" fillId="5" borderId="27" xfId="2" applyNumberFormat="1" applyFont="1" applyFill="1" applyBorder="1" applyAlignment="1">
      <alignment horizontal="center" vertical="center"/>
    </xf>
    <xf numFmtId="10" fontId="14" fillId="15" borderId="14" xfId="3" applyNumberFormat="1" applyFont="1" applyFill="1" applyBorder="1" applyAlignment="1">
      <alignment horizontal="center" vertical="center"/>
    </xf>
    <xf numFmtId="10" fontId="14" fillId="15" borderId="0" xfId="3" applyNumberFormat="1" applyFont="1" applyFill="1" applyBorder="1" applyAlignment="1">
      <alignment horizontal="center" vertical="center"/>
    </xf>
    <xf numFmtId="10" fontId="14" fillId="15" borderId="51" xfId="3" applyNumberFormat="1" applyFont="1" applyFill="1" applyBorder="1" applyAlignment="1">
      <alignment horizontal="center" vertical="center"/>
    </xf>
    <xf numFmtId="44" fontId="14" fillId="2" borderId="80" xfId="2" applyFont="1" applyFill="1" applyBorder="1" applyAlignment="1">
      <alignment horizontal="center" vertical="center"/>
    </xf>
    <xf numFmtId="44" fontId="14" fillId="2" borderId="81" xfId="2" applyFont="1" applyFill="1" applyBorder="1" applyAlignment="1">
      <alignment horizontal="center" vertical="center"/>
    </xf>
    <xf numFmtId="44" fontId="14" fillId="2" borderId="41" xfId="2" applyFont="1" applyFill="1" applyBorder="1" applyAlignment="1">
      <alignment horizontal="center" vertical="center"/>
    </xf>
    <xf numFmtId="172" fontId="16" fillId="0" borderId="17" xfId="2" applyNumberFormat="1" applyFont="1" applyBorder="1" applyAlignment="1">
      <alignment horizontal="center" vertical="center"/>
    </xf>
    <xf numFmtId="172" fontId="16" fillId="0" borderId="31" xfId="2" applyNumberFormat="1" applyFont="1" applyBorder="1" applyAlignment="1">
      <alignment horizontal="center" vertical="center"/>
    </xf>
    <xf numFmtId="172" fontId="16" fillId="0" borderId="15" xfId="2" applyNumberFormat="1" applyFont="1" applyBorder="1" applyAlignment="1">
      <alignment horizontal="center" vertical="center"/>
    </xf>
    <xf numFmtId="172" fontId="16" fillId="0" borderId="14" xfId="2" applyNumberFormat="1" applyFont="1" applyBorder="1" applyAlignment="1">
      <alignment horizontal="center" vertical="center"/>
    </xf>
    <xf numFmtId="172" fontId="16" fillId="0" borderId="0" xfId="2" applyNumberFormat="1" applyFont="1" applyBorder="1" applyAlignment="1">
      <alignment horizontal="center" vertical="center"/>
    </xf>
    <xf numFmtId="172" fontId="16" fillId="0" borderId="51" xfId="2" applyNumberFormat="1" applyFont="1" applyBorder="1" applyAlignment="1">
      <alignment horizontal="center" vertical="center"/>
    </xf>
    <xf numFmtId="44" fontId="16" fillId="0" borderId="14" xfId="2" applyFont="1" applyBorder="1" applyAlignment="1">
      <alignment horizontal="center" vertical="center"/>
    </xf>
    <xf numFmtId="44" fontId="16" fillId="0" borderId="0" xfId="2" applyFont="1" applyBorder="1" applyAlignment="1">
      <alignment horizontal="center" vertical="center"/>
    </xf>
    <xf numFmtId="44" fontId="16" fillId="0" borderId="51" xfId="2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6" fillId="12" borderId="14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51" xfId="0" applyFont="1" applyFill="1" applyBorder="1" applyAlignment="1">
      <alignment horizontal="center" vertical="center"/>
    </xf>
    <xf numFmtId="0" fontId="16" fillId="0" borderId="52" xfId="0" applyFont="1" applyBorder="1" applyAlignment="1">
      <alignment horizontal="center" vertical="center" wrapText="1"/>
    </xf>
    <xf numFmtId="0" fontId="16" fillId="0" borderId="62" xfId="0" applyFont="1" applyBorder="1" applyAlignment="1">
      <alignment horizontal="center" vertical="center"/>
    </xf>
    <xf numFmtId="172" fontId="14" fillId="12" borderId="42" xfId="2" applyNumberFormat="1" applyFont="1" applyFill="1" applyBorder="1" applyAlignment="1">
      <alignment horizontal="center" vertical="center"/>
    </xf>
    <xf numFmtId="172" fontId="14" fillId="12" borderId="43" xfId="2" applyNumberFormat="1" applyFont="1" applyFill="1" applyBorder="1" applyAlignment="1">
      <alignment horizontal="center" vertical="center"/>
    </xf>
    <xf numFmtId="172" fontId="14" fillId="12" borderId="34" xfId="2" applyNumberFormat="1" applyFont="1" applyFill="1" applyBorder="1" applyAlignment="1">
      <alignment horizontal="center" vertical="center"/>
    </xf>
    <xf numFmtId="44" fontId="16" fillId="0" borderId="72" xfId="2" applyFont="1" applyBorder="1" applyAlignment="1">
      <alignment horizontal="center" vertical="center"/>
    </xf>
    <xf numFmtId="44" fontId="16" fillId="0" borderId="54" xfId="2" applyFont="1" applyBorder="1" applyAlignment="1">
      <alignment horizontal="center" vertical="center"/>
    </xf>
    <xf numFmtId="44" fontId="16" fillId="0" borderId="73" xfId="2" applyFont="1" applyBorder="1" applyAlignment="1">
      <alignment horizontal="center" vertical="center"/>
    </xf>
    <xf numFmtId="172" fontId="14" fillId="5" borderId="80" xfId="2" applyNumberFormat="1" applyFont="1" applyFill="1" applyBorder="1" applyAlignment="1">
      <alignment horizontal="center" vertical="center"/>
    </xf>
    <xf numFmtId="172" fontId="14" fillId="5" borderId="81" xfId="2" applyNumberFormat="1" applyFont="1" applyFill="1" applyBorder="1" applyAlignment="1">
      <alignment horizontal="center" vertical="center"/>
    </xf>
    <xf numFmtId="172" fontId="14" fillId="5" borderId="40" xfId="2" applyNumberFormat="1" applyFont="1" applyFill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44" fontId="14" fillId="2" borderId="24" xfId="2" applyFont="1" applyFill="1" applyBorder="1" applyAlignment="1">
      <alignment horizontal="center" vertical="center"/>
    </xf>
    <xf numFmtId="44" fontId="14" fillId="2" borderId="6" xfId="2" applyFont="1" applyFill="1" applyBorder="1" applyAlignment="1">
      <alignment horizontal="center" vertical="center"/>
    </xf>
    <xf numFmtId="172" fontId="14" fillId="5" borderId="41" xfId="2" applyNumberFormat="1" applyFont="1" applyFill="1" applyBorder="1" applyAlignment="1">
      <alignment horizontal="center" vertical="center"/>
    </xf>
    <xf numFmtId="172" fontId="14" fillId="2" borderId="6" xfId="2" applyNumberFormat="1" applyFont="1" applyFill="1" applyBorder="1" applyAlignment="1">
      <alignment horizontal="center" vertical="center"/>
    </xf>
    <xf numFmtId="172" fontId="14" fillId="2" borderId="24" xfId="2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172" fontId="16" fillId="0" borderId="0" xfId="2" applyNumberFormat="1" applyFont="1" applyAlignment="1">
      <alignment horizontal="center" vertical="center"/>
    </xf>
    <xf numFmtId="172" fontId="14" fillId="2" borderId="80" xfId="2" applyNumberFormat="1" applyFont="1" applyFill="1" applyBorder="1" applyAlignment="1">
      <alignment horizontal="center" vertical="center"/>
    </xf>
    <xf numFmtId="172" fontId="14" fillId="2" borderId="81" xfId="2" applyNumberFormat="1" applyFont="1" applyFill="1" applyBorder="1" applyAlignment="1">
      <alignment horizontal="center" vertical="center"/>
    </xf>
    <xf numFmtId="172" fontId="14" fillId="2" borderId="41" xfId="2" applyNumberFormat="1" applyFont="1" applyFill="1" applyBorder="1" applyAlignment="1">
      <alignment horizontal="center" vertical="center"/>
    </xf>
    <xf numFmtId="10" fontId="14" fillId="15" borderId="71" xfId="3" applyNumberFormat="1" applyFont="1" applyFill="1" applyBorder="1" applyAlignment="1">
      <alignment horizontal="center" vertical="center"/>
    </xf>
    <xf numFmtId="10" fontId="14" fillId="15" borderId="53" xfId="3" applyNumberFormat="1" applyFont="1" applyFill="1" applyBorder="1" applyAlignment="1">
      <alignment horizontal="center" vertical="center"/>
    </xf>
    <xf numFmtId="10" fontId="14" fillId="15" borderId="70" xfId="3" applyNumberFormat="1" applyFont="1" applyFill="1" applyBorder="1" applyAlignment="1">
      <alignment horizontal="center" vertical="center"/>
    </xf>
    <xf numFmtId="44" fontId="14" fillId="2" borderId="71" xfId="2" applyFont="1" applyFill="1" applyBorder="1" applyAlignment="1">
      <alignment horizontal="center" vertical="center"/>
    </xf>
    <xf numFmtId="44" fontId="14" fillId="2" borderId="53" xfId="2" applyFont="1" applyFill="1" applyBorder="1" applyAlignment="1">
      <alignment horizontal="center" vertical="center"/>
    </xf>
    <xf numFmtId="44" fontId="14" fillId="2" borderId="55" xfId="2" applyFont="1" applyFill="1" applyBorder="1" applyAlignment="1">
      <alignment horizontal="center" vertical="center"/>
    </xf>
    <xf numFmtId="44" fontId="14" fillId="2" borderId="65" xfId="2" applyFont="1" applyFill="1" applyBorder="1" applyAlignment="1">
      <alignment horizontal="center" vertical="center"/>
    </xf>
    <xf numFmtId="44" fontId="14" fillId="2" borderId="70" xfId="2" applyFont="1" applyFill="1" applyBorder="1" applyAlignment="1">
      <alignment horizontal="center" vertical="center"/>
    </xf>
    <xf numFmtId="172" fontId="16" fillId="8" borderId="17" xfId="0" applyNumberFormat="1" applyFont="1" applyFill="1" applyBorder="1" applyAlignment="1">
      <alignment horizontal="center" vertical="center"/>
    </xf>
    <xf numFmtId="172" fontId="16" fillId="8" borderId="31" xfId="0" applyNumberFormat="1" applyFont="1" applyFill="1" applyBorder="1" applyAlignment="1">
      <alignment horizontal="center" vertical="center"/>
    </xf>
    <xf numFmtId="172" fontId="16" fillId="8" borderId="15" xfId="0" applyNumberFormat="1" applyFont="1" applyFill="1" applyBorder="1" applyAlignment="1">
      <alignment horizontal="center" vertical="center"/>
    </xf>
    <xf numFmtId="172" fontId="16" fillId="0" borderId="13" xfId="2" applyNumberFormat="1" applyFont="1" applyBorder="1" applyAlignment="1">
      <alignment horizontal="center" vertical="center"/>
    </xf>
    <xf numFmtId="172" fontId="16" fillId="0" borderId="2" xfId="2" applyNumberFormat="1" applyFont="1" applyBorder="1" applyAlignment="1">
      <alignment horizontal="center" vertical="center"/>
    </xf>
    <xf numFmtId="172" fontId="16" fillId="0" borderId="35" xfId="2" applyNumberFormat="1" applyFont="1" applyBorder="1" applyAlignment="1">
      <alignment horizontal="center" vertical="center"/>
    </xf>
    <xf numFmtId="172" fontId="14" fillId="5" borderId="76" xfId="2" applyNumberFormat="1" applyFont="1" applyFill="1" applyBorder="1" applyAlignment="1">
      <alignment horizontal="center" vertical="center"/>
    </xf>
    <xf numFmtId="172" fontId="14" fillId="12" borderId="79" xfId="2" applyNumberFormat="1" applyFont="1" applyFill="1" applyBorder="1" applyAlignment="1">
      <alignment horizontal="center" vertical="center"/>
    </xf>
    <xf numFmtId="172" fontId="14" fillId="12" borderId="15" xfId="2" applyNumberFormat="1" applyFont="1" applyFill="1" applyBorder="1" applyAlignment="1">
      <alignment horizontal="center" vertical="center"/>
    </xf>
    <xf numFmtId="0" fontId="16" fillId="0" borderId="20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35" xfId="0" applyFont="1" applyBorder="1" applyAlignment="1">
      <alignment horizontal="center" vertical="center" wrapText="1"/>
    </xf>
    <xf numFmtId="172" fontId="16" fillId="12" borderId="80" xfId="0" applyNumberFormat="1" applyFont="1" applyFill="1" applyBorder="1" applyAlignment="1">
      <alignment horizontal="center" vertical="center"/>
    </xf>
    <xf numFmtId="172" fontId="16" fillId="12" borderId="81" xfId="0" applyNumberFormat="1" applyFont="1" applyFill="1" applyBorder="1" applyAlignment="1">
      <alignment horizontal="center" vertical="center"/>
    </xf>
    <xf numFmtId="172" fontId="16" fillId="12" borderId="41" xfId="0" applyNumberFormat="1" applyFont="1" applyFill="1" applyBorder="1" applyAlignment="1">
      <alignment horizontal="center" vertical="center"/>
    </xf>
    <xf numFmtId="172" fontId="14" fillId="12" borderId="31" xfId="2" applyNumberFormat="1" applyFont="1" applyFill="1" applyBorder="1" applyAlignment="1">
      <alignment horizontal="center" vertical="center"/>
    </xf>
    <xf numFmtId="172" fontId="14" fillId="12" borderId="28" xfId="2" applyNumberFormat="1" applyFont="1" applyFill="1" applyBorder="1" applyAlignment="1">
      <alignment horizontal="center" vertical="center"/>
    </xf>
    <xf numFmtId="10" fontId="14" fillId="15" borderId="55" xfId="3" applyNumberFormat="1" applyFont="1" applyFill="1" applyBorder="1" applyAlignment="1">
      <alignment horizontal="center" vertical="center"/>
    </xf>
    <xf numFmtId="10" fontId="14" fillId="15" borderId="65" xfId="3" applyNumberFormat="1" applyFont="1" applyFill="1" applyBorder="1" applyAlignment="1">
      <alignment horizontal="center" vertical="center"/>
    </xf>
    <xf numFmtId="0" fontId="16" fillId="12" borderId="25" xfId="0" applyFont="1" applyFill="1" applyBorder="1" applyAlignment="1">
      <alignment horizontal="center" vertical="center"/>
    </xf>
    <xf numFmtId="10" fontId="16" fillId="0" borderId="72" xfId="3" applyNumberFormat="1" applyFont="1" applyBorder="1" applyAlignment="1">
      <alignment horizontal="center" vertical="center"/>
    </xf>
    <xf numFmtId="10" fontId="16" fillId="0" borderId="54" xfId="3" applyNumberFormat="1" applyFont="1" applyBorder="1" applyAlignment="1">
      <alignment horizontal="center" vertical="center"/>
    </xf>
    <xf numFmtId="10" fontId="16" fillId="0" borderId="73" xfId="3" applyNumberFormat="1" applyFont="1" applyBorder="1" applyAlignment="1">
      <alignment horizontal="center" vertical="center"/>
    </xf>
    <xf numFmtId="10" fontId="16" fillId="0" borderId="14" xfId="3" applyNumberFormat="1" applyFont="1" applyBorder="1" applyAlignment="1">
      <alignment horizontal="center" vertical="center"/>
    </xf>
    <xf numFmtId="10" fontId="16" fillId="0" borderId="0" xfId="3" applyNumberFormat="1" applyFont="1" applyBorder="1" applyAlignment="1">
      <alignment horizontal="center" vertical="center"/>
    </xf>
    <xf numFmtId="10" fontId="16" fillId="0" borderId="51" xfId="3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8" fillId="0" borderId="55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61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7" fillId="0" borderId="4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8" fillId="0" borderId="65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18" fillId="0" borderId="70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7" fillId="0" borderId="70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0" fontId="7" fillId="10" borderId="9" xfId="0" applyFont="1" applyFill="1" applyBorder="1" applyAlignment="1">
      <alignment horizontal="center" vertical="center"/>
    </xf>
    <xf numFmtId="0" fontId="7" fillId="10" borderId="10" xfId="0" applyFont="1" applyFill="1" applyBorder="1" applyAlignment="1">
      <alignment horizontal="center" vertical="center"/>
    </xf>
    <xf numFmtId="0" fontId="7" fillId="10" borderId="11" xfId="0" applyFont="1" applyFill="1" applyBorder="1" applyAlignment="1">
      <alignment horizontal="center" vertical="center"/>
    </xf>
    <xf numFmtId="0" fontId="2" fillId="11" borderId="9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2" fillId="11" borderId="11" xfId="0" applyFont="1" applyFill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11" xfId="0" applyFont="1" applyFill="1" applyBorder="1" applyAlignment="1">
      <alignment horizontal="center" vertical="center"/>
    </xf>
    <xf numFmtId="0" fontId="2" fillId="11" borderId="80" xfId="0" applyFont="1" applyFill="1" applyBorder="1" applyAlignment="1">
      <alignment horizontal="center" vertical="center"/>
    </xf>
    <xf numFmtId="0" fontId="2" fillId="11" borderId="41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0" fontId="11" fillId="11" borderId="3" xfId="0" applyFont="1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/>
    </xf>
    <xf numFmtId="0" fontId="2" fillId="11" borderId="21" xfId="0" applyFont="1" applyFill="1" applyBorder="1" applyAlignment="1">
      <alignment horizontal="center"/>
    </xf>
    <xf numFmtId="0" fontId="2" fillId="11" borderId="3" xfId="0" applyFont="1" applyFill="1" applyBorder="1" applyAlignment="1">
      <alignment horizontal="center"/>
    </xf>
    <xf numFmtId="0" fontId="2" fillId="11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11" fillId="9" borderId="34" xfId="0" applyFont="1" applyFill="1" applyBorder="1" applyAlignment="1">
      <alignment horizontal="center" vertical="center" wrapText="1"/>
    </xf>
    <xf numFmtId="0" fontId="11" fillId="9" borderId="35" xfId="0" applyFont="1" applyFill="1" applyBorder="1" applyAlignment="1">
      <alignment horizontal="center" vertical="center" wrapText="1"/>
    </xf>
    <xf numFmtId="0" fontId="11" fillId="10" borderId="3" xfId="0" applyFont="1" applyFill="1" applyBorder="1" applyAlignment="1">
      <alignment horizontal="center" vertical="center" wrapText="1"/>
    </xf>
    <xf numFmtId="0" fontId="11" fillId="10" borderId="4" xfId="0" applyFont="1" applyFill="1" applyBorder="1" applyAlignment="1">
      <alignment horizontal="center" vertical="center" wrapText="1"/>
    </xf>
    <xf numFmtId="0" fontId="11" fillId="10" borderId="68" xfId="0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1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left" vertical="top" wrapText="1"/>
    </xf>
    <xf numFmtId="0" fontId="2" fillId="0" borderId="46" xfId="0" applyFont="1" applyBorder="1" applyAlignment="1">
      <alignment horizontal="left" vertical="top" wrapText="1"/>
    </xf>
    <xf numFmtId="0" fontId="2" fillId="0" borderId="47" xfId="0" applyFont="1" applyBorder="1" applyAlignment="1">
      <alignment horizontal="left" vertical="top" wrapText="1"/>
    </xf>
    <xf numFmtId="0" fontId="2" fillId="0" borderId="19" xfId="0" applyFont="1" applyBorder="1" applyAlignment="1">
      <alignment horizontal="left"/>
    </xf>
    <xf numFmtId="0" fontId="2" fillId="0" borderId="49" xfId="0" applyFont="1" applyBorder="1" applyAlignment="1">
      <alignment horizontal="left"/>
    </xf>
    <xf numFmtId="0" fontId="2" fillId="0" borderId="50" xfId="0" applyFont="1" applyBorder="1" applyAlignment="1">
      <alignment horizontal="left"/>
    </xf>
    <xf numFmtId="0" fontId="2" fillId="18" borderId="20" xfId="0" applyFont="1" applyFill="1" applyBorder="1" applyAlignment="1">
      <alignment horizontal="center"/>
    </xf>
    <xf numFmtId="0" fontId="2" fillId="18" borderId="21" xfId="0" applyFont="1" applyFill="1" applyBorder="1" applyAlignment="1">
      <alignment horizontal="center"/>
    </xf>
    <xf numFmtId="0" fontId="2" fillId="18" borderId="36" xfId="0" applyFont="1" applyFill="1" applyBorder="1" applyAlignment="1">
      <alignment horizontal="center"/>
    </xf>
    <xf numFmtId="0" fontId="0" fillId="0" borderId="31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horizontal="center" wrapText="1"/>
    </xf>
    <xf numFmtId="0" fontId="2" fillId="3" borderId="46" xfId="0" applyFont="1" applyFill="1" applyBorder="1" applyAlignment="1">
      <alignment horizontal="center" wrapText="1"/>
    </xf>
    <xf numFmtId="0" fontId="2" fillId="3" borderId="47" xfId="0" applyFont="1" applyFill="1" applyBorder="1" applyAlignment="1">
      <alignment horizontal="center" wrapText="1"/>
    </xf>
    <xf numFmtId="172" fontId="17" fillId="0" borderId="38" xfId="2" applyNumberFormat="1" applyFont="1" applyBorder="1"/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6</xdr:row>
      <xdr:rowOff>66675</xdr:rowOff>
    </xdr:from>
    <xdr:to>
      <xdr:col>4</xdr:col>
      <xdr:colOff>114300</xdr:colOff>
      <xdr:row>14</xdr:row>
      <xdr:rowOff>145346</xdr:rowOff>
    </xdr:to>
    <xdr:pic>
      <xdr:nvPicPr>
        <xdr:cNvPr id="2" name="Imagen 1" descr="Quiénes somos? | UNICOMFACAUCA">
          <a:extLst>
            <a:ext uri="{FF2B5EF4-FFF2-40B4-BE49-F238E27FC236}">
              <a16:creationId xmlns:a16="http://schemas.microsoft.com/office/drawing/2014/main" id="{09AE49D1-6FCC-09CE-2555-247BAA1F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209675"/>
          <a:ext cx="2914650" cy="16026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219075</xdr:colOff>
      <xdr:row>6</xdr:row>
      <xdr:rowOff>66624</xdr:rowOff>
    </xdr:from>
    <xdr:to>
      <xdr:col>7</xdr:col>
      <xdr:colOff>507083</xdr:colOff>
      <xdr:row>13</xdr:row>
      <xdr:rowOff>123826</xdr:rowOff>
    </xdr:to>
    <xdr:pic>
      <xdr:nvPicPr>
        <xdr:cNvPr id="3" name="Imagen 2" descr="CORPORACION CLUB CAMPESTRE DE POPAYAN - Periódico La Campana - Periódico La  Campana">
          <a:extLst>
            <a:ext uri="{FF2B5EF4-FFF2-40B4-BE49-F238E27FC236}">
              <a16:creationId xmlns:a16="http://schemas.microsoft.com/office/drawing/2014/main" id="{D3B5E07B-D1E0-043F-5922-10316F75C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209624"/>
          <a:ext cx="1050008" cy="139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158749</xdr:rowOff>
    </xdr:from>
    <xdr:to>
      <xdr:col>7</xdr:col>
      <xdr:colOff>1227666</xdr:colOff>
      <xdr:row>66</xdr:row>
      <xdr:rowOff>82106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56873F-715D-759E-819B-11144771F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0413999"/>
          <a:ext cx="7503583" cy="3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19</xdr:col>
      <xdr:colOff>666751</xdr:colOff>
      <xdr:row>41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99" t="17965" r="8479" b="6191"/>
        <a:stretch/>
      </xdr:blipFill>
      <xdr:spPr>
        <a:xfrm>
          <a:off x="0" y="1695450"/>
          <a:ext cx="15144751" cy="7800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25401</xdr:colOff>
      <xdr:row>1</xdr:row>
      <xdr:rowOff>25400</xdr:rowOff>
    </xdr:from>
    <xdr:ext cx="888999" cy="1060450"/>
    <xdr:pic>
      <xdr:nvPicPr>
        <xdr:cNvPr id="2" name="6 Imagen" descr="C:\Users\Desportes\Pictures\CLUB CAMPESTRE LOGO[1].jpg">
          <a:extLst>
            <a:ext uri="{FF2B5EF4-FFF2-40B4-BE49-F238E27FC236}">
              <a16:creationId xmlns:a16="http://schemas.microsoft.com/office/drawing/2014/main" id="{F7631ED9-DC82-4A48-BC40-76AAF1837E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1" y="225425"/>
          <a:ext cx="888999" cy="10604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6"/>
  <sheetViews>
    <sheetView showGridLines="0" topLeftCell="A13" workbookViewId="0">
      <selection activeCell="A22" sqref="A22:I22"/>
    </sheetView>
  </sheetViews>
  <sheetFormatPr baseColWidth="10" defaultRowHeight="15" x14ac:dyDescent="0.25"/>
  <cols>
    <col min="1" max="16384" width="11.42578125" style="1"/>
  </cols>
  <sheetData>
    <row r="1" spans="1:9" x14ac:dyDescent="0.25">
      <c r="A1" s="576" t="s">
        <v>493</v>
      </c>
      <c r="B1" s="576"/>
      <c r="C1" s="576"/>
      <c r="D1" s="576"/>
      <c r="E1" s="576"/>
      <c r="F1" s="576"/>
      <c r="G1" s="576"/>
      <c r="H1" s="576"/>
      <c r="I1" s="576"/>
    </row>
    <row r="2" spans="1:9" x14ac:dyDescent="0.25">
      <c r="A2" s="576"/>
      <c r="B2" s="576"/>
      <c r="C2" s="576"/>
      <c r="D2" s="576"/>
      <c r="E2" s="576"/>
      <c r="F2" s="576"/>
      <c r="G2" s="576"/>
      <c r="H2" s="576"/>
      <c r="I2" s="576"/>
    </row>
    <row r="3" spans="1:9" x14ac:dyDescent="0.25">
      <c r="A3" s="576"/>
      <c r="B3" s="576"/>
      <c r="C3" s="576"/>
      <c r="D3" s="576"/>
      <c r="E3" s="576"/>
      <c r="F3" s="576"/>
      <c r="G3" s="576"/>
      <c r="H3" s="576"/>
      <c r="I3" s="576"/>
    </row>
    <row r="4" spans="1:9" x14ac:dyDescent="0.25">
      <c r="A4" s="577" t="s">
        <v>494</v>
      </c>
      <c r="B4" s="577"/>
      <c r="C4" s="577"/>
      <c r="D4" s="577"/>
      <c r="E4" s="577"/>
      <c r="F4" s="577"/>
      <c r="G4" s="577"/>
      <c r="H4" s="577"/>
      <c r="I4" s="577"/>
    </row>
    <row r="18" spans="1:9" x14ac:dyDescent="0.25">
      <c r="A18" s="578" t="s">
        <v>499</v>
      </c>
      <c r="B18" s="578"/>
      <c r="C18" s="578"/>
      <c r="D18" s="578"/>
      <c r="E18" s="578"/>
      <c r="F18" s="578"/>
      <c r="G18" s="578"/>
      <c r="H18" s="578"/>
      <c r="I18" s="578"/>
    </row>
    <row r="19" spans="1:9" x14ac:dyDescent="0.25">
      <c r="A19" s="578" t="s">
        <v>500</v>
      </c>
      <c r="B19" s="578"/>
      <c r="C19" s="578"/>
      <c r="D19" s="578"/>
      <c r="E19" s="578"/>
      <c r="F19" s="578"/>
      <c r="G19" s="578"/>
      <c r="H19" s="578"/>
      <c r="I19" s="578"/>
    </row>
    <row r="22" spans="1:9" ht="15" customHeight="1" x14ac:dyDescent="0.25">
      <c r="A22" s="574" t="s">
        <v>495</v>
      </c>
      <c r="B22" s="574"/>
      <c r="C22" s="574"/>
      <c r="D22" s="574"/>
      <c r="E22" s="574"/>
      <c r="F22" s="574"/>
      <c r="G22" s="574"/>
      <c r="H22" s="574"/>
      <c r="I22" s="574"/>
    </row>
    <row r="23" spans="1:9" ht="15" customHeight="1" x14ac:dyDescent="0.25">
      <c r="A23" s="574" t="s">
        <v>496</v>
      </c>
      <c r="B23" s="574"/>
      <c r="C23" s="574"/>
      <c r="D23" s="574"/>
      <c r="E23" s="574"/>
      <c r="F23" s="574"/>
      <c r="G23" s="574"/>
      <c r="H23" s="574"/>
      <c r="I23" s="574"/>
    </row>
    <row r="24" spans="1:9" ht="15" customHeight="1" x14ac:dyDescent="0.25">
      <c r="A24" s="574" t="s">
        <v>497</v>
      </c>
      <c r="B24" s="574"/>
      <c r="C24" s="574"/>
      <c r="D24" s="574"/>
      <c r="E24" s="574"/>
      <c r="F24" s="574"/>
      <c r="G24" s="574"/>
      <c r="H24" s="574"/>
      <c r="I24" s="574"/>
    </row>
    <row r="25" spans="1:9" ht="15" customHeight="1" x14ac:dyDescent="0.25">
      <c r="A25" s="574" t="s">
        <v>498</v>
      </c>
      <c r="B25" s="574"/>
      <c r="C25" s="574"/>
      <c r="D25" s="574"/>
      <c r="E25" s="574"/>
      <c r="F25" s="574"/>
      <c r="G25" s="574"/>
      <c r="H25" s="574"/>
      <c r="I25" s="574"/>
    </row>
    <row r="26" spans="1:9" ht="15" customHeight="1" x14ac:dyDescent="0.25">
      <c r="A26" s="575">
        <v>2024</v>
      </c>
      <c r="B26" s="575"/>
      <c r="C26" s="575"/>
      <c r="D26" s="575"/>
      <c r="E26" s="575"/>
      <c r="F26" s="575"/>
      <c r="G26" s="575"/>
      <c r="H26" s="575"/>
      <c r="I26" s="575"/>
    </row>
  </sheetData>
  <mergeCells count="9">
    <mergeCell ref="A24:I24"/>
    <mergeCell ref="A25:I25"/>
    <mergeCell ref="A26:I26"/>
    <mergeCell ref="A1:I3"/>
    <mergeCell ref="A4:I4"/>
    <mergeCell ref="A18:I18"/>
    <mergeCell ref="A19:I19"/>
    <mergeCell ref="A22:I22"/>
    <mergeCell ref="A23:I2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L164"/>
  <sheetViews>
    <sheetView topLeftCell="C135" workbookViewId="0">
      <selection activeCell="E164" sqref="E164"/>
    </sheetView>
  </sheetViews>
  <sheetFormatPr baseColWidth="10" defaultRowHeight="15" x14ac:dyDescent="0.25"/>
  <cols>
    <col min="1" max="1" width="5.7109375" customWidth="1"/>
    <col min="2" max="2" width="14.42578125" customWidth="1"/>
    <col min="3" max="3" width="13.5703125" style="4" customWidth="1"/>
    <col min="4" max="4" width="38" style="298" customWidth="1"/>
    <col min="5" max="5" width="15.7109375" customWidth="1"/>
    <col min="6" max="6" width="14.5703125" customWidth="1"/>
    <col min="7" max="7" width="5.140625" customWidth="1"/>
    <col min="8" max="8" width="5.28515625" customWidth="1"/>
    <col min="9" max="9" width="5.42578125" customWidth="1"/>
    <col min="10" max="10" width="46" bestFit="1" customWidth="1"/>
    <col min="11" max="11" width="11.42578125" style="4"/>
    <col min="12" max="12" width="17.140625" bestFit="1" customWidth="1"/>
  </cols>
  <sheetData>
    <row r="1" spans="3:9" ht="15.75" thickBot="1" x14ac:dyDescent="0.3"/>
    <row r="2" spans="3:9" x14ac:dyDescent="0.25">
      <c r="C2" s="766"/>
      <c r="D2" s="769" t="s">
        <v>502</v>
      </c>
      <c r="E2" s="770"/>
      <c r="F2" s="728"/>
      <c r="G2" s="775" t="s">
        <v>250</v>
      </c>
      <c r="H2" s="776"/>
      <c r="I2" s="777"/>
    </row>
    <row r="3" spans="3:9" x14ac:dyDescent="0.25">
      <c r="C3" s="767"/>
      <c r="D3" s="771"/>
      <c r="E3" s="772"/>
      <c r="F3" s="729"/>
      <c r="G3" s="778" t="s">
        <v>251</v>
      </c>
      <c r="H3" s="779"/>
      <c r="I3" s="780"/>
    </row>
    <row r="4" spans="3:9" x14ac:dyDescent="0.25">
      <c r="C4" s="767"/>
      <c r="D4" s="771"/>
      <c r="E4" s="772"/>
      <c r="F4" s="729"/>
      <c r="G4" s="778" t="s">
        <v>252</v>
      </c>
      <c r="H4" s="779"/>
      <c r="I4" s="780"/>
    </row>
    <row r="5" spans="3:9" x14ac:dyDescent="0.25">
      <c r="C5" s="767"/>
      <c r="D5" s="771"/>
      <c r="E5" s="772"/>
      <c r="F5" s="729"/>
      <c r="G5" s="778" t="s">
        <v>253</v>
      </c>
      <c r="H5" s="779"/>
      <c r="I5" s="780"/>
    </row>
    <row r="6" spans="3:9" x14ac:dyDescent="0.25">
      <c r="C6" s="767"/>
      <c r="D6" s="771"/>
      <c r="E6" s="772"/>
      <c r="F6" s="729"/>
      <c r="G6" s="90" t="s">
        <v>254</v>
      </c>
      <c r="H6" s="91" t="s">
        <v>255</v>
      </c>
      <c r="I6" s="92" t="s">
        <v>256</v>
      </c>
    </row>
    <row r="7" spans="3:9" ht="15.75" thickBot="1" x14ac:dyDescent="0.3">
      <c r="C7" s="768"/>
      <c r="D7" s="773"/>
      <c r="E7" s="774"/>
      <c r="F7" s="730"/>
      <c r="G7" s="210"/>
      <c r="H7" s="263"/>
      <c r="I7" s="299"/>
    </row>
    <row r="8" spans="3:9" ht="15.75" thickBot="1" x14ac:dyDescent="0.3">
      <c r="C8" s="794"/>
      <c r="D8" s="794"/>
      <c r="E8" s="794"/>
      <c r="F8" s="794"/>
      <c r="G8" s="794"/>
      <c r="H8" s="794"/>
      <c r="I8" s="794"/>
    </row>
    <row r="9" spans="3:9" x14ac:dyDescent="0.25">
      <c r="C9" s="795" t="s">
        <v>257</v>
      </c>
      <c r="D9" s="797" t="s">
        <v>258</v>
      </c>
      <c r="E9" s="799" t="s">
        <v>259</v>
      </c>
      <c r="F9" s="799" t="s">
        <v>260</v>
      </c>
      <c r="G9" s="801" t="s">
        <v>261</v>
      </c>
      <c r="H9" s="802"/>
      <c r="I9" s="803"/>
    </row>
    <row r="10" spans="3:9" x14ac:dyDescent="0.25">
      <c r="C10" s="796"/>
      <c r="D10" s="798"/>
      <c r="E10" s="800"/>
      <c r="F10" s="800"/>
      <c r="G10" s="93" t="s">
        <v>262</v>
      </c>
      <c r="H10" s="93" t="s">
        <v>263</v>
      </c>
      <c r="I10" s="94" t="s">
        <v>264</v>
      </c>
    </row>
    <row r="11" spans="3:9" x14ac:dyDescent="0.25">
      <c r="C11" s="95">
        <v>3</v>
      </c>
      <c r="D11" s="96" t="s">
        <v>265</v>
      </c>
      <c r="E11" s="3"/>
      <c r="F11" s="3"/>
      <c r="G11" s="97"/>
      <c r="H11" s="97"/>
      <c r="I11" s="98" t="s">
        <v>266</v>
      </c>
    </row>
    <row r="12" spans="3:9" x14ac:dyDescent="0.25">
      <c r="C12" s="99">
        <v>2</v>
      </c>
      <c r="D12" s="100" t="s">
        <v>267</v>
      </c>
      <c r="E12" s="100" t="s">
        <v>268</v>
      </c>
      <c r="F12" s="100"/>
      <c r="G12" s="97"/>
      <c r="H12" s="97" t="s">
        <v>266</v>
      </c>
      <c r="I12" s="300"/>
    </row>
    <row r="13" spans="3:9" x14ac:dyDescent="0.25">
      <c r="C13" s="99">
        <v>3</v>
      </c>
      <c r="D13" s="100" t="s">
        <v>269</v>
      </c>
      <c r="E13" s="100"/>
      <c r="F13" s="100"/>
      <c r="G13" s="97" t="s">
        <v>266</v>
      </c>
      <c r="H13" s="97"/>
      <c r="I13" s="98"/>
    </row>
    <row r="14" spans="3:9" x14ac:dyDescent="0.25">
      <c r="C14" s="99">
        <v>4</v>
      </c>
      <c r="D14" s="100" t="s">
        <v>270</v>
      </c>
      <c r="E14" s="100"/>
      <c r="F14" s="100"/>
      <c r="G14" s="97"/>
      <c r="H14" s="97" t="s">
        <v>266</v>
      </c>
      <c r="I14" s="300"/>
    </row>
    <row r="15" spans="3:9" x14ac:dyDescent="0.25">
      <c r="C15" s="99">
        <v>13</v>
      </c>
      <c r="D15" s="100" t="s">
        <v>271</v>
      </c>
      <c r="E15" s="100"/>
      <c r="F15" s="100"/>
      <c r="G15" s="97"/>
      <c r="H15" s="97" t="s">
        <v>266</v>
      </c>
      <c r="I15" s="98"/>
    </row>
    <row r="16" spans="3:9" x14ac:dyDescent="0.25">
      <c r="C16" s="99">
        <v>1</v>
      </c>
      <c r="D16" s="100" t="s">
        <v>272</v>
      </c>
      <c r="E16" s="100" t="s">
        <v>273</v>
      </c>
      <c r="F16" s="100"/>
      <c r="G16" s="97" t="s">
        <v>266</v>
      </c>
      <c r="H16" s="97"/>
      <c r="I16" s="300"/>
    </row>
    <row r="17" spans="3:9" x14ac:dyDescent="0.25">
      <c r="C17" s="95">
        <v>3</v>
      </c>
      <c r="D17" s="96" t="s">
        <v>274</v>
      </c>
      <c r="E17" s="3"/>
      <c r="F17" s="3"/>
      <c r="G17" s="97" t="s">
        <v>266</v>
      </c>
      <c r="H17" s="97"/>
      <c r="I17" s="98"/>
    </row>
    <row r="18" spans="3:9" x14ac:dyDescent="0.25">
      <c r="C18" s="95">
        <v>6</v>
      </c>
      <c r="D18" s="96" t="s">
        <v>275</v>
      </c>
      <c r="E18" s="3"/>
      <c r="F18" s="3"/>
      <c r="G18" s="97" t="s">
        <v>266</v>
      </c>
      <c r="H18" s="97"/>
      <c r="I18" s="98"/>
    </row>
    <row r="19" spans="3:9" x14ac:dyDescent="0.25">
      <c r="C19" s="95">
        <v>13</v>
      </c>
      <c r="D19" s="96" t="s">
        <v>276</v>
      </c>
      <c r="E19" s="3"/>
      <c r="F19" s="3"/>
      <c r="G19" s="97" t="s">
        <v>266</v>
      </c>
      <c r="H19" s="97"/>
      <c r="I19" s="98"/>
    </row>
    <row r="20" spans="3:9" x14ac:dyDescent="0.25">
      <c r="C20" s="95">
        <v>12</v>
      </c>
      <c r="D20" s="96" t="s">
        <v>277</v>
      </c>
      <c r="E20" s="3"/>
      <c r="F20" s="3"/>
      <c r="G20" s="97" t="s">
        <v>266</v>
      </c>
      <c r="H20" s="97"/>
      <c r="I20" s="98"/>
    </row>
    <row r="21" spans="3:9" x14ac:dyDescent="0.25">
      <c r="C21" s="99">
        <v>1</v>
      </c>
      <c r="D21" s="100" t="s">
        <v>278</v>
      </c>
      <c r="E21" s="100" t="s">
        <v>279</v>
      </c>
      <c r="F21" s="100" t="s">
        <v>280</v>
      </c>
      <c r="G21" s="97" t="s">
        <v>266</v>
      </c>
      <c r="H21" s="97"/>
      <c r="I21" s="98"/>
    </row>
    <row r="22" spans="3:9" x14ac:dyDescent="0.25">
      <c r="C22" s="99">
        <v>1</v>
      </c>
      <c r="D22" s="100" t="s">
        <v>278</v>
      </c>
      <c r="E22" s="100" t="s">
        <v>281</v>
      </c>
      <c r="F22" s="100" t="s">
        <v>282</v>
      </c>
      <c r="G22" s="97"/>
      <c r="H22" s="97"/>
      <c r="I22" s="98" t="s">
        <v>266</v>
      </c>
    </row>
    <row r="23" spans="3:9" x14ac:dyDescent="0.25">
      <c r="C23" s="99">
        <v>22</v>
      </c>
      <c r="D23" s="100" t="s">
        <v>283</v>
      </c>
      <c r="E23" s="100"/>
      <c r="F23" s="100"/>
      <c r="G23" s="97" t="s">
        <v>266</v>
      </c>
      <c r="H23" s="97"/>
      <c r="I23" s="98"/>
    </row>
    <row r="24" spans="3:9" x14ac:dyDescent="0.25">
      <c r="C24" s="99">
        <v>10</v>
      </c>
      <c r="D24" s="100" t="s">
        <v>284</v>
      </c>
      <c r="E24" s="100" t="s">
        <v>285</v>
      </c>
      <c r="F24" s="100"/>
      <c r="G24" s="97"/>
      <c r="H24" s="97" t="s">
        <v>266</v>
      </c>
      <c r="I24" s="98"/>
    </row>
    <row r="25" spans="3:9" x14ac:dyDescent="0.25">
      <c r="C25" s="95">
        <v>2</v>
      </c>
      <c r="D25" s="96" t="s">
        <v>286</v>
      </c>
      <c r="E25" s="3"/>
      <c r="F25" s="3"/>
      <c r="G25" s="97"/>
      <c r="H25" s="97"/>
      <c r="I25" s="98" t="s">
        <v>266</v>
      </c>
    </row>
    <row r="26" spans="3:9" x14ac:dyDescent="0.25">
      <c r="C26" s="95">
        <v>3</v>
      </c>
      <c r="D26" s="96" t="s">
        <v>287</v>
      </c>
      <c r="E26" s="3"/>
      <c r="F26" s="3"/>
      <c r="G26" s="97"/>
      <c r="H26" s="97"/>
      <c r="I26" s="98" t="s">
        <v>266</v>
      </c>
    </row>
    <row r="27" spans="3:9" x14ac:dyDescent="0.25">
      <c r="C27" s="99">
        <v>1</v>
      </c>
      <c r="D27" s="100" t="s">
        <v>288</v>
      </c>
      <c r="E27" s="100"/>
      <c r="F27" s="100"/>
      <c r="G27" s="97" t="s">
        <v>266</v>
      </c>
      <c r="H27" s="97"/>
      <c r="I27" s="98"/>
    </row>
    <row r="28" spans="3:9" x14ac:dyDescent="0.25">
      <c r="C28" s="99">
        <v>1</v>
      </c>
      <c r="D28" s="100" t="s">
        <v>289</v>
      </c>
      <c r="E28" s="100"/>
      <c r="F28" s="100"/>
      <c r="G28" s="97" t="s">
        <v>266</v>
      </c>
      <c r="H28" s="97"/>
      <c r="I28" s="98"/>
    </row>
    <row r="29" spans="3:9" x14ac:dyDescent="0.25">
      <c r="C29" s="99">
        <v>1</v>
      </c>
      <c r="D29" s="100" t="s">
        <v>290</v>
      </c>
      <c r="E29" s="100"/>
      <c r="F29" s="100"/>
      <c r="G29" s="97" t="s">
        <v>266</v>
      </c>
      <c r="H29" s="97"/>
      <c r="I29" s="98"/>
    </row>
    <row r="30" spans="3:9" x14ac:dyDescent="0.25">
      <c r="C30" s="99">
        <v>1</v>
      </c>
      <c r="D30" s="100" t="s">
        <v>291</v>
      </c>
      <c r="E30" s="100" t="s">
        <v>292</v>
      </c>
      <c r="F30" s="100" t="s">
        <v>293</v>
      </c>
      <c r="G30" s="97" t="s">
        <v>266</v>
      </c>
      <c r="H30" s="97"/>
      <c r="I30" s="98"/>
    </row>
    <row r="31" spans="3:9" x14ac:dyDescent="0.25">
      <c r="C31" s="99">
        <v>1</v>
      </c>
      <c r="D31" s="100" t="s">
        <v>291</v>
      </c>
      <c r="E31" s="100" t="s">
        <v>294</v>
      </c>
      <c r="F31" s="100" t="s">
        <v>295</v>
      </c>
      <c r="G31" s="97" t="s">
        <v>266</v>
      </c>
      <c r="H31" s="97"/>
      <c r="I31" s="98"/>
    </row>
    <row r="32" spans="3:9" x14ac:dyDescent="0.25">
      <c r="C32" s="99">
        <v>2</v>
      </c>
      <c r="D32" s="100" t="s">
        <v>296</v>
      </c>
      <c r="E32" s="100"/>
      <c r="F32" s="100"/>
      <c r="G32" s="97"/>
      <c r="H32" s="97"/>
      <c r="I32" s="98" t="s">
        <v>266</v>
      </c>
    </row>
    <row r="33" spans="3:9" x14ac:dyDescent="0.25">
      <c r="C33" s="95">
        <v>1</v>
      </c>
      <c r="D33" s="96" t="s">
        <v>297</v>
      </c>
      <c r="E33" s="3"/>
      <c r="F33" s="3"/>
      <c r="G33" s="97" t="s">
        <v>266</v>
      </c>
      <c r="H33" s="97"/>
      <c r="I33" s="98"/>
    </row>
    <row r="34" spans="3:9" x14ac:dyDescent="0.25">
      <c r="C34" s="95">
        <v>13</v>
      </c>
      <c r="D34" s="96" t="s">
        <v>298</v>
      </c>
      <c r="E34" s="3"/>
      <c r="F34" s="3"/>
      <c r="G34" s="97"/>
      <c r="H34" s="97"/>
      <c r="I34" s="98" t="s">
        <v>266</v>
      </c>
    </row>
    <row r="35" spans="3:9" x14ac:dyDescent="0.25">
      <c r="C35" s="95">
        <v>3</v>
      </c>
      <c r="D35" s="96" t="s">
        <v>299</v>
      </c>
      <c r="E35" s="3"/>
      <c r="F35" s="3"/>
      <c r="G35" s="97" t="s">
        <v>266</v>
      </c>
      <c r="H35" s="97"/>
      <c r="I35" s="98"/>
    </row>
    <row r="36" spans="3:9" x14ac:dyDescent="0.25">
      <c r="C36" s="95">
        <v>2</v>
      </c>
      <c r="D36" s="96" t="s">
        <v>300</v>
      </c>
      <c r="E36" s="3"/>
      <c r="F36" s="3"/>
      <c r="G36" s="97" t="s">
        <v>266</v>
      </c>
      <c r="H36" s="97"/>
      <c r="I36" s="98"/>
    </row>
    <row r="37" spans="3:9" x14ac:dyDescent="0.25">
      <c r="C37" s="95">
        <v>1</v>
      </c>
      <c r="D37" s="96" t="s">
        <v>301</v>
      </c>
      <c r="E37" s="3" t="s">
        <v>302</v>
      </c>
      <c r="F37" s="3"/>
      <c r="G37" s="97" t="s">
        <v>266</v>
      </c>
      <c r="H37" s="97"/>
      <c r="I37" s="98"/>
    </row>
    <row r="38" spans="3:9" x14ac:dyDescent="0.25">
      <c r="C38" s="95">
        <v>1</v>
      </c>
      <c r="D38" s="96" t="s">
        <v>303</v>
      </c>
      <c r="E38" s="3" t="s">
        <v>302</v>
      </c>
      <c r="F38" s="3"/>
      <c r="G38" s="97" t="s">
        <v>266</v>
      </c>
      <c r="H38" s="97"/>
      <c r="I38" s="98"/>
    </row>
    <row r="39" spans="3:9" x14ac:dyDescent="0.25">
      <c r="C39" s="95">
        <v>5</v>
      </c>
      <c r="D39" s="96" t="s">
        <v>304</v>
      </c>
      <c r="E39" s="3" t="s">
        <v>302</v>
      </c>
      <c r="F39" s="3"/>
      <c r="G39" s="97" t="s">
        <v>266</v>
      </c>
      <c r="H39" s="97"/>
      <c r="I39" s="98"/>
    </row>
    <row r="40" spans="3:9" x14ac:dyDescent="0.25">
      <c r="C40" s="95">
        <v>1</v>
      </c>
      <c r="D40" s="96" t="s">
        <v>305</v>
      </c>
      <c r="E40" s="3" t="s">
        <v>302</v>
      </c>
      <c r="F40" s="3"/>
      <c r="G40" s="97" t="s">
        <v>266</v>
      </c>
      <c r="H40" s="97"/>
      <c r="I40" s="98"/>
    </row>
    <row r="41" spans="3:9" x14ac:dyDescent="0.25">
      <c r="C41" s="95">
        <v>9</v>
      </c>
      <c r="D41" s="96" t="s">
        <v>306</v>
      </c>
      <c r="E41" s="3"/>
      <c r="F41" s="3"/>
      <c r="G41" s="97"/>
      <c r="H41" s="97" t="s">
        <v>266</v>
      </c>
      <c r="I41" s="98"/>
    </row>
    <row r="42" spans="3:9" x14ac:dyDescent="0.25">
      <c r="C42" s="95">
        <v>5</v>
      </c>
      <c r="D42" s="96" t="s">
        <v>307</v>
      </c>
      <c r="E42" s="3" t="s">
        <v>302</v>
      </c>
      <c r="F42" s="3"/>
      <c r="G42" s="97" t="s">
        <v>266</v>
      </c>
      <c r="H42" s="97"/>
      <c r="I42" s="98"/>
    </row>
    <row r="43" spans="3:9" x14ac:dyDescent="0.25">
      <c r="C43" s="99">
        <v>4</v>
      </c>
      <c r="D43" s="100" t="s">
        <v>308</v>
      </c>
      <c r="E43" s="100"/>
      <c r="F43" s="100"/>
      <c r="G43" s="97" t="s">
        <v>266</v>
      </c>
      <c r="H43" s="97"/>
      <c r="I43" s="300"/>
    </row>
    <row r="44" spans="3:9" x14ac:dyDescent="0.25">
      <c r="C44" s="95">
        <v>1</v>
      </c>
      <c r="D44" s="96" t="s">
        <v>309</v>
      </c>
      <c r="E44" s="3"/>
      <c r="F44" s="3"/>
      <c r="G44" s="97" t="s">
        <v>266</v>
      </c>
      <c r="H44" s="97"/>
      <c r="I44" s="98"/>
    </row>
    <row r="45" spans="3:9" x14ac:dyDescent="0.25">
      <c r="C45" s="95">
        <v>1</v>
      </c>
      <c r="D45" s="96" t="s">
        <v>309</v>
      </c>
      <c r="E45" s="3"/>
      <c r="F45" s="3"/>
      <c r="G45" s="97" t="s">
        <v>266</v>
      </c>
      <c r="H45" s="97"/>
      <c r="I45" s="98"/>
    </row>
    <row r="46" spans="3:9" x14ac:dyDescent="0.25">
      <c r="C46" s="99">
        <v>1</v>
      </c>
      <c r="D46" s="100" t="s">
        <v>310</v>
      </c>
      <c r="E46" s="100"/>
      <c r="F46" s="100"/>
      <c r="G46" s="97" t="s">
        <v>266</v>
      </c>
      <c r="H46" s="97"/>
      <c r="I46" s="98"/>
    </row>
    <row r="47" spans="3:9" x14ac:dyDescent="0.25">
      <c r="C47" s="95">
        <v>1</v>
      </c>
      <c r="D47" s="96" t="s">
        <v>311</v>
      </c>
      <c r="E47" s="3"/>
      <c r="F47" s="3"/>
      <c r="G47" s="97"/>
      <c r="H47" s="97" t="s">
        <v>266</v>
      </c>
      <c r="I47" s="98"/>
    </row>
    <row r="48" spans="3:9" x14ac:dyDescent="0.25">
      <c r="C48" s="95">
        <v>2</v>
      </c>
      <c r="D48" s="96" t="s">
        <v>312</v>
      </c>
      <c r="E48" s="3"/>
      <c r="F48" s="3"/>
      <c r="G48" s="97"/>
      <c r="H48" s="97"/>
      <c r="I48" s="98" t="s">
        <v>266</v>
      </c>
    </row>
    <row r="49" spans="3:9" x14ac:dyDescent="0.25">
      <c r="C49" s="101">
        <v>1</v>
      </c>
      <c r="D49" s="102" t="s">
        <v>313</v>
      </c>
      <c r="E49" s="102" t="s">
        <v>314</v>
      </c>
      <c r="F49" s="102"/>
      <c r="G49" s="97" t="s">
        <v>266</v>
      </c>
      <c r="H49" s="97"/>
      <c r="I49" s="300"/>
    </row>
    <row r="50" spans="3:9" x14ac:dyDescent="0.25">
      <c r="C50" s="101">
        <v>1</v>
      </c>
      <c r="D50" s="102" t="s">
        <v>315</v>
      </c>
      <c r="E50" s="102"/>
      <c r="F50" s="102"/>
      <c r="G50" s="97"/>
      <c r="H50" s="97" t="s">
        <v>266</v>
      </c>
      <c r="I50" s="300"/>
    </row>
    <row r="51" spans="3:9" x14ac:dyDescent="0.25">
      <c r="C51" s="101">
        <v>3</v>
      </c>
      <c r="D51" s="102" t="s">
        <v>316</v>
      </c>
      <c r="E51" s="102"/>
      <c r="F51" s="102"/>
      <c r="G51" s="97"/>
      <c r="H51" s="97" t="s">
        <v>266</v>
      </c>
      <c r="I51" s="300"/>
    </row>
    <row r="52" spans="3:9" x14ac:dyDescent="0.25">
      <c r="C52" s="103">
        <v>1</v>
      </c>
      <c r="D52" s="104" t="s">
        <v>317</v>
      </c>
      <c r="E52" s="97"/>
      <c r="F52" s="97"/>
      <c r="G52" s="97" t="s">
        <v>266</v>
      </c>
      <c r="H52" s="97"/>
      <c r="I52" s="98"/>
    </row>
    <row r="53" spans="3:9" x14ac:dyDescent="0.25">
      <c r="C53" s="101">
        <v>6</v>
      </c>
      <c r="D53" s="102" t="s">
        <v>318</v>
      </c>
      <c r="E53" s="102"/>
      <c r="F53" s="102"/>
      <c r="G53" s="97"/>
      <c r="H53" s="97" t="s">
        <v>266</v>
      </c>
      <c r="I53" s="98"/>
    </row>
    <row r="54" spans="3:9" x14ac:dyDescent="0.25">
      <c r="C54" s="101">
        <v>5</v>
      </c>
      <c r="D54" s="102" t="s">
        <v>319</v>
      </c>
      <c r="E54" s="102"/>
      <c r="F54" s="102"/>
      <c r="G54" s="97"/>
      <c r="H54" s="97" t="s">
        <v>266</v>
      </c>
      <c r="I54" s="98"/>
    </row>
    <row r="55" spans="3:9" x14ac:dyDescent="0.25">
      <c r="C55" s="101">
        <v>2</v>
      </c>
      <c r="D55" s="102" t="s">
        <v>320</v>
      </c>
      <c r="E55" s="102"/>
      <c r="F55" s="102"/>
      <c r="G55" s="97"/>
      <c r="H55" s="97" t="s">
        <v>266</v>
      </c>
      <c r="I55" s="98"/>
    </row>
    <row r="56" spans="3:9" x14ac:dyDescent="0.25">
      <c r="C56" s="101">
        <v>5</v>
      </c>
      <c r="D56" s="102" t="s">
        <v>321</v>
      </c>
      <c r="E56" s="102"/>
      <c r="F56" s="102"/>
      <c r="G56" s="97"/>
      <c r="H56" s="97" t="s">
        <v>266</v>
      </c>
      <c r="I56" s="98"/>
    </row>
    <row r="57" spans="3:9" x14ac:dyDescent="0.25">
      <c r="C57" s="101">
        <v>4</v>
      </c>
      <c r="D57" s="102" t="s">
        <v>322</v>
      </c>
      <c r="E57" s="102"/>
      <c r="F57" s="102"/>
      <c r="G57" s="97" t="s">
        <v>266</v>
      </c>
      <c r="H57" s="97"/>
      <c r="I57" s="98"/>
    </row>
    <row r="58" spans="3:9" x14ac:dyDescent="0.25">
      <c r="C58" s="101">
        <v>1</v>
      </c>
      <c r="D58" s="102" t="s">
        <v>323</v>
      </c>
      <c r="E58" s="102"/>
      <c r="F58" s="102"/>
      <c r="G58" s="97" t="s">
        <v>266</v>
      </c>
      <c r="H58" s="97"/>
      <c r="I58" s="98"/>
    </row>
    <row r="59" spans="3:9" x14ac:dyDescent="0.25">
      <c r="C59" s="101">
        <v>4</v>
      </c>
      <c r="D59" s="102" t="s">
        <v>324</v>
      </c>
      <c r="E59" s="102"/>
      <c r="F59" s="102"/>
      <c r="G59" s="97" t="s">
        <v>266</v>
      </c>
      <c r="H59" s="97"/>
      <c r="I59" s="98"/>
    </row>
    <row r="60" spans="3:9" x14ac:dyDescent="0.25">
      <c r="C60" s="103">
        <v>2</v>
      </c>
      <c r="D60" s="104" t="s">
        <v>325</v>
      </c>
      <c r="E60" s="97" t="s">
        <v>273</v>
      </c>
      <c r="F60" s="97" t="s">
        <v>326</v>
      </c>
      <c r="G60" s="97"/>
      <c r="H60" s="97"/>
      <c r="I60" s="98" t="s">
        <v>266</v>
      </c>
    </row>
    <row r="61" spans="3:9" x14ac:dyDescent="0.25">
      <c r="C61" s="101">
        <v>1</v>
      </c>
      <c r="D61" s="102" t="s">
        <v>327</v>
      </c>
      <c r="E61" s="102"/>
      <c r="F61" s="102"/>
      <c r="G61" s="97" t="s">
        <v>266</v>
      </c>
      <c r="H61" s="97"/>
      <c r="I61" s="300"/>
    </row>
    <row r="62" spans="3:9" x14ac:dyDescent="0.25">
      <c r="C62" s="101">
        <v>1</v>
      </c>
      <c r="D62" s="102" t="s">
        <v>328</v>
      </c>
      <c r="E62" s="102"/>
      <c r="F62" s="102"/>
      <c r="G62" s="97"/>
      <c r="H62" s="97" t="s">
        <v>266</v>
      </c>
      <c r="I62" s="300"/>
    </row>
    <row r="63" spans="3:9" x14ac:dyDescent="0.25">
      <c r="C63" s="101">
        <v>8</v>
      </c>
      <c r="D63" s="102" t="s">
        <v>329</v>
      </c>
      <c r="E63" s="102"/>
      <c r="F63" s="102"/>
      <c r="G63" s="97" t="s">
        <v>266</v>
      </c>
      <c r="H63" s="97"/>
      <c r="I63" s="300"/>
    </row>
    <row r="64" spans="3:9" x14ac:dyDescent="0.25">
      <c r="C64" s="101">
        <v>2</v>
      </c>
      <c r="D64" s="102" t="s">
        <v>330</v>
      </c>
      <c r="E64" s="102"/>
      <c r="F64" s="102"/>
      <c r="G64" s="97"/>
      <c r="H64" s="97" t="s">
        <v>266</v>
      </c>
      <c r="I64" s="98"/>
    </row>
    <row r="65" spans="3:9" x14ac:dyDescent="0.25">
      <c r="C65" s="101">
        <v>2</v>
      </c>
      <c r="D65" s="102" t="s">
        <v>331</v>
      </c>
      <c r="E65" s="102"/>
      <c r="F65" s="102"/>
      <c r="G65" s="97"/>
      <c r="H65" s="97"/>
      <c r="I65" s="98" t="s">
        <v>266</v>
      </c>
    </row>
    <row r="66" spans="3:9" x14ac:dyDescent="0.25">
      <c r="C66" s="103">
        <v>1</v>
      </c>
      <c r="D66" s="104" t="s">
        <v>332</v>
      </c>
      <c r="E66" s="97"/>
      <c r="F66" s="97"/>
      <c r="G66" s="97" t="s">
        <v>266</v>
      </c>
      <c r="H66" s="97"/>
      <c r="I66" s="98"/>
    </row>
    <row r="67" spans="3:9" x14ac:dyDescent="0.25">
      <c r="C67" s="103">
        <v>8</v>
      </c>
      <c r="D67" s="104" t="s">
        <v>333</v>
      </c>
      <c r="E67" s="97"/>
      <c r="F67" s="97"/>
      <c r="G67" s="97" t="s">
        <v>266</v>
      </c>
      <c r="H67" s="97"/>
      <c r="I67" s="98"/>
    </row>
    <row r="68" spans="3:9" x14ac:dyDescent="0.25">
      <c r="C68" s="103">
        <v>4</v>
      </c>
      <c r="D68" s="104" t="s">
        <v>334</v>
      </c>
      <c r="E68" s="97"/>
      <c r="F68" s="97"/>
      <c r="G68" s="97" t="s">
        <v>266</v>
      </c>
      <c r="H68" s="97"/>
      <c r="I68" s="98"/>
    </row>
    <row r="69" spans="3:9" x14ac:dyDescent="0.25">
      <c r="C69" s="101">
        <v>3</v>
      </c>
      <c r="D69" s="102" t="s">
        <v>335</v>
      </c>
      <c r="E69" s="102"/>
      <c r="F69" s="102"/>
      <c r="G69" s="97" t="s">
        <v>266</v>
      </c>
      <c r="H69" s="97"/>
      <c r="I69" s="300"/>
    </row>
    <row r="70" spans="3:9" x14ac:dyDescent="0.25">
      <c r="C70" s="101">
        <v>2</v>
      </c>
      <c r="D70" s="102" t="s">
        <v>336</v>
      </c>
      <c r="E70" s="102"/>
      <c r="F70" s="102"/>
      <c r="G70" s="97"/>
      <c r="H70" s="97"/>
      <c r="I70" s="300" t="s">
        <v>266</v>
      </c>
    </row>
    <row r="71" spans="3:9" x14ac:dyDescent="0.25">
      <c r="C71" s="101">
        <v>1</v>
      </c>
      <c r="D71" s="102" t="s">
        <v>337</v>
      </c>
      <c r="E71" s="102"/>
      <c r="F71" s="102"/>
      <c r="G71" s="97" t="s">
        <v>266</v>
      </c>
      <c r="H71" s="97"/>
      <c r="I71" s="300"/>
    </row>
    <row r="72" spans="3:9" x14ac:dyDescent="0.25">
      <c r="C72" s="101">
        <v>1</v>
      </c>
      <c r="D72" s="102" t="s">
        <v>338</v>
      </c>
      <c r="E72" s="102"/>
      <c r="F72" s="102"/>
      <c r="G72" s="97"/>
      <c r="H72" s="97"/>
      <c r="I72" s="98" t="s">
        <v>266</v>
      </c>
    </row>
    <row r="73" spans="3:9" x14ac:dyDescent="0.25">
      <c r="C73" s="101">
        <v>2</v>
      </c>
      <c r="D73" s="102" t="s">
        <v>339</v>
      </c>
      <c r="E73" s="102"/>
      <c r="F73" s="102"/>
      <c r="G73" s="97" t="s">
        <v>266</v>
      </c>
      <c r="H73" s="97"/>
      <c r="I73" s="300"/>
    </row>
    <row r="74" spans="3:9" x14ac:dyDescent="0.25">
      <c r="C74" s="101">
        <v>1</v>
      </c>
      <c r="D74" s="102" t="s">
        <v>340</v>
      </c>
      <c r="E74" s="102"/>
      <c r="F74" s="102"/>
      <c r="G74" s="97" t="s">
        <v>266</v>
      </c>
      <c r="H74" s="97"/>
      <c r="I74" s="300"/>
    </row>
    <row r="75" spans="3:9" x14ac:dyDescent="0.25">
      <c r="C75" s="103">
        <v>3</v>
      </c>
      <c r="D75" s="104" t="s">
        <v>341</v>
      </c>
      <c r="E75" s="97"/>
      <c r="F75" s="97"/>
      <c r="G75" s="97"/>
      <c r="H75" s="97" t="s">
        <v>266</v>
      </c>
      <c r="I75" s="98"/>
    </row>
    <row r="76" spans="3:9" x14ac:dyDescent="0.25">
      <c r="C76" s="103">
        <v>3</v>
      </c>
      <c r="D76" s="104" t="s">
        <v>342</v>
      </c>
      <c r="E76" s="97"/>
      <c r="F76" s="97"/>
      <c r="G76" s="97"/>
      <c r="H76" s="97" t="s">
        <v>266</v>
      </c>
      <c r="I76" s="98"/>
    </row>
    <row r="77" spans="3:9" x14ac:dyDescent="0.25">
      <c r="C77" s="103">
        <v>4</v>
      </c>
      <c r="D77" s="104" t="s">
        <v>343</v>
      </c>
      <c r="E77" s="97"/>
      <c r="F77" s="97"/>
      <c r="G77" s="97"/>
      <c r="H77" s="97"/>
      <c r="I77" s="98" t="s">
        <v>266</v>
      </c>
    </row>
    <row r="78" spans="3:9" x14ac:dyDescent="0.25">
      <c r="C78" s="103">
        <v>1</v>
      </c>
      <c r="D78" s="104" t="s">
        <v>344</v>
      </c>
      <c r="E78" s="97"/>
      <c r="F78" s="97"/>
      <c r="G78" s="97"/>
      <c r="H78" s="97" t="s">
        <v>266</v>
      </c>
      <c r="I78" s="98"/>
    </row>
    <row r="79" spans="3:9" x14ac:dyDescent="0.25">
      <c r="C79" s="103">
        <v>1</v>
      </c>
      <c r="D79" s="104" t="s">
        <v>345</v>
      </c>
      <c r="E79" s="97"/>
      <c r="F79" s="97"/>
      <c r="G79" s="97"/>
      <c r="H79" s="97" t="s">
        <v>266</v>
      </c>
      <c r="I79" s="98"/>
    </row>
    <row r="80" spans="3:9" x14ac:dyDescent="0.25">
      <c r="C80" s="103">
        <v>1</v>
      </c>
      <c r="D80" s="104" t="s">
        <v>346</v>
      </c>
      <c r="E80" s="97"/>
      <c r="F80" s="97"/>
      <c r="G80" s="97"/>
      <c r="H80" s="97" t="s">
        <v>266</v>
      </c>
      <c r="I80" s="98"/>
    </row>
    <row r="81" spans="3:9" x14ac:dyDescent="0.25">
      <c r="C81" s="103">
        <v>1</v>
      </c>
      <c r="D81" s="104" t="s">
        <v>347</v>
      </c>
      <c r="E81" s="97"/>
      <c r="F81" s="97"/>
      <c r="G81" s="97"/>
      <c r="H81" s="97" t="s">
        <v>266</v>
      </c>
      <c r="I81" s="98"/>
    </row>
    <row r="82" spans="3:9" x14ac:dyDescent="0.25">
      <c r="C82" s="103">
        <v>5</v>
      </c>
      <c r="D82" s="104" t="s">
        <v>348</v>
      </c>
      <c r="E82" s="97"/>
      <c r="F82" s="97"/>
      <c r="G82" s="97"/>
      <c r="H82" s="97" t="s">
        <v>266</v>
      </c>
      <c r="I82" s="98"/>
    </row>
    <row r="83" spans="3:9" x14ac:dyDescent="0.25">
      <c r="C83" s="103">
        <v>2</v>
      </c>
      <c r="D83" s="104" t="s">
        <v>349</v>
      </c>
      <c r="E83" s="97"/>
      <c r="F83" s="97"/>
      <c r="G83" s="97"/>
      <c r="H83" s="97" t="s">
        <v>266</v>
      </c>
      <c r="I83" s="98"/>
    </row>
    <row r="84" spans="3:9" x14ac:dyDescent="0.25">
      <c r="C84" s="101">
        <v>6</v>
      </c>
      <c r="D84" s="102" t="s">
        <v>350</v>
      </c>
      <c r="E84" s="102"/>
      <c r="F84" s="102"/>
      <c r="G84" s="97" t="s">
        <v>266</v>
      </c>
      <c r="H84" s="97"/>
      <c r="I84" s="98"/>
    </row>
    <row r="85" spans="3:9" x14ac:dyDescent="0.25">
      <c r="C85" s="101">
        <v>1</v>
      </c>
      <c r="D85" s="102" t="s">
        <v>351</v>
      </c>
      <c r="E85" s="102"/>
      <c r="F85" s="102"/>
      <c r="G85" s="97" t="s">
        <v>266</v>
      </c>
      <c r="H85" s="97"/>
      <c r="I85" s="98"/>
    </row>
    <row r="86" spans="3:9" x14ac:dyDescent="0.25">
      <c r="C86" s="103">
        <v>1</v>
      </c>
      <c r="D86" s="104" t="s">
        <v>352</v>
      </c>
      <c r="E86" s="97"/>
      <c r="F86" s="97"/>
      <c r="G86" s="97"/>
      <c r="H86" s="97"/>
      <c r="I86" s="98" t="s">
        <v>266</v>
      </c>
    </row>
    <row r="87" spans="3:9" x14ac:dyDescent="0.25">
      <c r="C87" s="101">
        <v>18</v>
      </c>
      <c r="D87" s="102" t="s">
        <v>353</v>
      </c>
      <c r="E87" s="102"/>
      <c r="F87" s="102"/>
      <c r="G87" s="97"/>
      <c r="H87" s="97" t="s">
        <v>266</v>
      </c>
      <c r="I87" s="300"/>
    </row>
    <row r="88" spans="3:9" x14ac:dyDescent="0.25">
      <c r="C88" s="101">
        <v>31</v>
      </c>
      <c r="D88" s="102" t="s">
        <v>354</v>
      </c>
      <c r="E88" s="102"/>
      <c r="F88" s="102"/>
      <c r="G88" s="97"/>
      <c r="H88" s="97" t="s">
        <v>266</v>
      </c>
      <c r="I88" s="98"/>
    </row>
    <row r="89" spans="3:9" x14ac:dyDescent="0.25">
      <c r="C89" s="101">
        <v>4</v>
      </c>
      <c r="D89" s="102" t="s">
        <v>355</v>
      </c>
      <c r="E89" s="102"/>
      <c r="F89" s="102"/>
      <c r="G89" s="97"/>
      <c r="H89" s="97" t="s">
        <v>266</v>
      </c>
      <c r="I89" s="98"/>
    </row>
    <row r="90" spans="3:9" x14ac:dyDescent="0.25">
      <c r="C90" s="101">
        <v>1</v>
      </c>
      <c r="D90" s="102" t="s">
        <v>356</v>
      </c>
      <c r="E90" s="102" t="s">
        <v>357</v>
      </c>
      <c r="F90" s="102" t="s">
        <v>358</v>
      </c>
      <c r="G90" s="97" t="s">
        <v>266</v>
      </c>
      <c r="H90" s="97"/>
      <c r="I90" s="98"/>
    </row>
    <row r="91" spans="3:9" x14ac:dyDescent="0.25">
      <c r="C91" s="101">
        <v>14</v>
      </c>
      <c r="D91" s="102" t="s">
        <v>359</v>
      </c>
      <c r="E91" s="102"/>
      <c r="F91" s="102"/>
      <c r="G91" s="97"/>
      <c r="H91" s="97" t="s">
        <v>266</v>
      </c>
      <c r="I91" s="98"/>
    </row>
    <row r="92" spans="3:9" x14ac:dyDescent="0.25">
      <c r="C92" s="101">
        <v>6</v>
      </c>
      <c r="D92" s="102" t="s">
        <v>360</v>
      </c>
      <c r="E92" s="102"/>
      <c r="F92" s="102"/>
      <c r="G92" s="97"/>
      <c r="H92" s="97" t="s">
        <v>266</v>
      </c>
      <c r="I92" s="98"/>
    </row>
    <row r="93" spans="3:9" x14ac:dyDescent="0.25">
      <c r="C93" s="101">
        <v>1</v>
      </c>
      <c r="D93" s="102" t="s">
        <v>361</v>
      </c>
      <c r="E93" s="102" t="s">
        <v>292</v>
      </c>
      <c r="F93" s="102"/>
      <c r="G93" s="97"/>
      <c r="H93" s="97"/>
      <c r="I93" s="98"/>
    </row>
    <row r="94" spans="3:9" x14ac:dyDescent="0.25">
      <c r="C94" s="103">
        <v>2</v>
      </c>
      <c r="D94" s="104" t="s">
        <v>362</v>
      </c>
      <c r="E94" s="97"/>
      <c r="F94" s="97"/>
      <c r="G94" s="97"/>
      <c r="H94" s="97" t="s">
        <v>266</v>
      </c>
      <c r="I94" s="98"/>
    </row>
    <row r="95" spans="3:9" x14ac:dyDescent="0.25">
      <c r="C95" s="103">
        <v>6</v>
      </c>
      <c r="D95" s="104" t="s">
        <v>363</v>
      </c>
      <c r="E95" s="97"/>
      <c r="F95" s="97"/>
      <c r="G95" s="97"/>
      <c r="H95" s="97" t="s">
        <v>266</v>
      </c>
      <c r="I95" s="98"/>
    </row>
    <row r="96" spans="3:9" x14ac:dyDescent="0.25">
      <c r="C96" s="101">
        <v>1</v>
      </c>
      <c r="D96" s="102" t="s">
        <v>364</v>
      </c>
      <c r="E96" s="102"/>
      <c r="F96" s="102"/>
      <c r="G96" s="97" t="s">
        <v>266</v>
      </c>
      <c r="H96" s="97"/>
      <c r="I96" s="300"/>
    </row>
    <row r="97" spans="3:9" x14ac:dyDescent="0.25">
      <c r="C97" s="101">
        <v>1</v>
      </c>
      <c r="D97" s="102" t="s">
        <v>365</v>
      </c>
      <c r="E97" s="102" t="s">
        <v>366</v>
      </c>
      <c r="F97" s="102"/>
      <c r="G97" s="97" t="s">
        <v>266</v>
      </c>
      <c r="H97" s="97"/>
      <c r="I97" s="300"/>
    </row>
    <row r="98" spans="3:9" x14ac:dyDescent="0.25">
      <c r="C98" s="101">
        <v>1</v>
      </c>
      <c r="D98" s="102" t="s">
        <v>367</v>
      </c>
      <c r="E98" s="102" t="s">
        <v>273</v>
      </c>
      <c r="F98" s="102"/>
      <c r="G98" s="97" t="s">
        <v>266</v>
      </c>
      <c r="H98" s="97"/>
      <c r="I98" s="300"/>
    </row>
    <row r="99" spans="3:9" x14ac:dyDescent="0.25">
      <c r="C99" s="95">
        <v>1</v>
      </c>
      <c r="D99" s="96" t="s">
        <v>368</v>
      </c>
      <c r="E99" s="3" t="s">
        <v>369</v>
      </c>
      <c r="F99" s="3"/>
      <c r="G99" s="97" t="s">
        <v>266</v>
      </c>
      <c r="H99" s="97"/>
      <c r="I99" s="98"/>
    </row>
    <row r="100" spans="3:9" x14ac:dyDescent="0.25">
      <c r="C100" s="95">
        <v>42</v>
      </c>
      <c r="D100" s="96" t="s">
        <v>370</v>
      </c>
      <c r="E100" s="3"/>
      <c r="F100" s="3"/>
      <c r="G100" s="105" t="s">
        <v>266</v>
      </c>
      <c r="H100" s="97"/>
      <c r="I100" s="98"/>
    </row>
    <row r="101" spans="3:9" x14ac:dyDescent="0.25">
      <c r="C101" s="95">
        <v>1</v>
      </c>
      <c r="D101" s="96" t="s">
        <v>371</v>
      </c>
      <c r="E101" s="3"/>
      <c r="F101" s="3"/>
      <c r="G101" s="97" t="s">
        <v>266</v>
      </c>
      <c r="H101" s="97"/>
      <c r="I101" s="98"/>
    </row>
    <row r="102" spans="3:9" x14ac:dyDescent="0.25">
      <c r="C102" s="95">
        <v>1</v>
      </c>
      <c r="D102" s="96" t="s">
        <v>372</v>
      </c>
      <c r="E102" s="3"/>
      <c r="F102" s="3"/>
      <c r="G102" s="105"/>
      <c r="H102" s="97" t="s">
        <v>266</v>
      </c>
      <c r="I102" s="98"/>
    </row>
    <row r="103" spans="3:9" x14ac:dyDescent="0.25">
      <c r="C103" s="95">
        <v>1</v>
      </c>
      <c r="D103" s="96" t="s">
        <v>373</v>
      </c>
      <c r="E103" s="3" t="s">
        <v>374</v>
      </c>
      <c r="F103" s="3" t="s">
        <v>375</v>
      </c>
      <c r="G103" s="97"/>
      <c r="H103" s="97" t="s">
        <v>266</v>
      </c>
      <c r="I103" s="98"/>
    </row>
    <row r="104" spans="3:9" x14ac:dyDescent="0.25">
      <c r="C104" s="95">
        <v>1</v>
      </c>
      <c r="D104" s="96" t="s">
        <v>376</v>
      </c>
      <c r="E104" s="3"/>
      <c r="F104" s="3"/>
      <c r="G104" s="97" t="s">
        <v>266</v>
      </c>
      <c r="H104" s="97"/>
      <c r="I104" s="98"/>
    </row>
    <row r="105" spans="3:9" x14ac:dyDescent="0.25">
      <c r="C105" s="95">
        <v>10</v>
      </c>
      <c r="D105" s="96" t="s">
        <v>377</v>
      </c>
      <c r="E105" s="3"/>
      <c r="F105" s="3" t="s">
        <v>378</v>
      </c>
      <c r="G105" s="105" t="s">
        <v>266</v>
      </c>
      <c r="H105" s="97"/>
      <c r="I105" s="98"/>
    </row>
    <row r="106" spans="3:9" x14ac:dyDescent="0.25">
      <c r="C106" s="95">
        <v>1</v>
      </c>
      <c r="D106" s="96" t="s">
        <v>379</v>
      </c>
      <c r="E106" s="3"/>
      <c r="F106" s="3"/>
      <c r="G106" s="97" t="s">
        <v>266</v>
      </c>
      <c r="H106" s="97"/>
      <c r="I106" s="98"/>
    </row>
    <row r="107" spans="3:9" x14ac:dyDescent="0.25">
      <c r="C107" s="95">
        <v>1</v>
      </c>
      <c r="D107" s="96" t="s">
        <v>380</v>
      </c>
      <c r="E107" s="3"/>
      <c r="F107" s="3"/>
      <c r="G107" s="97" t="s">
        <v>266</v>
      </c>
      <c r="H107" s="97"/>
      <c r="I107" s="98"/>
    </row>
    <row r="108" spans="3:9" x14ac:dyDescent="0.25">
      <c r="C108" s="106">
        <v>6</v>
      </c>
      <c r="D108" s="100" t="s">
        <v>381</v>
      </c>
      <c r="E108" s="107"/>
      <c r="F108" s="107"/>
      <c r="G108" s="105" t="s">
        <v>266</v>
      </c>
      <c r="H108" s="91"/>
      <c r="I108" s="92"/>
    </row>
    <row r="109" spans="3:9" x14ac:dyDescent="0.25">
      <c r="C109" s="95">
        <v>1</v>
      </c>
      <c r="D109" s="96" t="s">
        <v>382</v>
      </c>
      <c r="E109" s="3"/>
      <c r="F109" s="3"/>
      <c r="G109" s="97"/>
      <c r="H109" s="97" t="s">
        <v>266</v>
      </c>
      <c r="I109" s="98"/>
    </row>
    <row r="110" spans="3:9" x14ac:dyDescent="0.25">
      <c r="C110" s="95">
        <v>1</v>
      </c>
      <c r="D110" s="96" t="s">
        <v>383</v>
      </c>
      <c r="E110" s="3"/>
      <c r="F110" s="3"/>
      <c r="G110" s="97" t="s">
        <v>266</v>
      </c>
      <c r="H110" s="97"/>
      <c r="I110" s="98"/>
    </row>
    <row r="111" spans="3:9" x14ac:dyDescent="0.25">
      <c r="C111" s="95">
        <v>1</v>
      </c>
      <c r="D111" s="96" t="s">
        <v>384</v>
      </c>
      <c r="E111" s="3"/>
      <c r="F111" s="3"/>
      <c r="G111" s="97" t="s">
        <v>266</v>
      </c>
      <c r="H111" s="97"/>
      <c r="I111" s="98"/>
    </row>
    <row r="112" spans="3:9" x14ac:dyDescent="0.25">
      <c r="C112" s="95">
        <v>1</v>
      </c>
      <c r="D112" s="96" t="s">
        <v>385</v>
      </c>
      <c r="E112" s="3"/>
      <c r="F112" s="3"/>
      <c r="G112" s="97" t="s">
        <v>266</v>
      </c>
      <c r="H112" s="97"/>
      <c r="I112" s="98"/>
    </row>
    <row r="113" spans="3:9" x14ac:dyDescent="0.25">
      <c r="C113" s="95">
        <v>2</v>
      </c>
      <c r="D113" s="96" t="s">
        <v>386</v>
      </c>
      <c r="E113" s="3"/>
      <c r="F113" s="3"/>
      <c r="G113" s="105" t="s">
        <v>266</v>
      </c>
      <c r="H113" s="97"/>
      <c r="I113" s="98"/>
    </row>
    <row r="114" spans="3:9" x14ac:dyDescent="0.25">
      <c r="C114" s="95">
        <v>1</v>
      </c>
      <c r="D114" s="96" t="s">
        <v>387</v>
      </c>
      <c r="E114" s="3"/>
      <c r="F114" s="3"/>
      <c r="G114" s="105" t="s">
        <v>266</v>
      </c>
      <c r="H114" s="97"/>
      <c r="I114" s="98"/>
    </row>
    <row r="115" spans="3:9" x14ac:dyDescent="0.25">
      <c r="C115" s="95">
        <v>1</v>
      </c>
      <c r="D115" s="96" t="s">
        <v>388</v>
      </c>
      <c r="E115" s="3"/>
      <c r="F115" s="3"/>
      <c r="G115" s="97"/>
      <c r="H115" s="97" t="s">
        <v>266</v>
      </c>
      <c r="I115" s="98"/>
    </row>
    <row r="116" spans="3:9" x14ac:dyDescent="0.25">
      <c r="C116" s="95">
        <v>1</v>
      </c>
      <c r="D116" s="96" t="s">
        <v>389</v>
      </c>
      <c r="E116" s="3"/>
      <c r="F116" s="3"/>
      <c r="G116" s="97" t="s">
        <v>266</v>
      </c>
      <c r="H116" s="97"/>
      <c r="I116" s="98"/>
    </row>
    <row r="117" spans="3:9" x14ac:dyDescent="0.25">
      <c r="C117" s="95">
        <v>3</v>
      </c>
      <c r="D117" s="96" t="s">
        <v>390</v>
      </c>
      <c r="E117" s="3" t="s">
        <v>391</v>
      </c>
      <c r="F117" s="3"/>
      <c r="G117" s="97"/>
      <c r="H117" s="97"/>
      <c r="I117" s="98"/>
    </row>
    <row r="118" spans="3:9" x14ac:dyDescent="0.25">
      <c r="C118" s="106">
        <v>1</v>
      </c>
      <c r="D118" s="100" t="s">
        <v>392</v>
      </c>
      <c r="E118" s="107"/>
      <c r="F118" s="107"/>
      <c r="G118" s="105" t="s">
        <v>266</v>
      </c>
      <c r="H118" s="91"/>
      <c r="I118" s="92"/>
    </row>
    <row r="119" spans="3:9" x14ac:dyDescent="0.25">
      <c r="C119" s="95">
        <v>1</v>
      </c>
      <c r="D119" s="96" t="s">
        <v>393</v>
      </c>
      <c r="E119" s="3" t="s">
        <v>394</v>
      </c>
      <c r="F119" s="3" t="s">
        <v>395</v>
      </c>
      <c r="G119" s="97" t="s">
        <v>266</v>
      </c>
      <c r="H119" s="97"/>
      <c r="I119" s="98"/>
    </row>
    <row r="120" spans="3:9" x14ac:dyDescent="0.25">
      <c r="C120" s="106">
        <v>2</v>
      </c>
      <c r="D120" s="100" t="s">
        <v>396</v>
      </c>
      <c r="E120" s="107"/>
      <c r="F120" s="107"/>
      <c r="G120" s="105" t="s">
        <v>266</v>
      </c>
      <c r="H120" s="91"/>
      <c r="I120" s="92"/>
    </row>
    <row r="121" spans="3:9" x14ac:dyDescent="0.25">
      <c r="C121" s="95">
        <v>1</v>
      </c>
      <c r="D121" s="96" t="s">
        <v>397</v>
      </c>
      <c r="E121" s="3" t="s">
        <v>273</v>
      </c>
      <c r="F121" s="3" t="s">
        <v>398</v>
      </c>
      <c r="G121" s="97"/>
      <c r="H121" s="97"/>
      <c r="I121" s="98" t="s">
        <v>266</v>
      </c>
    </row>
    <row r="122" spans="3:9" x14ac:dyDescent="0.25">
      <c r="C122" s="95">
        <v>1</v>
      </c>
      <c r="D122" s="96" t="s">
        <v>399</v>
      </c>
      <c r="E122" s="3" t="s">
        <v>273</v>
      </c>
      <c r="F122" s="3" t="s">
        <v>400</v>
      </c>
      <c r="G122" s="97" t="s">
        <v>266</v>
      </c>
      <c r="H122" s="97"/>
      <c r="I122" s="98"/>
    </row>
    <row r="123" spans="3:9" x14ac:dyDescent="0.25">
      <c r="C123" s="95">
        <v>7</v>
      </c>
      <c r="D123" s="96" t="s">
        <v>401</v>
      </c>
      <c r="E123" s="3"/>
      <c r="F123" s="3"/>
      <c r="G123" s="97" t="s">
        <v>266</v>
      </c>
      <c r="H123" s="97"/>
      <c r="I123" s="98"/>
    </row>
    <row r="124" spans="3:9" x14ac:dyDescent="0.25">
      <c r="C124" s="95">
        <v>1</v>
      </c>
      <c r="D124" s="96" t="s">
        <v>402</v>
      </c>
      <c r="E124" s="3" t="s">
        <v>403</v>
      </c>
      <c r="F124" s="3" t="s">
        <v>404</v>
      </c>
      <c r="G124" s="97"/>
      <c r="H124" s="97" t="s">
        <v>266</v>
      </c>
      <c r="I124" s="98"/>
    </row>
    <row r="125" spans="3:9" x14ac:dyDescent="0.25">
      <c r="C125" s="95">
        <v>1</v>
      </c>
      <c r="D125" s="96" t="s">
        <v>405</v>
      </c>
      <c r="E125" s="3" t="s">
        <v>406</v>
      </c>
      <c r="F125" s="3" t="s">
        <v>407</v>
      </c>
      <c r="G125" s="97" t="s">
        <v>266</v>
      </c>
      <c r="H125" s="97"/>
      <c r="I125" s="98"/>
    </row>
    <row r="126" spans="3:9" x14ac:dyDescent="0.25">
      <c r="C126" s="95">
        <v>1</v>
      </c>
      <c r="D126" s="96" t="s">
        <v>408</v>
      </c>
      <c r="E126" s="3" t="s">
        <v>409</v>
      </c>
      <c r="F126" s="3" t="s">
        <v>410</v>
      </c>
      <c r="G126" s="105" t="s">
        <v>266</v>
      </c>
      <c r="H126" s="97"/>
      <c r="I126" s="98"/>
    </row>
    <row r="127" spans="3:9" x14ac:dyDescent="0.25">
      <c r="C127" s="95">
        <v>1</v>
      </c>
      <c r="D127" s="96" t="s">
        <v>411</v>
      </c>
      <c r="E127" s="3" t="s">
        <v>412</v>
      </c>
      <c r="F127" s="3"/>
      <c r="G127" s="105" t="s">
        <v>266</v>
      </c>
      <c r="H127" s="97"/>
      <c r="I127" s="98"/>
    </row>
    <row r="128" spans="3:9" x14ac:dyDescent="0.25">
      <c r="C128" s="95">
        <v>1</v>
      </c>
      <c r="D128" s="96" t="s">
        <v>413</v>
      </c>
      <c r="E128" s="3" t="s">
        <v>414</v>
      </c>
      <c r="F128" s="3">
        <v>9002080</v>
      </c>
      <c r="G128" s="97" t="s">
        <v>266</v>
      </c>
      <c r="H128" s="97"/>
      <c r="I128" s="98"/>
    </row>
    <row r="129" spans="3:9" x14ac:dyDescent="0.25">
      <c r="C129" s="95">
        <v>5</v>
      </c>
      <c r="D129" s="96" t="s">
        <v>415</v>
      </c>
      <c r="E129" s="3"/>
      <c r="F129" s="3" t="s">
        <v>416</v>
      </c>
      <c r="G129" s="105" t="s">
        <v>266</v>
      </c>
      <c r="H129" s="97"/>
      <c r="I129" s="98"/>
    </row>
    <row r="130" spans="3:9" x14ac:dyDescent="0.25">
      <c r="C130" s="95">
        <v>1</v>
      </c>
      <c r="D130" s="96" t="s">
        <v>417</v>
      </c>
      <c r="E130" s="3"/>
      <c r="F130" s="3"/>
      <c r="G130" s="97" t="s">
        <v>266</v>
      </c>
      <c r="H130" s="97"/>
      <c r="I130" s="98"/>
    </row>
    <row r="131" spans="3:9" x14ac:dyDescent="0.25">
      <c r="C131" s="95">
        <v>1</v>
      </c>
      <c r="D131" s="96" t="s">
        <v>418</v>
      </c>
      <c r="E131" s="3" t="s">
        <v>419</v>
      </c>
      <c r="F131" s="3" t="s">
        <v>420</v>
      </c>
      <c r="G131" s="97"/>
      <c r="H131" s="97" t="s">
        <v>266</v>
      </c>
      <c r="I131" s="98"/>
    </row>
    <row r="132" spans="3:9" x14ac:dyDescent="0.25">
      <c r="C132" s="95">
        <v>1</v>
      </c>
      <c r="D132" s="96" t="s">
        <v>421</v>
      </c>
      <c r="E132" s="3" t="s">
        <v>422</v>
      </c>
      <c r="F132" s="3" t="s">
        <v>423</v>
      </c>
      <c r="G132" s="97" t="s">
        <v>266</v>
      </c>
      <c r="H132" s="97"/>
      <c r="I132" s="98"/>
    </row>
    <row r="133" spans="3:9" x14ac:dyDescent="0.25">
      <c r="C133" s="95">
        <v>1</v>
      </c>
      <c r="D133" s="96" t="s">
        <v>424</v>
      </c>
      <c r="E133" s="3"/>
      <c r="F133" s="3"/>
      <c r="G133" s="105" t="s">
        <v>266</v>
      </c>
      <c r="H133" s="97"/>
      <c r="I133" s="98"/>
    </row>
    <row r="134" spans="3:9" x14ac:dyDescent="0.25">
      <c r="C134" s="108">
        <v>1</v>
      </c>
      <c r="D134" s="104" t="s">
        <v>425</v>
      </c>
      <c r="E134" s="97"/>
      <c r="F134" s="97"/>
      <c r="G134" s="97" t="s">
        <v>266</v>
      </c>
      <c r="H134" s="97"/>
      <c r="I134" s="97"/>
    </row>
    <row r="135" spans="3:9" x14ac:dyDescent="0.25">
      <c r="C135" s="105">
        <v>3</v>
      </c>
      <c r="D135" s="102" t="s">
        <v>426</v>
      </c>
      <c r="E135" s="91"/>
      <c r="F135" s="91"/>
      <c r="G135" s="105" t="s">
        <v>266</v>
      </c>
      <c r="H135" s="91"/>
      <c r="I135" s="91"/>
    </row>
    <row r="136" spans="3:9" x14ac:dyDescent="0.25">
      <c r="C136" s="105">
        <v>2</v>
      </c>
      <c r="D136" s="102" t="s">
        <v>427</v>
      </c>
      <c r="E136" s="91"/>
      <c r="F136" s="91"/>
      <c r="G136" s="105" t="s">
        <v>266</v>
      </c>
      <c r="H136" s="91"/>
      <c r="I136" s="91"/>
    </row>
    <row r="137" spans="3:9" x14ac:dyDescent="0.25">
      <c r="C137" s="108">
        <v>1</v>
      </c>
      <c r="D137" s="104" t="s">
        <v>428</v>
      </c>
      <c r="E137" s="97"/>
      <c r="F137" s="97"/>
      <c r="G137" s="105" t="s">
        <v>266</v>
      </c>
      <c r="H137" s="97"/>
      <c r="I137" s="97"/>
    </row>
    <row r="138" spans="3:9" x14ac:dyDescent="0.25">
      <c r="C138" s="108">
        <v>1</v>
      </c>
      <c r="D138" s="104" t="s">
        <v>429</v>
      </c>
      <c r="E138" s="97" t="s">
        <v>430</v>
      </c>
      <c r="F138" s="97"/>
      <c r="G138" s="105" t="s">
        <v>266</v>
      </c>
      <c r="H138" s="97"/>
      <c r="I138" s="97"/>
    </row>
    <row r="139" spans="3:9" x14ac:dyDescent="0.25">
      <c r="C139" s="208"/>
      <c r="D139" s="301"/>
      <c r="E139" s="5"/>
      <c r="F139" s="5"/>
      <c r="G139" s="5"/>
      <c r="H139" s="5"/>
      <c r="I139" s="5"/>
    </row>
    <row r="140" spans="3:9" x14ac:dyDescent="0.25">
      <c r="C140" s="208"/>
      <c r="D140" s="301"/>
      <c r="E140" s="5"/>
      <c r="F140" s="5"/>
      <c r="G140" s="5"/>
      <c r="H140" s="5"/>
      <c r="I140" s="5"/>
    </row>
    <row r="141" spans="3:9" x14ac:dyDescent="0.25">
      <c r="C141" s="784" t="s">
        <v>660</v>
      </c>
      <c r="D141" s="785"/>
      <c r="E141" s="788" t="s">
        <v>431</v>
      </c>
      <c r="F141" s="789"/>
      <c r="G141" s="789"/>
      <c r="H141" s="789"/>
      <c r="I141" s="790"/>
    </row>
    <row r="142" spans="3:9" x14ac:dyDescent="0.25">
      <c r="C142" s="786"/>
      <c r="D142" s="787"/>
      <c r="E142" s="791"/>
      <c r="F142" s="792"/>
      <c r="G142" s="792"/>
      <c r="H142" s="792"/>
      <c r="I142" s="793"/>
    </row>
    <row r="143" spans="3:9" x14ac:dyDescent="0.25">
      <c r="C143" s="302" t="s">
        <v>661</v>
      </c>
      <c r="D143" s="303"/>
      <c r="E143" s="109"/>
      <c r="F143" s="304"/>
      <c r="G143" s="110" t="s">
        <v>432</v>
      </c>
      <c r="H143" s="111"/>
      <c r="I143" s="112"/>
    </row>
    <row r="144" spans="3:9" ht="15.75" thickBot="1" x14ac:dyDescent="0.3">
      <c r="C144" s="305" t="s">
        <v>662</v>
      </c>
      <c r="D144" s="306"/>
      <c r="E144" s="307">
        <v>1061771121</v>
      </c>
      <c r="F144" s="308"/>
      <c r="G144" s="307" t="s">
        <v>433</v>
      </c>
      <c r="H144" s="309"/>
      <c r="I144" s="310"/>
    </row>
    <row r="147" spans="2:12" ht="15.75" thickBot="1" x14ac:dyDescent="0.3"/>
    <row r="148" spans="2:12" ht="28.5" customHeight="1" thickBot="1" x14ac:dyDescent="0.3">
      <c r="B148" s="738" t="s">
        <v>554</v>
      </c>
      <c r="C148" s="739"/>
      <c r="D148" s="739"/>
      <c r="E148" s="740"/>
    </row>
    <row r="149" spans="2:12" x14ac:dyDescent="0.25">
      <c r="B149" s="113" t="s">
        <v>434</v>
      </c>
      <c r="C149" s="114" t="s">
        <v>435</v>
      </c>
      <c r="D149" s="114" t="s">
        <v>436</v>
      </c>
      <c r="E149" s="115">
        <v>944000</v>
      </c>
    </row>
    <row r="150" spans="2:12" x14ac:dyDescent="0.25">
      <c r="B150" s="116" t="s">
        <v>437</v>
      </c>
      <c r="C150" s="117" t="s">
        <v>438</v>
      </c>
      <c r="D150" s="117" t="s">
        <v>439</v>
      </c>
      <c r="E150" s="118">
        <v>944000</v>
      </c>
    </row>
    <row r="151" spans="2:12" x14ac:dyDescent="0.25">
      <c r="B151" s="116" t="s">
        <v>440</v>
      </c>
      <c r="C151" s="117" t="s">
        <v>441</v>
      </c>
      <c r="D151" s="117" t="s">
        <v>442</v>
      </c>
      <c r="E151" s="118">
        <v>944000</v>
      </c>
    </row>
    <row r="152" spans="2:12" ht="15.75" thickBot="1" x14ac:dyDescent="0.3">
      <c r="B152" s="116" t="s">
        <v>443</v>
      </c>
      <c r="C152" s="117" t="s">
        <v>444</v>
      </c>
      <c r="D152" s="117" t="s">
        <v>445</v>
      </c>
      <c r="E152" s="118">
        <v>944000</v>
      </c>
    </row>
    <row r="153" spans="2:12" x14ac:dyDescent="0.25">
      <c r="B153" s="116" t="s">
        <v>446</v>
      </c>
      <c r="C153" s="117" t="s">
        <v>447</v>
      </c>
      <c r="D153" s="117" t="s">
        <v>448</v>
      </c>
      <c r="E153" s="118">
        <v>944000</v>
      </c>
      <c r="J153" s="781" t="s">
        <v>657</v>
      </c>
      <c r="K153" s="782"/>
      <c r="L153" s="783"/>
    </row>
    <row r="154" spans="2:12" ht="15.75" thickBot="1" x14ac:dyDescent="0.3">
      <c r="B154" s="116" t="s">
        <v>449</v>
      </c>
      <c r="C154" s="117" t="s">
        <v>450</v>
      </c>
      <c r="D154" s="117" t="s">
        <v>451</v>
      </c>
      <c r="E154" s="118">
        <v>944000</v>
      </c>
      <c r="J154" s="289" t="s">
        <v>140</v>
      </c>
      <c r="K154" s="290" t="s">
        <v>255</v>
      </c>
      <c r="L154" s="291" t="s">
        <v>555</v>
      </c>
    </row>
    <row r="155" spans="2:12" x14ac:dyDescent="0.25">
      <c r="B155" s="116" t="s">
        <v>452</v>
      </c>
      <c r="C155" s="117" t="s">
        <v>164</v>
      </c>
      <c r="D155" s="117" t="s">
        <v>453</v>
      </c>
      <c r="E155" s="118">
        <v>944000</v>
      </c>
      <c r="J155" s="204" t="s">
        <v>94</v>
      </c>
      <c r="K155" s="311">
        <v>71.75</v>
      </c>
      <c r="L155" s="295">
        <f>+K155/$K$160</f>
        <v>0.11080225465215042</v>
      </c>
    </row>
    <row r="156" spans="2:12" x14ac:dyDescent="0.25">
      <c r="B156" s="116" t="s">
        <v>454</v>
      </c>
      <c r="C156" s="117" t="s">
        <v>455</v>
      </c>
      <c r="D156" s="117" t="s">
        <v>456</v>
      </c>
      <c r="E156" s="118">
        <v>944000</v>
      </c>
      <c r="J156" s="207" t="s">
        <v>95</v>
      </c>
      <c r="K156" s="312">
        <v>55.5</v>
      </c>
      <c r="L156" s="296">
        <f>+K156/$K$160</f>
        <v>8.5707667361593701E-2</v>
      </c>
    </row>
    <row r="157" spans="2:12" x14ac:dyDescent="0.25">
      <c r="B157" s="116" t="s">
        <v>457</v>
      </c>
      <c r="C157" s="117" t="s">
        <v>458</v>
      </c>
      <c r="D157" s="117" t="s">
        <v>459</v>
      </c>
      <c r="E157" s="118">
        <v>944000</v>
      </c>
      <c r="J157" s="207" t="s">
        <v>96</v>
      </c>
      <c r="K157" s="312">
        <v>46.5</v>
      </c>
      <c r="L157" s="296">
        <f t="shared" ref="L157:L159" si="0">+K157/$K$160</f>
        <v>7.18091267083623E-2</v>
      </c>
    </row>
    <row r="158" spans="2:12" x14ac:dyDescent="0.25">
      <c r="B158" s="116" t="s">
        <v>460</v>
      </c>
      <c r="C158" s="117" t="s">
        <v>461</v>
      </c>
      <c r="D158" s="117" t="s">
        <v>462</v>
      </c>
      <c r="E158" s="118">
        <v>944000</v>
      </c>
      <c r="J158" s="207" t="s">
        <v>97</v>
      </c>
      <c r="K158" s="312">
        <v>43.8</v>
      </c>
      <c r="L158" s="296">
        <f t="shared" si="0"/>
        <v>6.7639564512392863E-2</v>
      </c>
    </row>
    <row r="159" spans="2:12" ht="15.75" thickBot="1" x14ac:dyDescent="0.3">
      <c r="B159" s="116" t="s">
        <v>503</v>
      </c>
      <c r="C159" s="117" t="s">
        <v>463</v>
      </c>
      <c r="D159" s="117" t="s">
        <v>464</v>
      </c>
      <c r="E159" s="118">
        <v>944000</v>
      </c>
      <c r="J159" s="210" t="s">
        <v>632</v>
      </c>
      <c r="K159" s="313">
        <v>430</v>
      </c>
      <c r="L159" s="297">
        <f t="shared" si="0"/>
        <v>0.66404138676550073</v>
      </c>
    </row>
    <row r="160" spans="2:12" ht="15.75" thickBot="1" x14ac:dyDescent="0.3">
      <c r="B160" s="119" t="s">
        <v>465</v>
      </c>
      <c r="C160" s="120" t="s">
        <v>466</v>
      </c>
      <c r="D160" s="120" t="s">
        <v>467</v>
      </c>
      <c r="E160" s="121">
        <v>944000</v>
      </c>
      <c r="J160" s="292" t="s">
        <v>658</v>
      </c>
      <c r="K160" s="293">
        <f>SUM(K155:K159)</f>
        <v>647.54999999999995</v>
      </c>
      <c r="L160" s="294">
        <f>SUM(L155:L159)</f>
        <v>1</v>
      </c>
    </row>
    <row r="161" spans="3:5" ht="15.75" thickBot="1" x14ac:dyDescent="0.3">
      <c r="C161" s="314"/>
      <c r="D161" s="122" t="s">
        <v>81</v>
      </c>
      <c r="E161" s="123">
        <f>SUM(E149:E160)</f>
        <v>11328000</v>
      </c>
    </row>
    <row r="162" spans="3:5" x14ac:dyDescent="0.25">
      <c r="E162" s="315">
        <f>+AVERAGE(E149:E160)</f>
        <v>944000</v>
      </c>
    </row>
    <row r="164" spans="3:5" x14ac:dyDescent="0.25">
      <c r="E164">
        <f>+E160/71.75</f>
        <v>13156.794425087108</v>
      </c>
    </row>
  </sheetData>
  <mergeCells count="16">
    <mergeCell ref="J153:L153"/>
    <mergeCell ref="C141:D142"/>
    <mergeCell ref="E141:I142"/>
    <mergeCell ref="B148:E148"/>
    <mergeCell ref="C8:I8"/>
    <mergeCell ref="C9:C10"/>
    <mergeCell ref="D9:D10"/>
    <mergeCell ref="E9:E10"/>
    <mergeCell ref="F9:F10"/>
    <mergeCell ref="G9:I9"/>
    <mergeCell ref="C2:C7"/>
    <mergeCell ref="D2:F7"/>
    <mergeCell ref="G2:I2"/>
    <mergeCell ref="G3:I3"/>
    <mergeCell ref="G4:I4"/>
    <mergeCell ref="G5:I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9"/>
  <sheetViews>
    <sheetView tabSelected="1" topLeftCell="C2" zoomScale="80" zoomScaleNormal="80" workbookViewId="0">
      <selection activeCell="H21" sqref="H21"/>
    </sheetView>
  </sheetViews>
  <sheetFormatPr baseColWidth="10" defaultRowHeight="15.75" x14ac:dyDescent="0.25"/>
  <cols>
    <col min="1" max="1" width="5.28515625" style="320" customWidth="1"/>
    <col min="2" max="2" width="46" style="198" bestFit="1" customWidth="1"/>
    <col min="3" max="3" width="15.5703125" style="321" customWidth="1"/>
    <col min="4" max="6" width="11.42578125" style="198"/>
    <col min="7" max="7" width="6.140625" style="198" bestFit="1" customWidth="1"/>
    <col min="8" max="8" width="41.5703125" style="198" bestFit="1" customWidth="1"/>
    <col min="9" max="9" width="12.5703125" style="198" customWidth="1"/>
    <col min="10" max="10" width="18.140625" style="198" bestFit="1" customWidth="1"/>
    <col min="11" max="12" width="19.85546875" style="198" customWidth="1"/>
    <col min="13" max="13" width="16.42578125" style="198" customWidth="1"/>
    <col min="14" max="14" width="19.7109375" style="198" customWidth="1"/>
    <col min="15" max="16384" width="11.42578125" style="198"/>
  </cols>
  <sheetData>
    <row r="1" spans="1:14" ht="16.5" thickBot="1" x14ac:dyDescent="0.3"/>
    <row r="2" spans="1:14" ht="25.5" customHeight="1" thickBot="1" x14ac:dyDescent="0.3">
      <c r="B2" s="322" t="s">
        <v>509</v>
      </c>
      <c r="G2" s="323"/>
      <c r="H2" s="579" t="s">
        <v>33</v>
      </c>
      <c r="I2" s="580"/>
      <c r="J2" s="580"/>
      <c r="K2" s="581"/>
      <c r="L2" s="582" t="s">
        <v>641</v>
      </c>
      <c r="M2" s="583"/>
      <c r="N2" s="584"/>
    </row>
    <row r="3" spans="1:14" ht="48" thickBot="1" x14ac:dyDescent="0.3">
      <c r="G3" s="324" t="s">
        <v>24</v>
      </c>
      <c r="H3" s="325" t="s">
        <v>25</v>
      </c>
      <c r="I3" s="325" t="s">
        <v>26</v>
      </c>
      <c r="J3" s="326" t="s">
        <v>27</v>
      </c>
      <c r="K3" s="327" t="s">
        <v>28</v>
      </c>
      <c r="L3" s="359" t="s">
        <v>636</v>
      </c>
      <c r="M3" s="360" t="s">
        <v>637</v>
      </c>
      <c r="N3" s="361" t="s">
        <v>638</v>
      </c>
    </row>
    <row r="4" spans="1:14" ht="18.75" customHeight="1" x14ac:dyDescent="0.25">
      <c r="A4" s="328" t="s">
        <v>6</v>
      </c>
      <c r="B4" s="329" t="s">
        <v>0</v>
      </c>
      <c r="C4" s="330" t="s">
        <v>1</v>
      </c>
      <c r="D4" s="329" t="s">
        <v>5</v>
      </c>
      <c r="E4" s="329" t="s">
        <v>26</v>
      </c>
      <c r="G4" s="331">
        <v>1</v>
      </c>
      <c r="H4" s="332" t="s">
        <v>29</v>
      </c>
      <c r="I4" s="332">
        <v>861</v>
      </c>
      <c r="J4" s="333">
        <v>35000</v>
      </c>
      <c r="K4" s="334">
        <f>+I4*J4</f>
        <v>30135000</v>
      </c>
      <c r="L4" s="356">
        <f>+Matriz_Costeo_ABC!BG9</f>
        <v>32135.03782228439</v>
      </c>
      <c r="M4" s="357">
        <f>+L4*I4</f>
        <v>27668267.564986859</v>
      </c>
      <c r="N4" s="358">
        <f>+K4-M4</f>
        <v>2466732.4350131415</v>
      </c>
    </row>
    <row r="5" spans="1:14" x14ac:dyDescent="0.25">
      <c r="A5" s="320">
        <v>1</v>
      </c>
      <c r="B5" s="198" t="s">
        <v>2</v>
      </c>
      <c r="C5" s="321">
        <v>1400000</v>
      </c>
      <c r="G5" s="337">
        <v>2</v>
      </c>
      <c r="H5" s="338" t="s">
        <v>30</v>
      </c>
      <c r="I5" s="338">
        <v>666</v>
      </c>
      <c r="J5" s="335">
        <v>26000</v>
      </c>
      <c r="K5" s="339">
        <f t="shared" ref="K5:K7" si="0">+I5*J5</f>
        <v>17316000</v>
      </c>
      <c r="L5" s="340">
        <f>+Matriz_Costeo_ABC!BG38</f>
        <v>12089.302344525437</v>
      </c>
      <c r="M5" s="335">
        <f t="shared" ref="M5:M6" si="1">+L5*I5</f>
        <v>8051475.3614539411</v>
      </c>
      <c r="N5" s="336">
        <f t="shared" ref="N5:N6" si="2">+K5-M5</f>
        <v>9264524.6385460589</v>
      </c>
    </row>
    <row r="6" spans="1:14" x14ac:dyDescent="0.25">
      <c r="A6" s="320">
        <v>2</v>
      </c>
      <c r="B6" s="198" t="s">
        <v>34</v>
      </c>
      <c r="C6" s="321">
        <v>2200000</v>
      </c>
      <c r="G6" s="337">
        <v>3</v>
      </c>
      <c r="H6" s="338" t="s">
        <v>31</v>
      </c>
      <c r="I6" s="338">
        <v>558</v>
      </c>
      <c r="J6" s="335">
        <v>36000</v>
      </c>
      <c r="K6" s="339">
        <f t="shared" si="0"/>
        <v>20088000</v>
      </c>
      <c r="L6" s="340">
        <f>+Matriz_Costeo_ABC!BG25</f>
        <v>35860.619318827434</v>
      </c>
      <c r="M6" s="335">
        <f t="shared" si="1"/>
        <v>20010225.579905707</v>
      </c>
      <c r="N6" s="336">
        <f t="shared" si="2"/>
        <v>77774.420094292611</v>
      </c>
    </row>
    <row r="7" spans="1:14" x14ac:dyDescent="0.25">
      <c r="A7" s="320">
        <v>3</v>
      </c>
      <c r="B7" s="198" t="s">
        <v>40</v>
      </c>
      <c r="C7" s="321">
        <v>1600000</v>
      </c>
      <c r="G7" s="337">
        <v>4</v>
      </c>
      <c r="H7" s="338" t="s">
        <v>32</v>
      </c>
      <c r="I7" s="338">
        <v>526</v>
      </c>
      <c r="J7" s="335">
        <v>50000</v>
      </c>
      <c r="K7" s="339">
        <f t="shared" si="0"/>
        <v>26300000</v>
      </c>
      <c r="L7" s="340">
        <f>+Matriz_Costeo_ABC!BG50</f>
        <v>11791.357276737832</v>
      </c>
      <c r="M7" s="335">
        <f>+L7*I7</f>
        <v>6202253.9275640994</v>
      </c>
      <c r="N7" s="336">
        <f>+K7-M7</f>
        <v>20097746.072435901</v>
      </c>
    </row>
    <row r="8" spans="1:14" ht="16.5" thickBot="1" x14ac:dyDescent="0.3">
      <c r="A8" s="320">
        <v>4</v>
      </c>
      <c r="B8" s="198" t="s">
        <v>41</v>
      </c>
      <c r="C8" s="321">
        <v>1191200</v>
      </c>
      <c r="G8" s="341">
        <v>5</v>
      </c>
      <c r="H8" s="342" t="s">
        <v>635</v>
      </c>
      <c r="I8" s="342">
        <f>+'Ventas '!D49-Objetos_Costo_Variables!I4-Objetos_Costo_Variables!I5-Objetos_Costo_Variables!I6-Objetos_Costo_Variables!I7</f>
        <v>5159</v>
      </c>
      <c r="J8" s="343">
        <f>+K8/I8</f>
        <v>153536.07327001356</v>
      </c>
      <c r="K8" s="344">
        <f>885931602-K4-K5-K6-K7</f>
        <v>792092602</v>
      </c>
      <c r="L8" s="345">
        <f>+Matriz_Costeo_ABC!BG58</f>
        <v>138255.60818836078</v>
      </c>
      <c r="M8" s="362">
        <f>693249807-M4-M5-M6-M7</f>
        <v>631317584.56608939</v>
      </c>
      <c r="N8" s="804">
        <f>+K8-M8</f>
        <v>160775017.43391061</v>
      </c>
    </row>
    <row r="9" spans="1:14" ht="16.5" thickBot="1" x14ac:dyDescent="0.3">
      <c r="A9" s="320">
        <v>5</v>
      </c>
      <c r="B9" s="198" t="s">
        <v>42</v>
      </c>
      <c r="C9" s="321">
        <v>1191200</v>
      </c>
      <c r="I9" s="346">
        <f>+SUM(I4:I8)</f>
        <v>7770</v>
      </c>
      <c r="J9" s="347">
        <f>+SUM(J4:J8)</f>
        <v>300536.07327001356</v>
      </c>
      <c r="K9" s="348">
        <f>+SUM(K4:K8)</f>
        <v>885931602</v>
      </c>
      <c r="L9" s="349">
        <f t="shared" ref="L9:M9" si="3">+SUM(L4:L8)</f>
        <v>230131.92495073588</v>
      </c>
      <c r="M9" s="363">
        <f t="shared" si="3"/>
        <v>693249807</v>
      </c>
      <c r="N9" s="349">
        <f>+SUM(N4:N8)</f>
        <v>192681795</v>
      </c>
    </row>
    <row r="10" spans="1:14" x14ac:dyDescent="0.25">
      <c r="A10" s="320">
        <v>6</v>
      </c>
      <c r="B10" s="198" t="s">
        <v>43</v>
      </c>
      <c r="C10" s="321">
        <v>1547544</v>
      </c>
    </row>
    <row r="11" spans="1:14" ht="16.5" thickBot="1" x14ac:dyDescent="0.3">
      <c r="A11" s="320">
        <v>7</v>
      </c>
      <c r="B11" s="198" t="s">
        <v>35</v>
      </c>
      <c r="C11" s="321">
        <v>1403750</v>
      </c>
    </row>
    <row r="12" spans="1:14" ht="16.5" thickBot="1" x14ac:dyDescent="0.3">
      <c r="A12" s="320">
        <v>8</v>
      </c>
      <c r="B12" s="198" t="s">
        <v>93</v>
      </c>
      <c r="C12" s="321">
        <v>140606</v>
      </c>
      <c r="H12" s="354" t="s">
        <v>649</v>
      </c>
      <c r="I12" s="355">
        <f>+I9/12</f>
        <v>647.5</v>
      </c>
    </row>
    <row r="13" spans="1:14" x14ac:dyDescent="0.25">
      <c r="A13" s="320">
        <v>9</v>
      </c>
      <c r="B13" s="198" t="s">
        <v>3</v>
      </c>
      <c r="D13" s="351">
        <v>0.04</v>
      </c>
    </row>
    <row r="14" spans="1:14" x14ac:dyDescent="0.25">
      <c r="A14" s="320">
        <v>10</v>
      </c>
      <c r="B14" s="198" t="s">
        <v>4</v>
      </c>
      <c r="D14" s="352">
        <v>8.5000000000000006E-2</v>
      </c>
    </row>
    <row r="15" spans="1:14" x14ac:dyDescent="0.25">
      <c r="A15" s="320">
        <v>11</v>
      </c>
      <c r="B15" s="198" t="s">
        <v>44</v>
      </c>
      <c r="D15" s="351">
        <v>0.04</v>
      </c>
    </row>
    <row r="16" spans="1:14" x14ac:dyDescent="0.25">
      <c r="A16" s="320">
        <v>12</v>
      </c>
      <c r="B16" s="198" t="s">
        <v>45</v>
      </c>
      <c r="D16" s="351">
        <v>0.12</v>
      </c>
    </row>
    <row r="17" spans="1:5" x14ac:dyDescent="0.25">
      <c r="A17" s="320">
        <v>13</v>
      </c>
      <c r="B17" s="198" t="s">
        <v>119</v>
      </c>
      <c r="D17" s="352">
        <v>8.3299999999999999E-2</v>
      </c>
    </row>
    <row r="18" spans="1:5" x14ac:dyDescent="0.25">
      <c r="A18" s="320">
        <v>14</v>
      </c>
      <c r="B18" s="198" t="s">
        <v>120</v>
      </c>
      <c r="D18" s="351">
        <v>0.01</v>
      </c>
    </row>
    <row r="19" spans="1:5" x14ac:dyDescent="0.25">
      <c r="A19" s="320">
        <v>15</v>
      </c>
      <c r="B19" s="198" t="s">
        <v>121</v>
      </c>
      <c r="D19" s="352">
        <v>8.3299999999999999E-2</v>
      </c>
    </row>
    <row r="20" spans="1:5" x14ac:dyDescent="0.25">
      <c r="A20" s="320">
        <v>16</v>
      </c>
      <c r="B20" s="198" t="s">
        <v>122</v>
      </c>
      <c r="D20" s="352">
        <v>4.1700000000000001E-2</v>
      </c>
    </row>
    <row r="21" spans="1:5" x14ac:dyDescent="0.25">
      <c r="A21" s="320">
        <v>17</v>
      </c>
      <c r="B21" s="198" t="s">
        <v>123</v>
      </c>
      <c r="D21" s="352">
        <v>0.04</v>
      </c>
    </row>
    <row r="22" spans="1:5" x14ac:dyDescent="0.25">
      <c r="A22" s="320">
        <v>18</v>
      </c>
      <c r="B22" s="198" t="s">
        <v>125</v>
      </c>
      <c r="D22" s="352">
        <v>0.03</v>
      </c>
    </row>
    <row r="23" spans="1:5" x14ac:dyDescent="0.25">
      <c r="A23" s="320">
        <v>19</v>
      </c>
      <c r="B23" s="198" t="s">
        <v>124</v>
      </c>
      <c r="D23" s="353">
        <v>2.4660000000000001E-2</v>
      </c>
    </row>
    <row r="24" spans="1:5" x14ac:dyDescent="0.25">
      <c r="A24" s="320">
        <v>20</v>
      </c>
      <c r="B24" s="198" t="s">
        <v>126</v>
      </c>
      <c r="D24" s="352">
        <v>0.02</v>
      </c>
    </row>
    <row r="25" spans="1:5" x14ac:dyDescent="0.25">
      <c r="A25" s="320">
        <v>21</v>
      </c>
      <c r="B25" s="198" t="s">
        <v>94</v>
      </c>
      <c r="E25" s="350">
        <f>+I4/12</f>
        <v>71.75</v>
      </c>
    </row>
    <row r="26" spans="1:5" x14ac:dyDescent="0.25">
      <c r="A26" s="320">
        <v>22</v>
      </c>
      <c r="B26" s="198" t="s">
        <v>95</v>
      </c>
      <c r="E26" s="350">
        <v>55.5</v>
      </c>
    </row>
    <row r="27" spans="1:5" x14ac:dyDescent="0.25">
      <c r="A27" s="320">
        <v>23</v>
      </c>
      <c r="B27" s="198" t="s">
        <v>96</v>
      </c>
      <c r="E27" s="350">
        <v>46.5</v>
      </c>
    </row>
    <row r="28" spans="1:5" x14ac:dyDescent="0.25">
      <c r="A28" s="320">
        <v>24</v>
      </c>
      <c r="B28" s="198" t="s">
        <v>97</v>
      </c>
      <c r="E28" s="350">
        <v>43.8</v>
      </c>
    </row>
    <row r="29" spans="1:5" x14ac:dyDescent="0.25">
      <c r="A29" s="320">
        <v>24</v>
      </c>
      <c r="B29" s="198" t="s">
        <v>633</v>
      </c>
      <c r="E29" s="350">
        <f>+I8/12</f>
        <v>429.91666666666669</v>
      </c>
    </row>
  </sheetData>
  <mergeCells count="2">
    <mergeCell ref="H2:K2"/>
    <mergeCell ref="L2:N2"/>
  </mergeCells>
  <phoneticPr fontId="1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M60"/>
  <sheetViews>
    <sheetView showGridLines="0" topLeftCell="AQ35" zoomScale="80" zoomScaleNormal="80" workbookViewId="0">
      <selection activeCell="BA45" sqref="BA45:BA55"/>
    </sheetView>
  </sheetViews>
  <sheetFormatPr baseColWidth="10" defaultRowHeight="15.75" x14ac:dyDescent="0.25"/>
  <cols>
    <col min="1" max="1" width="10.85546875" style="185" customWidth="1"/>
    <col min="2" max="2" width="8.28515625" style="185" customWidth="1"/>
    <col min="3" max="3" width="22.28515625" style="185" customWidth="1"/>
    <col min="4" max="4" width="13.5703125" style="185" bestFit="1" customWidth="1"/>
    <col min="5" max="5" width="26.28515625" style="185" bestFit="1" customWidth="1"/>
    <col min="6" max="6" width="30" style="185" bestFit="1" customWidth="1"/>
    <col min="7" max="7" width="28" style="365" bestFit="1" customWidth="1"/>
    <col min="8" max="8" width="20.28515625" style="185" bestFit="1" customWidth="1"/>
    <col min="9" max="9" width="10.5703125" style="366" bestFit="1" customWidth="1"/>
    <col min="10" max="10" width="12.42578125" style="185" bestFit="1" customWidth="1"/>
    <col min="11" max="11" width="13.140625" style="185" bestFit="1" customWidth="1"/>
    <col min="12" max="12" width="13.5703125" style="185" bestFit="1" customWidth="1"/>
    <col min="13" max="13" width="17.7109375" style="185" bestFit="1" customWidth="1"/>
    <col min="14" max="14" width="15.28515625" style="185" bestFit="1" customWidth="1"/>
    <col min="15" max="15" width="21.85546875" style="185" customWidth="1"/>
    <col min="16" max="16" width="11.42578125" style="366" bestFit="1" customWidth="1"/>
    <col min="17" max="17" width="13.5703125" style="185" bestFit="1" customWidth="1"/>
    <col min="18" max="18" width="15.5703125" style="366" bestFit="1" customWidth="1"/>
    <col min="19" max="19" width="16.5703125" style="185" bestFit="1" customWidth="1"/>
    <col min="20" max="20" width="14.28515625" style="366" bestFit="1" customWidth="1"/>
    <col min="21" max="21" width="12.42578125" style="366" bestFit="1" customWidth="1"/>
    <col min="22" max="22" width="25.140625" style="185" bestFit="1" customWidth="1"/>
    <col min="23" max="23" width="11.42578125" style="366" bestFit="1" customWidth="1"/>
    <col min="24" max="24" width="13.85546875" style="185" bestFit="1" customWidth="1"/>
    <col min="25" max="25" width="16.140625" style="185" bestFit="1" customWidth="1"/>
    <col min="26" max="26" width="17" style="185" bestFit="1" customWidth="1"/>
    <col min="27" max="27" width="13.5703125" style="185" customWidth="1"/>
    <col min="28" max="28" width="15.5703125" style="185" bestFit="1" customWidth="1"/>
    <col min="29" max="29" width="15.7109375" style="185" bestFit="1" customWidth="1"/>
    <col min="30" max="30" width="5.85546875" style="185" bestFit="1" customWidth="1"/>
    <col min="31" max="31" width="12.85546875" style="185" bestFit="1" customWidth="1"/>
    <col min="32" max="32" width="12.7109375" style="185" customWidth="1"/>
    <col min="33" max="33" width="14.28515625" style="185" bestFit="1" customWidth="1"/>
    <col min="34" max="34" width="16.5703125" style="185" bestFit="1" customWidth="1"/>
    <col min="35" max="35" width="5.85546875" style="185" bestFit="1" customWidth="1"/>
    <col min="36" max="36" width="12.7109375" style="185" bestFit="1" customWidth="1"/>
    <col min="37" max="37" width="12" style="185" bestFit="1" customWidth="1"/>
    <col min="38" max="38" width="14.28515625" style="185" bestFit="1" customWidth="1"/>
    <col min="39" max="39" width="13.5703125" style="185" bestFit="1" customWidth="1"/>
    <col min="40" max="40" width="5.85546875" style="185" bestFit="1" customWidth="1"/>
    <col min="41" max="41" width="11.85546875" style="185" bestFit="1" customWidth="1"/>
    <col min="42" max="42" width="15.5703125" style="185" bestFit="1" customWidth="1"/>
    <col min="43" max="43" width="12.7109375" style="185" bestFit="1" customWidth="1"/>
    <col min="44" max="44" width="7.28515625" style="185" bestFit="1" customWidth="1"/>
    <col min="45" max="45" width="12.7109375" style="185" bestFit="1" customWidth="1"/>
    <col min="46" max="46" width="13.28515625" style="185" customWidth="1"/>
    <col min="47" max="47" width="13" style="185" bestFit="1" customWidth="1"/>
    <col min="48" max="48" width="12.28515625" style="185" bestFit="1" customWidth="1"/>
    <col min="49" max="49" width="7.28515625" style="185" bestFit="1" customWidth="1"/>
    <col min="50" max="50" width="12.7109375" style="185" bestFit="1" customWidth="1"/>
    <col min="51" max="51" width="12.28515625" style="185" bestFit="1" customWidth="1"/>
    <col min="52" max="52" width="13" style="185" bestFit="1" customWidth="1"/>
    <col min="53" max="53" width="12.5703125" style="185" bestFit="1" customWidth="1"/>
    <col min="54" max="54" width="12.140625" style="185" bestFit="1" customWidth="1"/>
    <col min="55" max="55" width="12.5703125" style="185" bestFit="1" customWidth="1"/>
    <col min="56" max="56" width="13.85546875" style="185" bestFit="1" customWidth="1"/>
    <col min="57" max="57" width="15.42578125" style="185" customWidth="1"/>
    <col min="58" max="58" width="13.85546875" style="185" customWidth="1"/>
    <col min="59" max="59" width="16.140625" style="185" customWidth="1"/>
    <col min="60" max="60" width="14" style="185" customWidth="1"/>
    <col min="61" max="16384" width="11.42578125" style="185"/>
  </cols>
  <sheetData>
    <row r="1" spans="2:60" ht="16.5" thickBot="1" x14ac:dyDescent="0.3"/>
    <row r="2" spans="2:60" ht="29.25" customHeight="1" thickBot="1" x14ac:dyDescent="0.3">
      <c r="H2" s="660" t="s">
        <v>482</v>
      </c>
      <c r="I2" s="661"/>
      <c r="J2" s="661"/>
      <c r="K2" s="661"/>
      <c r="L2" s="661"/>
      <c r="M2" s="661"/>
      <c r="N2" s="662"/>
      <c r="O2" s="660" t="s">
        <v>20</v>
      </c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2"/>
      <c r="AB2" s="169"/>
      <c r="AC2" s="663" t="s">
        <v>489</v>
      </c>
      <c r="AD2" s="664"/>
      <c r="AE2" s="664"/>
      <c r="AF2" s="664"/>
      <c r="AG2" s="664"/>
      <c r="AH2" s="664"/>
      <c r="AI2" s="664"/>
      <c r="AJ2" s="664"/>
      <c r="AK2" s="664"/>
      <c r="AL2" s="664"/>
      <c r="AM2" s="664"/>
      <c r="AN2" s="664"/>
      <c r="AO2" s="664"/>
      <c r="AP2" s="664"/>
      <c r="AQ2" s="664"/>
      <c r="AR2" s="664"/>
      <c r="AS2" s="664"/>
      <c r="AT2" s="664"/>
      <c r="AU2" s="664"/>
      <c r="AV2" s="664"/>
      <c r="AW2" s="664"/>
      <c r="AX2" s="664"/>
      <c r="AY2" s="664"/>
      <c r="AZ2" s="664"/>
      <c r="BA2" s="664"/>
      <c r="BB2" s="664"/>
      <c r="BC2" s="664"/>
      <c r="BD2" s="664"/>
      <c r="BE2" s="664"/>
      <c r="BF2" s="665"/>
    </row>
    <row r="3" spans="2:60" ht="95.25" thickBot="1" x14ac:dyDescent="0.3">
      <c r="B3" s="367" t="s">
        <v>15</v>
      </c>
      <c r="C3" s="368" t="s">
        <v>7</v>
      </c>
      <c r="D3" s="368" t="s">
        <v>17</v>
      </c>
      <c r="E3" s="368" t="s">
        <v>8</v>
      </c>
      <c r="F3" s="368" t="s">
        <v>9</v>
      </c>
      <c r="G3" s="369" t="s">
        <v>10</v>
      </c>
      <c r="H3" s="370" t="s">
        <v>482</v>
      </c>
      <c r="I3" s="371" t="s">
        <v>19</v>
      </c>
      <c r="J3" s="371" t="s">
        <v>64</v>
      </c>
      <c r="K3" s="372" t="s">
        <v>26</v>
      </c>
      <c r="L3" s="373" t="s">
        <v>480</v>
      </c>
      <c r="M3" s="374" t="s">
        <v>481</v>
      </c>
      <c r="N3" s="375" t="s">
        <v>484</v>
      </c>
      <c r="O3" s="376" t="s">
        <v>490</v>
      </c>
      <c r="P3" s="377" t="s">
        <v>483</v>
      </c>
      <c r="Q3" s="377" t="s">
        <v>491</v>
      </c>
      <c r="R3" s="377" t="s">
        <v>469</v>
      </c>
      <c r="S3" s="377" t="s">
        <v>471</v>
      </c>
      <c r="T3" s="378" t="s">
        <v>486</v>
      </c>
      <c r="U3" s="379" t="s">
        <v>567</v>
      </c>
      <c r="V3" s="380" t="s">
        <v>490</v>
      </c>
      <c r="W3" s="380" t="s">
        <v>483</v>
      </c>
      <c r="X3" s="380" t="s">
        <v>492</v>
      </c>
      <c r="Y3" s="380" t="s">
        <v>473</v>
      </c>
      <c r="Z3" s="380" t="s">
        <v>472</v>
      </c>
      <c r="AA3" s="381" t="s">
        <v>487</v>
      </c>
      <c r="AB3" s="382" t="s">
        <v>564</v>
      </c>
      <c r="AC3" s="187" t="s">
        <v>652</v>
      </c>
      <c r="AD3" s="188" t="s">
        <v>476</v>
      </c>
      <c r="AE3" s="187" t="s">
        <v>547</v>
      </c>
      <c r="AF3" s="187" t="s">
        <v>570</v>
      </c>
      <c r="AG3" s="187" t="s">
        <v>569</v>
      </c>
      <c r="AH3" s="187" t="s">
        <v>650</v>
      </c>
      <c r="AI3" s="187" t="s">
        <v>476</v>
      </c>
      <c r="AJ3" s="187" t="s">
        <v>551</v>
      </c>
      <c r="AK3" s="187" t="s">
        <v>477</v>
      </c>
      <c r="AL3" s="187" t="s">
        <v>569</v>
      </c>
      <c r="AM3" s="187" t="s">
        <v>653</v>
      </c>
      <c r="AN3" s="187" t="s">
        <v>476</v>
      </c>
      <c r="AO3" s="187" t="s">
        <v>478</v>
      </c>
      <c r="AP3" s="187" t="s">
        <v>569</v>
      </c>
      <c r="AQ3" s="187" t="s">
        <v>654</v>
      </c>
      <c r="AR3" s="188" t="s">
        <v>476</v>
      </c>
      <c r="AS3" s="187" t="s">
        <v>585</v>
      </c>
      <c r="AT3" s="187" t="s">
        <v>586</v>
      </c>
      <c r="AU3" s="187" t="s">
        <v>569</v>
      </c>
      <c r="AV3" s="187" t="s">
        <v>655</v>
      </c>
      <c r="AW3" s="188" t="s">
        <v>476</v>
      </c>
      <c r="AX3" s="187" t="s">
        <v>664</v>
      </c>
      <c r="AY3" s="187" t="s">
        <v>656</v>
      </c>
      <c r="AZ3" s="187" t="s">
        <v>569</v>
      </c>
      <c r="BA3" s="187" t="s">
        <v>479</v>
      </c>
      <c r="BB3" s="187" t="s">
        <v>571</v>
      </c>
      <c r="BC3" s="187" t="s">
        <v>488</v>
      </c>
      <c r="BD3" s="187" t="s">
        <v>569</v>
      </c>
      <c r="BE3" s="383" t="s">
        <v>23</v>
      </c>
      <c r="BF3" s="384" t="s">
        <v>475</v>
      </c>
      <c r="BG3" s="364" t="s">
        <v>663</v>
      </c>
      <c r="BH3" s="365"/>
    </row>
    <row r="4" spans="2:60" ht="18.75" x14ac:dyDescent="0.3">
      <c r="B4" s="609" t="s">
        <v>16</v>
      </c>
      <c r="C4" s="611" t="s">
        <v>11</v>
      </c>
      <c r="D4" s="611" t="s">
        <v>18</v>
      </c>
      <c r="E4" s="611" t="s">
        <v>12</v>
      </c>
      <c r="F4" s="641" t="s">
        <v>485</v>
      </c>
      <c r="G4" s="543" t="s">
        <v>13</v>
      </c>
      <c r="H4" s="385" t="s">
        <v>56</v>
      </c>
      <c r="I4" s="386" t="s">
        <v>511</v>
      </c>
      <c r="J4" s="387">
        <f>+Cedula_MP!H3</f>
        <v>53.67</v>
      </c>
      <c r="K4" s="388">
        <f>+Cedula_MP!F3</f>
        <v>400</v>
      </c>
      <c r="L4" s="387">
        <f>+K4*J4</f>
        <v>21468</v>
      </c>
      <c r="M4" s="389">
        <f>+L4*N4</f>
        <v>1540329</v>
      </c>
      <c r="N4" s="638">
        <f>+Objetos_Costo_Variables!E25</f>
        <v>71.75</v>
      </c>
      <c r="O4" s="385" t="s">
        <v>21</v>
      </c>
      <c r="P4" s="386">
        <v>1</v>
      </c>
      <c r="Q4" s="390">
        <f>+Nomina!G25</f>
        <v>246.45479302777775</v>
      </c>
      <c r="R4" s="386">
        <v>9</v>
      </c>
      <c r="S4" s="391">
        <f>+Q4*R4</f>
        <v>2218.0931372499999</v>
      </c>
      <c r="T4" s="649">
        <f>+SUM(S4:S6)*N4</f>
        <v>366489.00032806257</v>
      </c>
      <c r="U4" s="670">
        <f>+Costo_Primo!F4</f>
        <v>0.9587699051655999</v>
      </c>
      <c r="V4" s="392" t="s">
        <v>37</v>
      </c>
      <c r="W4" s="386">
        <v>3</v>
      </c>
      <c r="X4" s="387">
        <f>+Nomina!G28</f>
        <v>416.13645241666666</v>
      </c>
      <c r="Y4" s="393">
        <v>0.05</v>
      </c>
      <c r="Z4" s="391">
        <f>+X4*(1+Y4)</f>
        <v>436.94327503750003</v>
      </c>
      <c r="AA4" s="667">
        <f>+SUM(Z4:Z6)*N4</f>
        <v>56828.599083719171</v>
      </c>
      <c r="AB4" s="673">
        <f>+AA4*U4</f>
        <v>54485.55055419133</v>
      </c>
      <c r="AC4" s="591">
        <f>+CIF_Servicios_Publicos!K12</f>
        <v>5630930.083333333</v>
      </c>
      <c r="AD4" s="594" t="s">
        <v>546</v>
      </c>
      <c r="AE4" s="630">
        <f>+CIF_Servicios_Publicos!M12</f>
        <v>57024.701635671765</v>
      </c>
      <c r="AF4" s="597">
        <f>+(AE4/Objetos_Costo_Variables!I12)*Matriz_Costeo_ABC!N4</f>
        <v>6318.9534244933584</v>
      </c>
      <c r="AG4" s="600">
        <f>+AF4*U4</f>
        <v>6058.4223755473404</v>
      </c>
      <c r="AH4" s="591">
        <f>+CIF_Servicios_Publicos!K11</f>
        <v>1706081.6666666667</v>
      </c>
      <c r="AI4" s="594" t="s">
        <v>546</v>
      </c>
      <c r="AJ4" s="630">
        <f>+CIF_Servicios_Publicos!M11</f>
        <v>17277.571656539621</v>
      </c>
      <c r="AK4" s="597">
        <f>+(AJ4/Objetos_Costo_Variables!I12)*Matriz_Costeo_ABC!N4</f>
        <v>1914.5417241030391</v>
      </c>
      <c r="AL4" s="600">
        <f>+AK4*U4</f>
        <v>1835.6049872538549</v>
      </c>
      <c r="AM4" s="591">
        <f>+CIF_Servicios_Publicos!K16</f>
        <v>1328502.3483333334</v>
      </c>
      <c r="AN4" s="594" t="s">
        <v>546</v>
      </c>
      <c r="AO4" s="597">
        <f>+(AM4/Objetos_Costo_Variables!I12)*Matriz_Costeo_ABC!N4</f>
        <v>147212.42238288291</v>
      </c>
      <c r="AP4" s="600">
        <f>+AO4*U4</f>
        <v>141142.84024723488</v>
      </c>
      <c r="AQ4" s="591">
        <f>+CIF_Servicios_Publicos!K13</f>
        <v>744370</v>
      </c>
      <c r="AR4" s="594" t="s">
        <v>546</v>
      </c>
      <c r="AS4" s="630">
        <f>+CIF_Servicios_Publicos!M13</f>
        <v>7538.2710366415031</v>
      </c>
      <c r="AT4" s="597">
        <f>+(AS4/Objetos_Costo_Variables!I12)*Matriz_Costeo_ABC!N4</f>
        <v>835.32192568189623</v>
      </c>
      <c r="AU4" s="600">
        <f>+AT4*U4</f>
        <v>800.88152346877791</v>
      </c>
      <c r="AV4" s="591">
        <f>+CIF_Servicios_Publicos!K20</f>
        <v>461888</v>
      </c>
      <c r="AW4" s="594" t="s">
        <v>546</v>
      </c>
      <c r="AX4" s="630">
        <f>+CIF_Servicios_Publicos!M20</f>
        <v>4677.5621432517037</v>
      </c>
      <c r="AY4" s="597">
        <f>+(AX4/Objetos_Costo_Variables!I12)*Matriz_Costeo_ABC!N4</f>
        <v>518.32445371167523</v>
      </c>
      <c r="AZ4" s="600">
        <f>+AY4*U4</f>
        <v>496.95388733015426</v>
      </c>
      <c r="BA4" s="591">
        <f>+CIF_Depreciacion!E162</f>
        <v>944000</v>
      </c>
      <c r="BB4" s="703">
        <f>+CIF_Depreciacion!L155</f>
        <v>0.11080225465215042</v>
      </c>
      <c r="BC4" s="597">
        <f>+BA4*BB4</f>
        <v>104597.32839163</v>
      </c>
      <c r="BD4" s="600">
        <f>+BC4*U4</f>
        <v>100284.77062261821</v>
      </c>
      <c r="BE4" s="603">
        <f>+AF4+AK4+AO4+BC4</f>
        <v>260043.24592310932</v>
      </c>
      <c r="BF4" s="678">
        <f>+M4+M8+M13+T4+T8+BG4+T13+AA4+BE4</f>
        <v>2305688.9637489049</v>
      </c>
      <c r="BG4" s="394"/>
    </row>
    <row r="5" spans="2:60" ht="18.75" x14ac:dyDescent="0.3">
      <c r="B5" s="610"/>
      <c r="C5" s="612"/>
      <c r="D5" s="612"/>
      <c r="E5" s="612"/>
      <c r="F5" s="614"/>
      <c r="G5" s="540"/>
      <c r="H5" s="396"/>
      <c r="J5" s="397"/>
      <c r="L5" s="397"/>
      <c r="M5" s="398"/>
      <c r="N5" s="639"/>
      <c r="O5" s="396" t="s">
        <v>22</v>
      </c>
      <c r="P5" s="366">
        <v>1</v>
      </c>
      <c r="Q5" s="399">
        <f>+Nomina!G27</f>
        <v>138.71215080555558</v>
      </c>
      <c r="R5" s="366">
        <v>9</v>
      </c>
      <c r="S5" s="400">
        <f t="shared" ref="S5:S6" si="0">+Q5*R5</f>
        <v>1248.4093572500003</v>
      </c>
      <c r="T5" s="650"/>
      <c r="U5" s="671"/>
      <c r="V5" s="401" t="s">
        <v>474</v>
      </c>
      <c r="W5" s="366">
        <v>1</v>
      </c>
      <c r="X5" s="397">
        <f>+Nomina!G29</f>
        <v>176.77067984999996</v>
      </c>
      <c r="Y5" s="402">
        <v>0.05</v>
      </c>
      <c r="Z5" s="400">
        <f t="shared" ref="Z5:Z6" si="1">+X5*(1+Y5)</f>
        <v>185.60921384249997</v>
      </c>
      <c r="AA5" s="668"/>
      <c r="AB5" s="674"/>
      <c r="AC5" s="592"/>
      <c r="AD5" s="595"/>
      <c r="AE5" s="631"/>
      <c r="AF5" s="598"/>
      <c r="AG5" s="601"/>
      <c r="AH5" s="592"/>
      <c r="AI5" s="595"/>
      <c r="AJ5" s="666"/>
      <c r="AK5" s="598"/>
      <c r="AL5" s="601"/>
      <c r="AM5" s="592"/>
      <c r="AN5" s="595"/>
      <c r="AO5" s="598"/>
      <c r="AP5" s="601"/>
      <c r="AQ5" s="592"/>
      <c r="AR5" s="595"/>
      <c r="AS5" s="631"/>
      <c r="AT5" s="598"/>
      <c r="AU5" s="601"/>
      <c r="AV5" s="592"/>
      <c r="AW5" s="595"/>
      <c r="AX5" s="631"/>
      <c r="AY5" s="598"/>
      <c r="AZ5" s="601"/>
      <c r="BA5" s="592"/>
      <c r="BB5" s="704"/>
      <c r="BC5" s="598"/>
      <c r="BD5" s="601"/>
      <c r="BE5" s="604"/>
      <c r="BF5" s="679"/>
      <c r="BG5" s="404"/>
    </row>
    <row r="6" spans="2:60" ht="18.75" x14ac:dyDescent="0.3">
      <c r="B6" s="610"/>
      <c r="C6" s="612"/>
      <c r="D6" s="612"/>
      <c r="E6" s="612"/>
      <c r="F6" s="614"/>
      <c r="G6" s="541"/>
      <c r="H6" s="406"/>
      <c r="I6" s="407"/>
      <c r="J6" s="408"/>
      <c r="K6" s="409"/>
      <c r="L6" s="408"/>
      <c r="M6" s="410"/>
      <c r="N6" s="639"/>
      <c r="O6" s="396" t="s">
        <v>468</v>
      </c>
      <c r="P6" s="366">
        <v>1</v>
      </c>
      <c r="Q6" s="399">
        <f>+Nomina!G26</f>
        <v>182.37312636111113</v>
      </c>
      <c r="R6" s="366">
        <v>9</v>
      </c>
      <c r="S6" s="400">
        <f t="shared" si="0"/>
        <v>1641.3581372500003</v>
      </c>
      <c r="T6" s="650"/>
      <c r="U6" s="671"/>
      <c r="V6" s="401" t="s">
        <v>39</v>
      </c>
      <c r="W6" s="366">
        <v>1</v>
      </c>
      <c r="X6" s="397">
        <f>+Nomina!G30</f>
        <v>161.41308122222225</v>
      </c>
      <c r="Y6" s="402">
        <v>0.05</v>
      </c>
      <c r="Z6" s="400">
        <f t="shared" si="1"/>
        <v>169.48373528333337</v>
      </c>
      <c r="AA6" s="668"/>
      <c r="AB6" s="675"/>
      <c r="AC6" s="592"/>
      <c r="AD6" s="595"/>
      <c r="AE6" s="631"/>
      <c r="AF6" s="598"/>
      <c r="AG6" s="658"/>
      <c r="AH6" s="592"/>
      <c r="AI6" s="595"/>
      <c r="AJ6" s="666"/>
      <c r="AK6" s="598"/>
      <c r="AL6" s="658"/>
      <c r="AM6" s="592"/>
      <c r="AN6" s="595"/>
      <c r="AO6" s="598"/>
      <c r="AP6" s="658"/>
      <c r="AQ6" s="592"/>
      <c r="AR6" s="595"/>
      <c r="AS6" s="631"/>
      <c r="AT6" s="598"/>
      <c r="AU6" s="658"/>
      <c r="AV6" s="592"/>
      <c r="AW6" s="595"/>
      <c r="AX6" s="631"/>
      <c r="AY6" s="598"/>
      <c r="AZ6" s="658"/>
      <c r="BA6" s="592"/>
      <c r="BB6" s="704"/>
      <c r="BC6" s="598"/>
      <c r="BD6" s="658"/>
      <c r="BE6" s="604"/>
      <c r="BF6" s="679"/>
      <c r="BG6" s="404"/>
    </row>
    <row r="7" spans="2:60" ht="18.75" x14ac:dyDescent="0.3">
      <c r="B7" s="610"/>
      <c r="C7" s="612"/>
      <c r="D7" s="612"/>
      <c r="E7" s="612"/>
      <c r="F7" s="614"/>
      <c r="G7" s="540"/>
      <c r="H7" s="396"/>
      <c r="I7" s="411"/>
      <c r="J7" s="397"/>
      <c r="L7" s="397"/>
      <c r="M7" s="412"/>
      <c r="N7" s="639"/>
      <c r="O7" s="413"/>
      <c r="P7" s="411"/>
      <c r="Q7" s="414"/>
      <c r="R7" s="411"/>
      <c r="S7" s="415"/>
      <c r="T7" s="416"/>
      <c r="U7" s="417"/>
      <c r="V7" s="418"/>
      <c r="W7" s="419"/>
      <c r="X7" s="419"/>
      <c r="Y7" s="419"/>
      <c r="Z7" s="420"/>
      <c r="AA7" s="668"/>
      <c r="AB7" s="421"/>
      <c r="AC7" s="592"/>
      <c r="AD7" s="595"/>
      <c r="AE7" s="631"/>
      <c r="AF7" s="598"/>
      <c r="AG7" s="422"/>
      <c r="AH7" s="592"/>
      <c r="AI7" s="595"/>
      <c r="AJ7" s="666"/>
      <c r="AK7" s="598"/>
      <c r="AL7" s="422"/>
      <c r="AM7" s="592"/>
      <c r="AN7" s="595"/>
      <c r="AO7" s="598"/>
      <c r="AP7" s="422"/>
      <c r="AQ7" s="592"/>
      <c r="AR7" s="595"/>
      <c r="AS7" s="631"/>
      <c r="AT7" s="598"/>
      <c r="AU7" s="422"/>
      <c r="AV7" s="592"/>
      <c r="AW7" s="595"/>
      <c r="AX7" s="631"/>
      <c r="AY7" s="598"/>
      <c r="AZ7" s="422"/>
      <c r="BA7" s="592"/>
      <c r="BB7" s="704"/>
      <c r="BC7" s="598"/>
      <c r="BD7" s="422"/>
      <c r="BE7" s="604"/>
      <c r="BF7" s="679"/>
      <c r="BG7" s="404"/>
    </row>
    <row r="8" spans="2:60" ht="18.75" x14ac:dyDescent="0.3">
      <c r="B8" s="610"/>
      <c r="C8" s="612"/>
      <c r="D8" s="612"/>
      <c r="E8" s="612"/>
      <c r="F8" s="614"/>
      <c r="G8" s="542" t="s">
        <v>14</v>
      </c>
      <c r="H8" s="424" t="s">
        <v>61</v>
      </c>
      <c r="I8" s="366" t="s">
        <v>511</v>
      </c>
      <c r="J8" s="425">
        <f>+Cedula_MP!H4</f>
        <v>4</v>
      </c>
      <c r="K8" s="426">
        <f>+Cedula_MP!F4</f>
        <v>2.5</v>
      </c>
      <c r="L8" s="425">
        <f>+J8*K8</f>
        <v>10</v>
      </c>
      <c r="M8" s="643">
        <f>+SUM(L8:L11)*N4</f>
        <v>3439.6949999999997</v>
      </c>
      <c r="N8" s="639"/>
      <c r="O8" s="396" t="s">
        <v>22</v>
      </c>
      <c r="P8" s="366">
        <v>1</v>
      </c>
      <c r="Q8" s="399">
        <f>+Nomina!G27</f>
        <v>138.71215080555558</v>
      </c>
      <c r="R8" s="366">
        <v>2</v>
      </c>
      <c r="S8" s="400">
        <f>+Q8*R8</f>
        <v>277.42430161111116</v>
      </c>
      <c r="T8" s="650">
        <f>+SUM(S8:S9)*N4</f>
        <v>46075.737273416678</v>
      </c>
      <c r="U8" s="671">
        <f>+Costo_Primo!F5</f>
        <v>2.4896925819270454E-2</v>
      </c>
      <c r="V8" s="427"/>
      <c r="W8" s="428"/>
      <c r="X8" s="428"/>
      <c r="Y8" s="428"/>
      <c r="Z8" s="429"/>
      <c r="AA8" s="668"/>
      <c r="AB8" s="676">
        <f>+AA4*U8</f>
        <v>1414.8574158004171</v>
      </c>
      <c r="AC8" s="592"/>
      <c r="AD8" s="595"/>
      <c r="AE8" s="631"/>
      <c r="AF8" s="598"/>
      <c r="AG8" s="659">
        <f>+AF4*U8</f>
        <v>157.32251466503615</v>
      </c>
      <c r="AH8" s="592"/>
      <c r="AI8" s="595"/>
      <c r="AJ8" s="666"/>
      <c r="AK8" s="598"/>
      <c r="AL8" s="659">
        <f>+AK4*U8</f>
        <v>47.666203282891523</v>
      </c>
      <c r="AM8" s="592"/>
      <c r="AN8" s="595"/>
      <c r="AO8" s="598"/>
      <c r="AP8" s="659">
        <f>+AO4*U8</f>
        <v>3665.1367597417452</v>
      </c>
      <c r="AQ8" s="592"/>
      <c r="AR8" s="595"/>
      <c r="AS8" s="631"/>
      <c r="AT8" s="598"/>
      <c r="AU8" s="659">
        <f>+AT4*U8</f>
        <v>20.796948018912317</v>
      </c>
      <c r="AV8" s="592"/>
      <c r="AW8" s="595"/>
      <c r="AX8" s="631"/>
      <c r="AY8" s="598"/>
      <c r="AZ8" s="659">
        <f>+AY4*U8</f>
        <v>12.90468547437346</v>
      </c>
      <c r="BA8" s="592"/>
      <c r="BB8" s="704"/>
      <c r="BC8" s="598"/>
      <c r="BD8" s="659">
        <f>+BC4*U8</f>
        <v>2604.1519258602834</v>
      </c>
      <c r="BE8" s="604"/>
      <c r="BF8" s="679"/>
      <c r="BG8" s="404"/>
    </row>
    <row r="9" spans="2:60" ht="18.75" x14ac:dyDescent="0.3">
      <c r="B9" s="610"/>
      <c r="C9" s="612"/>
      <c r="D9" s="612"/>
      <c r="E9" s="612"/>
      <c r="F9" s="614"/>
      <c r="G9" s="540"/>
      <c r="H9" s="396" t="s">
        <v>62</v>
      </c>
      <c r="I9" s="366" t="s">
        <v>511</v>
      </c>
      <c r="J9" s="397">
        <f>+Cedula_MP!H5</f>
        <v>5.91</v>
      </c>
      <c r="K9" s="185">
        <f>+Cedula_MP!F5</f>
        <v>2.5</v>
      </c>
      <c r="L9" s="397">
        <f t="shared" ref="L9:L15" si="2">+J9*K9</f>
        <v>14.775</v>
      </c>
      <c r="M9" s="644"/>
      <c r="N9" s="639"/>
      <c r="O9" s="396" t="s">
        <v>468</v>
      </c>
      <c r="P9" s="366">
        <v>1</v>
      </c>
      <c r="Q9" s="399">
        <f>+Nomina!G26</f>
        <v>182.37312636111113</v>
      </c>
      <c r="R9" s="366">
        <v>2</v>
      </c>
      <c r="S9" s="400">
        <f t="shared" ref="S9" si="3">+Q9*R9</f>
        <v>364.74625272222227</v>
      </c>
      <c r="T9" s="650"/>
      <c r="U9" s="671"/>
      <c r="V9" s="427"/>
      <c r="W9" s="428"/>
      <c r="X9" s="428"/>
      <c r="Y9" s="428"/>
      <c r="Z9" s="429"/>
      <c r="AA9" s="668"/>
      <c r="AB9" s="674"/>
      <c r="AC9" s="592"/>
      <c r="AD9" s="595"/>
      <c r="AE9" s="631"/>
      <c r="AF9" s="598"/>
      <c r="AG9" s="601"/>
      <c r="AH9" s="592"/>
      <c r="AI9" s="595"/>
      <c r="AJ9" s="666"/>
      <c r="AK9" s="598"/>
      <c r="AL9" s="601"/>
      <c r="AM9" s="592"/>
      <c r="AN9" s="595"/>
      <c r="AO9" s="598"/>
      <c r="AP9" s="601"/>
      <c r="AQ9" s="592"/>
      <c r="AR9" s="595"/>
      <c r="AS9" s="631"/>
      <c r="AT9" s="598"/>
      <c r="AU9" s="601"/>
      <c r="AV9" s="592"/>
      <c r="AW9" s="595"/>
      <c r="AX9" s="631"/>
      <c r="AY9" s="598"/>
      <c r="AZ9" s="601"/>
      <c r="BA9" s="592"/>
      <c r="BB9" s="704"/>
      <c r="BC9" s="598"/>
      <c r="BD9" s="601"/>
      <c r="BE9" s="604"/>
      <c r="BF9" s="679"/>
      <c r="BG9" s="430">
        <f>+BF4/71.75</f>
        <v>32135.03782228439</v>
      </c>
    </row>
    <row r="10" spans="2:60" ht="18.75" x14ac:dyDescent="0.3">
      <c r="B10" s="610"/>
      <c r="C10" s="612"/>
      <c r="D10" s="612"/>
      <c r="E10" s="612"/>
      <c r="F10" s="614"/>
      <c r="G10" s="540"/>
      <c r="H10" s="396" t="s">
        <v>63</v>
      </c>
      <c r="I10" s="366" t="s">
        <v>511</v>
      </c>
      <c r="J10" s="397">
        <f>+Cedula_MP!H6</f>
        <v>2.4100000000000006</v>
      </c>
      <c r="K10" s="185">
        <f>+Cedula_MP!F6</f>
        <v>7.5</v>
      </c>
      <c r="L10" s="397">
        <f t="shared" si="2"/>
        <v>18.075000000000003</v>
      </c>
      <c r="M10" s="644"/>
      <c r="N10" s="639"/>
      <c r="O10" s="396"/>
      <c r="Q10" s="399"/>
      <c r="S10" s="400"/>
      <c r="T10" s="650"/>
      <c r="U10" s="671"/>
      <c r="V10" s="427"/>
      <c r="W10" s="428"/>
      <c r="X10" s="428"/>
      <c r="Y10" s="428"/>
      <c r="Z10" s="429"/>
      <c r="AA10" s="668"/>
      <c r="AB10" s="674"/>
      <c r="AC10" s="592"/>
      <c r="AD10" s="595"/>
      <c r="AE10" s="631"/>
      <c r="AF10" s="598"/>
      <c r="AG10" s="601"/>
      <c r="AH10" s="592"/>
      <c r="AI10" s="595"/>
      <c r="AJ10" s="666"/>
      <c r="AK10" s="598"/>
      <c r="AL10" s="601"/>
      <c r="AM10" s="592"/>
      <c r="AN10" s="595"/>
      <c r="AO10" s="598"/>
      <c r="AP10" s="601"/>
      <c r="AQ10" s="592"/>
      <c r="AR10" s="595"/>
      <c r="AS10" s="631"/>
      <c r="AT10" s="598"/>
      <c r="AU10" s="601"/>
      <c r="AV10" s="592"/>
      <c r="AW10" s="595"/>
      <c r="AX10" s="631"/>
      <c r="AY10" s="598"/>
      <c r="AZ10" s="601"/>
      <c r="BA10" s="592"/>
      <c r="BB10" s="704"/>
      <c r="BC10" s="598"/>
      <c r="BD10" s="601"/>
      <c r="BE10" s="604"/>
      <c r="BF10" s="679"/>
      <c r="BG10" s="404"/>
    </row>
    <row r="11" spans="2:60" ht="18.75" x14ac:dyDescent="0.3">
      <c r="B11" s="610"/>
      <c r="C11" s="612"/>
      <c r="D11" s="612"/>
      <c r="E11" s="612"/>
      <c r="F11" s="614"/>
      <c r="G11" s="540"/>
      <c r="H11" s="396" t="s">
        <v>60</v>
      </c>
      <c r="I11" s="366" t="s">
        <v>511</v>
      </c>
      <c r="J11" s="397">
        <f>+Cedula_MP!H7</f>
        <v>5.09</v>
      </c>
      <c r="K11" s="185">
        <f>+Cedula_MP!F7</f>
        <v>1</v>
      </c>
      <c r="L11" s="397">
        <f t="shared" si="2"/>
        <v>5.09</v>
      </c>
      <c r="M11" s="644"/>
      <c r="N11" s="639"/>
      <c r="O11" s="396"/>
      <c r="Q11" s="399"/>
      <c r="S11" s="400"/>
      <c r="T11" s="650"/>
      <c r="U11" s="671"/>
      <c r="V11" s="427"/>
      <c r="W11" s="428"/>
      <c r="X11" s="428"/>
      <c r="Y11" s="428"/>
      <c r="Z11" s="429"/>
      <c r="AA11" s="668"/>
      <c r="AB11" s="674"/>
      <c r="AC11" s="592"/>
      <c r="AD11" s="595"/>
      <c r="AE11" s="631"/>
      <c r="AF11" s="598"/>
      <c r="AG11" s="601"/>
      <c r="AH11" s="592"/>
      <c r="AI11" s="595"/>
      <c r="AJ11" s="666"/>
      <c r="AK11" s="598"/>
      <c r="AL11" s="601"/>
      <c r="AM11" s="592"/>
      <c r="AN11" s="595"/>
      <c r="AO11" s="598"/>
      <c r="AP11" s="601"/>
      <c r="AQ11" s="592"/>
      <c r="AR11" s="595"/>
      <c r="AS11" s="631"/>
      <c r="AT11" s="598"/>
      <c r="AU11" s="601"/>
      <c r="AV11" s="592"/>
      <c r="AW11" s="595"/>
      <c r="AX11" s="631"/>
      <c r="AY11" s="598"/>
      <c r="AZ11" s="601"/>
      <c r="BA11" s="592"/>
      <c r="BB11" s="704"/>
      <c r="BC11" s="598"/>
      <c r="BD11" s="601"/>
      <c r="BE11" s="604"/>
      <c r="BF11" s="679"/>
      <c r="BG11" s="404"/>
    </row>
    <row r="12" spans="2:60" ht="18.75" x14ac:dyDescent="0.3">
      <c r="B12" s="610"/>
      <c r="C12" s="612"/>
      <c r="D12" s="612"/>
      <c r="E12" s="612"/>
      <c r="F12" s="614"/>
      <c r="G12" s="540"/>
      <c r="H12" s="396"/>
      <c r="J12" s="397"/>
      <c r="L12" s="397"/>
      <c r="M12" s="410"/>
      <c r="N12" s="639"/>
      <c r="O12" s="396"/>
      <c r="Q12" s="399"/>
      <c r="S12" s="400"/>
      <c r="T12" s="416"/>
      <c r="U12" s="417"/>
      <c r="V12" s="427"/>
      <c r="W12" s="428"/>
      <c r="X12" s="428"/>
      <c r="Y12" s="428"/>
      <c r="Z12" s="429"/>
      <c r="AA12" s="668"/>
      <c r="AB12" s="431"/>
      <c r="AC12" s="592"/>
      <c r="AD12" s="595"/>
      <c r="AE12" s="631"/>
      <c r="AF12" s="598"/>
      <c r="AG12" s="432"/>
      <c r="AH12" s="592"/>
      <c r="AI12" s="595"/>
      <c r="AJ12" s="666"/>
      <c r="AK12" s="598"/>
      <c r="AL12" s="432"/>
      <c r="AM12" s="592"/>
      <c r="AN12" s="595"/>
      <c r="AO12" s="598"/>
      <c r="AP12" s="432"/>
      <c r="AQ12" s="592"/>
      <c r="AR12" s="595"/>
      <c r="AS12" s="631"/>
      <c r="AT12" s="598"/>
      <c r="AU12" s="432"/>
      <c r="AV12" s="592"/>
      <c r="AW12" s="595"/>
      <c r="AX12" s="631"/>
      <c r="AY12" s="598"/>
      <c r="AZ12" s="432"/>
      <c r="BA12" s="592"/>
      <c r="BB12" s="704"/>
      <c r="BC12" s="598"/>
      <c r="BD12" s="432"/>
      <c r="BE12" s="604"/>
      <c r="BF12" s="679"/>
      <c r="BG12" s="404"/>
    </row>
    <row r="13" spans="2:60" ht="18.75" x14ac:dyDescent="0.3">
      <c r="B13" s="610"/>
      <c r="C13" s="612"/>
      <c r="D13" s="612"/>
      <c r="E13" s="612"/>
      <c r="F13" s="614"/>
      <c r="G13" s="542" t="s">
        <v>57</v>
      </c>
      <c r="H13" s="424" t="s">
        <v>58</v>
      </c>
      <c r="I13" s="433" t="s">
        <v>511</v>
      </c>
      <c r="J13" s="425">
        <f>+Cedula_MP!H9</f>
        <v>11.51</v>
      </c>
      <c r="K13" s="426">
        <f>+Cedula_MP!F9</f>
        <v>1</v>
      </c>
      <c r="L13" s="425">
        <f t="shared" si="2"/>
        <v>11.51</v>
      </c>
      <c r="M13" s="644">
        <f>+SUM(L13:L15)*N4</f>
        <v>12578.4925</v>
      </c>
      <c r="N13" s="639"/>
      <c r="O13" s="424" t="s">
        <v>470</v>
      </c>
      <c r="P13" s="433">
        <v>1</v>
      </c>
      <c r="Q13" s="434">
        <f>+Nomina!G27</f>
        <v>138.71215080555558</v>
      </c>
      <c r="R13" s="433">
        <v>2</v>
      </c>
      <c r="S13" s="435">
        <f>+Q13*R13</f>
        <v>277.42430161111116</v>
      </c>
      <c r="T13" s="650">
        <f>+S13*N4</f>
        <v>19905.193640597226</v>
      </c>
      <c r="U13" s="671">
        <f>+Costo_Primo!F6</f>
        <v>1.6333169015129507E-2</v>
      </c>
      <c r="V13" s="427"/>
      <c r="W13" s="428"/>
      <c r="X13" s="428"/>
      <c r="Y13" s="428"/>
      <c r="Z13" s="429"/>
      <c r="AA13" s="668"/>
      <c r="AB13" s="676">
        <f>+AA4*U13</f>
        <v>928.19111372741907</v>
      </c>
      <c r="AC13" s="592"/>
      <c r="AD13" s="595"/>
      <c r="AE13" s="631"/>
      <c r="AF13" s="598"/>
      <c r="AG13" s="659">
        <f>+AF4*U13</f>
        <v>103.20853428098141</v>
      </c>
      <c r="AH13" s="592"/>
      <c r="AI13" s="595"/>
      <c r="AJ13" s="666"/>
      <c r="AK13" s="598"/>
      <c r="AL13" s="659">
        <f>+AK4*U13</f>
        <v>31.270533566292382</v>
      </c>
      <c r="AM13" s="592"/>
      <c r="AN13" s="595"/>
      <c r="AO13" s="598"/>
      <c r="AP13" s="659">
        <f>+AO4*U13</f>
        <v>2404.4453759062608</v>
      </c>
      <c r="AQ13" s="592"/>
      <c r="AR13" s="595"/>
      <c r="AS13" s="631"/>
      <c r="AT13" s="598"/>
      <c r="AU13" s="659">
        <f>+AT4*U13</f>
        <v>13.64345419420586</v>
      </c>
      <c r="AV13" s="592"/>
      <c r="AW13" s="595"/>
      <c r="AX13" s="631"/>
      <c r="AY13" s="598"/>
      <c r="AZ13" s="659">
        <f>+AY4*U13</f>
        <v>8.4658809071474614</v>
      </c>
      <c r="BA13" s="592"/>
      <c r="BB13" s="704"/>
      <c r="BC13" s="598"/>
      <c r="BD13" s="659">
        <f>+BC4*U13</f>
        <v>1708.405843151497</v>
      </c>
      <c r="BE13" s="604"/>
      <c r="BF13" s="679"/>
      <c r="BG13" s="404"/>
    </row>
    <row r="14" spans="2:60" ht="18.75" x14ac:dyDescent="0.3">
      <c r="B14" s="610"/>
      <c r="C14" s="612"/>
      <c r="D14" s="612"/>
      <c r="E14" s="612"/>
      <c r="F14" s="614"/>
      <c r="G14" s="540"/>
      <c r="H14" s="396" t="s">
        <v>59</v>
      </c>
      <c r="I14" s="366" t="s">
        <v>511</v>
      </c>
      <c r="J14" s="397">
        <f>+Cedula_MP!H10</f>
        <v>4.4400000000000004</v>
      </c>
      <c r="K14" s="185">
        <f>+Cedula_MP!F10</f>
        <v>20</v>
      </c>
      <c r="L14" s="397">
        <f t="shared" si="2"/>
        <v>88.800000000000011</v>
      </c>
      <c r="M14" s="644"/>
      <c r="N14" s="639"/>
      <c r="O14" s="396"/>
      <c r="S14" s="400"/>
      <c r="T14" s="650"/>
      <c r="U14" s="671"/>
      <c r="V14" s="427"/>
      <c r="W14" s="428"/>
      <c r="X14" s="428"/>
      <c r="Y14" s="428"/>
      <c r="Z14" s="429"/>
      <c r="AA14" s="668"/>
      <c r="AB14" s="674"/>
      <c r="AC14" s="592"/>
      <c r="AD14" s="595"/>
      <c r="AE14" s="631"/>
      <c r="AF14" s="598"/>
      <c r="AG14" s="601"/>
      <c r="AH14" s="592"/>
      <c r="AI14" s="595"/>
      <c r="AJ14" s="666"/>
      <c r="AK14" s="598"/>
      <c r="AL14" s="601"/>
      <c r="AM14" s="592"/>
      <c r="AN14" s="595"/>
      <c r="AO14" s="598"/>
      <c r="AP14" s="601"/>
      <c r="AQ14" s="592"/>
      <c r="AR14" s="595"/>
      <c r="AS14" s="631"/>
      <c r="AT14" s="598"/>
      <c r="AU14" s="601"/>
      <c r="AV14" s="592"/>
      <c r="AW14" s="595"/>
      <c r="AX14" s="631"/>
      <c r="AY14" s="598"/>
      <c r="AZ14" s="601"/>
      <c r="BA14" s="592"/>
      <c r="BB14" s="704"/>
      <c r="BC14" s="598"/>
      <c r="BD14" s="601"/>
      <c r="BE14" s="604"/>
      <c r="BF14" s="679"/>
      <c r="BG14" s="404"/>
    </row>
    <row r="15" spans="2:60" ht="16.5" thickBot="1" x14ac:dyDescent="0.3">
      <c r="B15" s="637"/>
      <c r="C15" s="636"/>
      <c r="D15" s="636"/>
      <c r="E15" s="636"/>
      <c r="F15" s="642"/>
      <c r="G15" s="436"/>
      <c r="H15" s="437" t="s">
        <v>98</v>
      </c>
      <c r="I15" s="438" t="s">
        <v>511</v>
      </c>
      <c r="J15" s="439">
        <f>+Cedula_MP!H11</f>
        <v>7.5</v>
      </c>
      <c r="K15" s="440">
        <f>+Cedula_MP!F11</f>
        <v>10</v>
      </c>
      <c r="L15" s="439">
        <f t="shared" si="2"/>
        <v>75</v>
      </c>
      <c r="M15" s="645"/>
      <c r="N15" s="640"/>
      <c r="O15" s="437"/>
      <c r="P15" s="438"/>
      <c r="Q15" s="440"/>
      <c r="R15" s="438"/>
      <c r="S15" s="441"/>
      <c r="T15" s="657"/>
      <c r="U15" s="672"/>
      <c r="V15" s="442"/>
      <c r="W15" s="443"/>
      <c r="X15" s="443"/>
      <c r="Y15" s="443"/>
      <c r="Z15" s="444"/>
      <c r="AA15" s="669"/>
      <c r="AB15" s="677"/>
      <c r="AC15" s="593"/>
      <c r="AD15" s="596"/>
      <c r="AE15" s="632"/>
      <c r="AF15" s="599"/>
      <c r="AG15" s="602"/>
      <c r="AH15" s="593"/>
      <c r="AI15" s="596"/>
      <c r="AJ15" s="632"/>
      <c r="AK15" s="599"/>
      <c r="AL15" s="602"/>
      <c r="AM15" s="593"/>
      <c r="AN15" s="596"/>
      <c r="AO15" s="599"/>
      <c r="AP15" s="602"/>
      <c r="AQ15" s="593"/>
      <c r="AR15" s="596"/>
      <c r="AS15" s="632"/>
      <c r="AT15" s="599"/>
      <c r="AU15" s="602"/>
      <c r="AV15" s="593"/>
      <c r="AW15" s="596"/>
      <c r="AX15" s="632"/>
      <c r="AY15" s="599"/>
      <c r="AZ15" s="602"/>
      <c r="BA15" s="593"/>
      <c r="BB15" s="705"/>
      <c r="BC15" s="599"/>
      <c r="BD15" s="602"/>
      <c r="BE15" s="605"/>
      <c r="BF15" s="680"/>
      <c r="BG15" s="445"/>
    </row>
    <row r="16" spans="2:60" ht="16.5" thickBot="1" x14ac:dyDescent="0.3">
      <c r="U16" s="185"/>
      <c r="AI16" s="446"/>
      <c r="AV16" s="186"/>
    </row>
    <row r="17" spans="2:91" ht="15" customHeight="1" x14ac:dyDescent="0.25">
      <c r="B17" s="652" t="s">
        <v>512</v>
      </c>
      <c r="C17" s="611" t="s">
        <v>11</v>
      </c>
      <c r="D17" s="611" t="s">
        <v>513</v>
      </c>
      <c r="E17" s="613" t="s">
        <v>12</v>
      </c>
      <c r="F17" s="687" t="s">
        <v>514</v>
      </c>
      <c r="G17" s="447" t="s">
        <v>13</v>
      </c>
      <c r="H17" s="388" t="s">
        <v>56</v>
      </c>
      <c r="I17" s="386" t="s">
        <v>511</v>
      </c>
      <c r="J17" s="387">
        <f>+Cedula_MP!H17</f>
        <v>53.67</v>
      </c>
      <c r="K17" s="388">
        <f>+Cedula_MP!F17</f>
        <v>300</v>
      </c>
      <c r="L17" s="387">
        <f>+K17*J17</f>
        <v>16101</v>
      </c>
      <c r="M17" s="545">
        <f>+L17*N17</f>
        <v>748696.5</v>
      </c>
      <c r="N17" s="692">
        <f>+Objetos_Costo_Variables!E27</f>
        <v>46.5</v>
      </c>
      <c r="O17" s="546" t="s">
        <v>21</v>
      </c>
      <c r="P17" s="449">
        <v>1</v>
      </c>
      <c r="Q17" s="547">
        <f>+Nomina!G25</f>
        <v>246.45479302777775</v>
      </c>
      <c r="R17" s="449">
        <v>9</v>
      </c>
      <c r="S17" s="481">
        <f>+Q17*R17</f>
        <v>2218.0931372499999</v>
      </c>
      <c r="T17" s="649">
        <f>+SUM(S17:S19)*N17</f>
        <v>161192.36599425002</v>
      </c>
      <c r="U17" s="670">
        <f>+Costo_Primo!F12</f>
        <v>0.17911455148484662</v>
      </c>
      <c r="V17" s="448" t="s">
        <v>37</v>
      </c>
      <c r="W17" s="449">
        <v>3</v>
      </c>
      <c r="X17" s="450">
        <f>+Nomina!G28</f>
        <v>416.13645241666666</v>
      </c>
      <c r="Y17" s="451">
        <v>0.05</v>
      </c>
      <c r="Z17" s="450">
        <f>+X17*(1+Y17)</f>
        <v>436.94327503750003</v>
      </c>
      <c r="AA17" s="600">
        <f>+SUM(Z17:Z19)*N17</f>
        <v>36829.684423595005</v>
      </c>
      <c r="AB17" s="588">
        <f>+AA17*U17</f>
        <v>6596.7324068606613</v>
      </c>
      <c r="AC17" s="591">
        <f>+CIF_Servicios_Publicos!K12</f>
        <v>5630930.083333333</v>
      </c>
      <c r="AD17" s="594" t="s">
        <v>546</v>
      </c>
      <c r="AE17" s="630">
        <f>+CIF_Servicios_Publicos!M12</f>
        <v>57024.701635671765</v>
      </c>
      <c r="AF17" s="597">
        <f>+(AE17/Objetos_Costo_Variables!I12)*Matriz_Costeo_ABC!N17</f>
        <v>4095.2102332953468</v>
      </c>
      <c r="AG17" s="588">
        <f>+AF17*U17</f>
        <v>733.51174417285017</v>
      </c>
      <c r="AH17" s="646">
        <f>+CIF_Servicios_Publicos!K11</f>
        <v>1706081.6666666667</v>
      </c>
      <c r="AI17" s="594" t="s">
        <v>546</v>
      </c>
      <c r="AJ17" s="630">
        <f>+CIF_Servicios_Publicos!M11</f>
        <v>17277.571656539621</v>
      </c>
      <c r="AK17" s="597">
        <f>+(AJ17/Objetos_Costo_Variables!I12)*Matriz_Costeo_ABC!N17</f>
        <v>1240.7831382688685</v>
      </c>
      <c r="AL17" s="588">
        <f>+AK17*U17</f>
        <v>222.24231530098879</v>
      </c>
      <c r="AM17" s="591">
        <f>+CIF_Servicios_Publicos!K16</f>
        <v>1328502.3483333334</v>
      </c>
      <c r="AN17" s="594" t="s">
        <v>546</v>
      </c>
      <c r="AO17" s="597">
        <f>+(AM17/Objetos_Costo_Variables!I12)*Matriz_Costeo_ABC!N17</f>
        <v>95405.960150579165</v>
      </c>
      <c r="AP17" s="588">
        <f>+AO17*U17</f>
        <v>17088.595761352135</v>
      </c>
      <c r="AQ17" s="591">
        <f>+CIF_Servicios_Publicos!K13</f>
        <v>744370</v>
      </c>
      <c r="AR17" s="594" t="s">
        <v>546</v>
      </c>
      <c r="AS17" s="630">
        <f>+CIF_Servicios_Publicos!M13</f>
        <v>7538.2710366415031</v>
      </c>
      <c r="AT17" s="681">
        <f>+(AS17/Objetos_Costo_Variables!I12)*Matriz_Costeo_ABC!N17</f>
        <v>541.35846054645538</v>
      </c>
      <c r="AU17" s="588">
        <f>+AT17*U17</f>
        <v>96.965177853305391</v>
      </c>
      <c r="AV17" s="591">
        <f>+CIF_Servicios_Publicos!K20</f>
        <v>461888</v>
      </c>
      <c r="AW17" s="630" t="s">
        <v>546</v>
      </c>
      <c r="AX17" s="630">
        <f>+CIF_Servicios_Publicos!M20</f>
        <v>4677.5621432517037</v>
      </c>
      <c r="AY17" s="681">
        <f>+(AX17/Objetos_Costo_Variables!I12)*Matriz_Costeo_ABC!N17</f>
        <v>335.91759021035398</v>
      </c>
      <c r="AZ17" s="588">
        <f>+AY17*U17</f>
        <v>60.167728506398056</v>
      </c>
      <c r="BA17" s="681">
        <f>+CIF_Depreciacion!E162</f>
        <v>944000</v>
      </c>
      <c r="BB17" s="700">
        <f>+CIF_Depreciacion!L157</f>
        <v>7.18091267083623E-2</v>
      </c>
      <c r="BC17" s="597">
        <f>+BA17*BB17</f>
        <v>67787.815612694016</v>
      </c>
      <c r="BD17" s="600">
        <f>+BC17*U17</f>
        <v>12141.784189605172</v>
      </c>
      <c r="BE17" s="603">
        <f>+AF17+AK17+AO17+BC17+AY17+AT17</f>
        <v>169407.04518559418</v>
      </c>
      <c r="BF17" s="678">
        <f>+M17+M20+M24+M27+M29+M30+T17+T20+T27+T29+T30+BG17+T24+AA17+BE17</f>
        <v>1486422.6707653974</v>
      </c>
      <c r="BG17" s="394"/>
    </row>
    <row r="18" spans="2:91" x14ac:dyDescent="0.25">
      <c r="B18" s="653"/>
      <c r="C18" s="612"/>
      <c r="D18" s="612"/>
      <c r="E18" s="614"/>
      <c r="F18" s="688"/>
      <c r="G18" s="453"/>
      <c r="J18" s="397"/>
      <c r="L18" s="397"/>
      <c r="M18" s="548"/>
      <c r="N18" s="693"/>
      <c r="O18" s="549" t="s">
        <v>22</v>
      </c>
      <c r="P18" s="455">
        <v>1</v>
      </c>
      <c r="Q18" s="550">
        <f>+Nomina!G27</f>
        <v>138.71215080555558</v>
      </c>
      <c r="R18" s="455">
        <v>9</v>
      </c>
      <c r="S18" s="485">
        <f t="shared" ref="S18" si="4">+Q18*R18</f>
        <v>1248.4093572500003</v>
      </c>
      <c r="T18" s="650"/>
      <c r="U18" s="671"/>
      <c r="V18" s="454" t="s">
        <v>474</v>
      </c>
      <c r="W18" s="455">
        <v>1</v>
      </c>
      <c r="X18" s="456">
        <f>+Nomina!G29</f>
        <v>176.77067984999996</v>
      </c>
      <c r="Y18" s="457">
        <v>0.05</v>
      </c>
      <c r="Z18" s="456">
        <f t="shared" ref="Z18:Z19" si="5">+X18*(1+Y18)</f>
        <v>185.60921384249997</v>
      </c>
      <c r="AA18" s="601"/>
      <c r="AB18" s="589"/>
      <c r="AC18" s="592"/>
      <c r="AD18" s="595"/>
      <c r="AE18" s="631"/>
      <c r="AF18" s="598"/>
      <c r="AG18" s="589"/>
      <c r="AH18" s="647"/>
      <c r="AI18" s="595"/>
      <c r="AJ18" s="631"/>
      <c r="AK18" s="598"/>
      <c r="AL18" s="589"/>
      <c r="AM18" s="592"/>
      <c r="AN18" s="595"/>
      <c r="AO18" s="598"/>
      <c r="AP18" s="589"/>
      <c r="AQ18" s="592"/>
      <c r="AR18" s="595"/>
      <c r="AS18" s="631"/>
      <c r="AT18" s="682"/>
      <c r="AU18" s="589"/>
      <c r="AV18" s="592"/>
      <c r="AW18" s="631"/>
      <c r="AX18" s="631"/>
      <c r="AY18" s="682"/>
      <c r="AZ18" s="589"/>
      <c r="BA18" s="682"/>
      <c r="BB18" s="701"/>
      <c r="BC18" s="598"/>
      <c r="BD18" s="601"/>
      <c r="BE18" s="604"/>
      <c r="BF18" s="679"/>
      <c r="BG18" s="404"/>
    </row>
    <row r="19" spans="2:91" x14ac:dyDescent="0.25">
      <c r="B19" s="653"/>
      <c r="C19" s="612"/>
      <c r="D19" s="612"/>
      <c r="E19" s="614"/>
      <c r="F19" s="688"/>
      <c r="G19" s="459"/>
      <c r="H19" s="409"/>
      <c r="I19" s="407"/>
      <c r="J19" s="408"/>
      <c r="K19" s="409"/>
      <c r="L19" s="408"/>
      <c r="M19" s="551"/>
      <c r="N19" s="693"/>
      <c r="O19" s="552"/>
      <c r="P19" s="553"/>
      <c r="Q19" s="554"/>
      <c r="R19" s="553"/>
      <c r="S19" s="555"/>
      <c r="T19" s="651"/>
      <c r="U19" s="697"/>
      <c r="V19" s="454" t="s">
        <v>39</v>
      </c>
      <c r="W19" s="455">
        <v>1</v>
      </c>
      <c r="X19" s="456">
        <f>+Nomina!G30</f>
        <v>161.41308122222225</v>
      </c>
      <c r="Y19" s="457">
        <v>0.05</v>
      </c>
      <c r="Z19" s="456">
        <f t="shared" si="5"/>
        <v>169.48373528333337</v>
      </c>
      <c r="AA19" s="601"/>
      <c r="AB19" s="656"/>
      <c r="AC19" s="592"/>
      <c r="AD19" s="595"/>
      <c r="AE19" s="631"/>
      <c r="AF19" s="598"/>
      <c r="AG19" s="656"/>
      <c r="AH19" s="647"/>
      <c r="AI19" s="595"/>
      <c r="AJ19" s="631"/>
      <c r="AK19" s="598"/>
      <c r="AL19" s="656"/>
      <c r="AM19" s="592"/>
      <c r="AN19" s="595"/>
      <c r="AO19" s="598"/>
      <c r="AP19" s="656"/>
      <c r="AQ19" s="592"/>
      <c r="AR19" s="595"/>
      <c r="AS19" s="631"/>
      <c r="AT19" s="682"/>
      <c r="AU19" s="656"/>
      <c r="AV19" s="592"/>
      <c r="AW19" s="631"/>
      <c r="AX19" s="631"/>
      <c r="AY19" s="682"/>
      <c r="AZ19" s="656"/>
      <c r="BA19" s="682"/>
      <c r="BB19" s="701"/>
      <c r="BC19" s="598"/>
      <c r="BD19" s="658"/>
      <c r="BE19" s="604"/>
      <c r="BF19" s="679"/>
      <c r="BG19" s="404"/>
    </row>
    <row r="20" spans="2:91" x14ac:dyDescent="0.25">
      <c r="B20" s="653"/>
      <c r="C20" s="612"/>
      <c r="D20" s="612"/>
      <c r="E20" s="614"/>
      <c r="F20" s="688"/>
      <c r="G20" s="423" t="s">
        <v>14</v>
      </c>
      <c r="H20" s="464" t="s">
        <v>61</v>
      </c>
      <c r="I20" s="433" t="s">
        <v>511</v>
      </c>
      <c r="J20" s="425">
        <f>+Cedula_MP!H18</f>
        <v>4</v>
      </c>
      <c r="K20" s="426">
        <f>+Cedula_MP!F18</f>
        <v>30</v>
      </c>
      <c r="L20" s="425">
        <f>+J20*K20</f>
        <v>120</v>
      </c>
      <c r="M20" s="685">
        <f>+SUM(L20:L23)*N17</f>
        <v>18551.640000000003</v>
      </c>
      <c r="N20" s="693"/>
      <c r="O20" s="557" t="s">
        <v>22</v>
      </c>
      <c r="P20" s="558">
        <v>1</v>
      </c>
      <c r="Q20" s="559">
        <f>+Nomina!G27</f>
        <v>138.71215080555558</v>
      </c>
      <c r="R20" s="558">
        <v>4</v>
      </c>
      <c r="S20" s="560">
        <f>+Q20*R20</f>
        <v>554.84860322222232</v>
      </c>
      <c r="T20" s="684">
        <f>+SUM(S20:S21)*N17</f>
        <v>25800.460049833338</v>
      </c>
      <c r="U20" s="698">
        <f>+Costo_Primo!F13</f>
        <v>8.7308536292026069E-3</v>
      </c>
      <c r="V20" s="454"/>
      <c r="W20" s="465"/>
      <c r="X20" s="454"/>
      <c r="Y20" s="454"/>
      <c r="Z20" s="454"/>
      <c r="AA20" s="601"/>
      <c r="AB20" s="655">
        <f>+AA17*U20</f>
        <v>321.55458391213119</v>
      </c>
      <c r="AC20" s="592"/>
      <c r="AD20" s="595"/>
      <c r="AE20" s="631"/>
      <c r="AF20" s="598"/>
      <c r="AG20" s="655">
        <f>+AF17*U20</f>
        <v>35.754681127714335</v>
      </c>
      <c r="AH20" s="647"/>
      <c r="AI20" s="595"/>
      <c r="AJ20" s="631"/>
      <c r="AK20" s="598"/>
      <c r="AL20" s="655">
        <f>+AK17*U20</f>
        <v>10.83309596580815</v>
      </c>
      <c r="AM20" s="592"/>
      <c r="AN20" s="595"/>
      <c r="AO20" s="598"/>
      <c r="AP20" s="655">
        <f>+AO17*U20</f>
        <v>832.97547342824339</v>
      </c>
      <c r="AQ20" s="592"/>
      <c r="AR20" s="595"/>
      <c r="AS20" s="631"/>
      <c r="AT20" s="682"/>
      <c r="AU20" s="655">
        <f>+AT17*U20</f>
        <v>4.7265214799615558</v>
      </c>
      <c r="AV20" s="592"/>
      <c r="AW20" s="631"/>
      <c r="AX20" s="631"/>
      <c r="AY20" s="682"/>
      <c r="AZ20" s="655">
        <f>+AY17*U20</f>
        <v>2.9328473116010629</v>
      </c>
      <c r="BA20" s="682"/>
      <c r="BB20" s="701"/>
      <c r="BC20" s="598"/>
      <c r="BD20" s="659">
        <f>+BC17*U20</f>
        <v>591.84549595780663</v>
      </c>
      <c r="BE20" s="604"/>
      <c r="BF20" s="679"/>
      <c r="BG20" s="404"/>
    </row>
    <row r="21" spans="2:91" x14ac:dyDescent="0.25">
      <c r="B21" s="653"/>
      <c r="C21" s="612"/>
      <c r="D21" s="612"/>
      <c r="E21" s="614"/>
      <c r="F21" s="688"/>
      <c r="G21" s="395"/>
      <c r="H21" s="462" t="s">
        <v>62</v>
      </c>
      <c r="I21" s="366" t="s">
        <v>511</v>
      </c>
      <c r="J21" s="397">
        <f>+Cedula_MP!H19</f>
        <v>5.91</v>
      </c>
      <c r="K21" s="185">
        <f>+Cedula_MP!F19</f>
        <v>16</v>
      </c>
      <c r="L21" s="397">
        <f t="shared" ref="L21:L23" si="6">+J21*K21</f>
        <v>94.56</v>
      </c>
      <c r="M21" s="695"/>
      <c r="N21" s="693"/>
      <c r="O21" s="549"/>
      <c r="P21" s="455"/>
      <c r="Q21" s="550"/>
      <c r="R21" s="455"/>
      <c r="S21" s="485"/>
      <c r="T21" s="650"/>
      <c r="U21" s="671"/>
      <c r="V21" s="454"/>
      <c r="W21" s="465"/>
      <c r="X21" s="454"/>
      <c r="Y21" s="454"/>
      <c r="Z21" s="454"/>
      <c r="AA21" s="601"/>
      <c r="AB21" s="589"/>
      <c r="AC21" s="592"/>
      <c r="AD21" s="595"/>
      <c r="AE21" s="631"/>
      <c r="AF21" s="598"/>
      <c r="AG21" s="589"/>
      <c r="AH21" s="647"/>
      <c r="AI21" s="595"/>
      <c r="AJ21" s="631"/>
      <c r="AK21" s="598"/>
      <c r="AL21" s="589"/>
      <c r="AM21" s="592"/>
      <c r="AN21" s="595"/>
      <c r="AO21" s="598"/>
      <c r="AP21" s="589"/>
      <c r="AQ21" s="592"/>
      <c r="AR21" s="595"/>
      <c r="AS21" s="631"/>
      <c r="AT21" s="682"/>
      <c r="AU21" s="589"/>
      <c r="AV21" s="592"/>
      <c r="AW21" s="631"/>
      <c r="AX21" s="631"/>
      <c r="AY21" s="682"/>
      <c r="AZ21" s="589"/>
      <c r="BA21" s="682"/>
      <c r="BB21" s="701"/>
      <c r="BC21" s="598"/>
      <c r="BD21" s="601"/>
      <c r="BE21" s="604"/>
      <c r="BF21" s="679"/>
      <c r="BG21" s="404"/>
    </row>
    <row r="22" spans="2:91" x14ac:dyDescent="0.25">
      <c r="B22" s="653"/>
      <c r="C22" s="612"/>
      <c r="D22" s="612"/>
      <c r="E22" s="614"/>
      <c r="F22" s="688"/>
      <c r="G22" s="395"/>
      <c r="H22" s="462" t="s">
        <v>63</v>
      </c>
      <c r="I22" s="366" t="s">
        <v>511</v>
      </c>
      <c r="J22" s="397">
        <f>+Cedula_MP!H20</f>
        <v>2.41</v>
      </c>
      <c r="K22" s="185">
        <f>+Cedula_MP!F20</f>
        <v>40</v>
      </c>
      <c r="L22" s="397">
        <f t="shared" si="6"/>
        <v>96.4</v>
      </c>
      <c r="M22" s="695"/>
      <c r="N22" s="693"/>
      <c r="O22" s="549"/>
      <c r="P22" s="455"/>
      <c r="Q22" s="550"/>
      <c r="R22" s="455"/>
      <c r="S22" s="485"/>
      <c r="T22" s="650"/>
      <c r="U22" s="671"/>
      <c r="V22" s="463"/>
      <c r="W22" s="455"/>
      <c r="X22" s="463"/>
      <c r="Y22" s="463"/>
      <c r="Z22" s="463"/>
      <c r="AA22" s="601"/>
      <c r="AB22" s="589"/>
      <c r="AC22" s="592"/>
      <c r="AD22" s="595"/>
      <c r="AE22" s="631"/>
      <c r="AF22" s="598"/>
      <c r="AG22" s="589"/>
      <c r="AH22" s="647"/>
      <c r="AI22" s="595"/>
      <c r="AJ22" s="631"/>
      <c r="AK22" s="598"/>
      <c r="AL22" s="589"/>
      <c r="AM22" s="592"/>
      <c r="AN22" s="595"/>
      <c r="AO22" s="598"/>
      <c r="AP22" s="589"/>
      <c r="AQ22" s="592"/>
      <c r="AR22" s="595"/>
      <c r="AS22" s="631"/>
      <c r="AT22" s="682"/>
      <c r="AU22" s="589"/>
      <c r="AV22" s="592"/>
      <c r="AW22" s="631"/>
      <c r="AX22" s="631"/>
      <c r="AY22" s="682"/>
      <c r="AZ22" s="589"/>
      <c r="BA22" s="682"/>
      <c r="BB22" s="701"/>
      <c r="BC22" s="598"/>
      <c r="BD22" s="601"/>
      <c r="BE22" s="604"/>
      <c r="BF22" s="679"/>
      <c r="BG22" s="404"/>
    </row>
    <row r="23" spans="2:91" x14ac:dyDescent="0.25">
      <c r="B23" s="653"/>
      <c r="C23" s="612"/>
      <c r="D23" s="612"/>
      <c r="E23" s="614"/>
      <c r="F23" s="688"/>
      <c r="G23" s="405"/>
      <c r="H23" s="466" t="s">
        <v>515</v>
      </c>
      <c r="I23" s="407" t="s">
        <v>511</v>
      </c>
      <c r="J23" s="408">
        <f>+Cedula_MP!H21</f>
        <v>2.2000000000000002</v>
      </c>
      <c r="K23" s="409">
        <f>+Cedula_MP!F21</f>
        <v>40</v>
      </c>
      <c r="L23" s="408">
        <f t="shared" si="6"/>
        <v>88</v>
      </c>
      <c r="M23" s="695"/>
      <c r="N23" s="693"/>
      <c r="O23" s="552"/>
      <c r="P23" s="553"/>
      <c r="Q23" s="554"/>
      <c r="R23" s="553"/>
      <c r="S23" s="555"/>
      <c r="T23" s="651"/>
      <c r="U23" s="697"/>
      <c r="V23" s="463"/>
      <c r="W23" s="455"/>
      <c r="X23" s="463"/>
      <c r="Y23" s="463"/>
      <c r="Z23" s="463"/>
      <c r="AA23" s="601"/>
      <c r="AB23" s="656"/>
      <c r="AC23" s="592"/>
      <c r="AD23" s="595"/>
      <c r="AE23" s="631"/>
      <c r="AF23" s="598"/>
      <c r="AG23" s="656"/>
      <c r="AH23" s="647"/>
      <c r="AI23" s="595"/>
      <c r="AJ23" s="631"/>
      <c r="AK23" s="598"/>
      <c r="AL23" s="656"/>
      <c r="AM23" s="592"/>
      <c r="AN23" s="595"/>
      <c r="AO23" s="598"/>
      <c r="AP23" s="656"/>
      <c r="AQ23" s="592"/>
      <c r="AR23" s="595"/>
      <c r="AS23" s="631"/>
      <c r="AT23" s="682"/>
      <c r="AU23" s="656"/>
      <c r="AV23" s="592"/>
      <c r="AW23" s="631"/>
      <c r="AX23" s="631"/>
      <c r="AY23" s="682"/>
      <c r="AZ23" s="656"/>
      <c r="BA23" s="682"/>
      <c r="BB23" s="701"/>
      <c r="BC23" s="598"/>
      <c r="BD23" s="658"/>
      <c r="BE23" s="604"/>
      <c r="BF23" s="679"/>
      <c r="BG23" s="404"/>
    </row>
    <row r="24" spans="2:91" x14ac:dyDescent="0.25">
      <c r="B24" s="653"/>
      <c r="C24" s="612"/>
      <c r="D24" s="612"/>
      <c r="E24" s="614"/>
      <c r="F24" s="688"/>
      <c r="G24" s="423" t="s">
        <v>57</v>
      </c>
      <c r="H24" s="464" t="s">
        <v>98</v>
      </c>
      <c r="I24" s="433" t="s">
        <v>511</v>
      </c>
      <c r="J24" s="425">
        <f>+Cedula_MP!H22</f>
        <v>7.5</v>
      </c>
      <c r="K24" s="426">
        <f>+Cedula_MP!F22</f>
        <v>10</v>
      </c>
      <c r="L24" s="425">
        <f t="shared" ref="L24:L26" si="7">+J24*K24</f>
        <v>75</v>
      </c>
      <c r="M24" s="685">
        <f>+SUM(L24:L26)*N17</f>
        <v>8151.915</v>
      </c>
      <c r="N24" s="693"/>
      <c r="O24" s="557" t="s">
        <v>470</v>
      </c>
      <c r="P24" s="558">
        <v>1</v>
      </c>
      <c r="Q24" s="559">
        <f>+Nomina!G27</f>
        <v>138.71215080555558</v>
      </c>
      <c r="R24" s="558">
        <v>3</v>
      </c>
      <c r="S24" s="560">
        <f>+Q24*R24</f>
        <v>416.13645241666677</v>
      </c>
      <c r="T24" s="684">
        <f>+S24*N17</f>
        <v>19350.345037375006</v>
      </c>
      <c r="U24" s="698">
        <f>+Costo_Primo!F14</f>
        <v>5.4139083964185744E-3</v>
      </c>
      <c r="V24" s="463"/>
      <c r="W24" s="455"/>
      <c r="X24" s="463"/>
      <c r="Y24" s="463"/>
      <c r="Z24" s="463"/>
      <c r="AA24" s="601"/>
      <c r="AB24" s="655">
        <f>+AA17*U24</f>
        <v>199.39253773834739</v>
      </c>
      <c r="AC24" s="592"/>
      <c r="AD24" s="595"/>
      <c r="AE24" s="631"/>
      <c r="AF24" s="598"/>
      <c r="AG24" s="655">
        <f>+AF17*U24</f>
        <v>22.171093067136947</v>
      </c>
      <c r="AH24" s="647"/>
      <c r="AI24" s="595"/>
      <c r="AJ24" s="631"/>
      <c r="AK24" s="598"/>
      <c r="AL24" s="655">
        <f>+AK17*U24</f>
        <v>6.7174862504084158</v>
      </c>
      <c r="AM24" s="592"/>
      <c r="AN24" s="595"/>
      <c r="AO24" s="598"/>
      <c r="AP24" s="655">
        <f>+AO17*U24</f>
        <v>516.51912872759647</v>
      </c>
      <c r="AQ24" s="592"/>
      <c r="AR24" s="595"/>
      <c r="AS24" s="631"/>
      <c r="AT24" s="682"/>
      <c r="AU24" s="655">
        <f>+AT17*U24</f>
        <v>2.9308651150246883</v>
      </c>
      <c r="AV24" s="592"/>
      <c r="AW24" s="631"/>
      <c r="AX24" s="631"/>
      <c r="AY24" s="682"/>
      <c r="AZ24" s="655">
        <f>+AY17*U24</f>
        <v>1.8186270621445293</v>
      </c>
      <c r="BA24" s="682"/>
      <c r="BB24" s="701"/>
      <c r="BC24" s="598"/>
      <c r="BD24" s="659">
        <f>+BC17*U24</f>
        <v>366.99702412043825</v>
      </c>
      <c r="BE24" s="604"/>
      <c r="BF24" s="679"/>
      <c r="BG24" s="404"/>
    </row>
    <row r="25" spans="2:91" x14ac:dyDescent="0.25">
      <c r="B25" s="653"/>
      <c r="C25" s="612"/>
      <c r="D25" s="612"/>
      <c r="E25" s="614"/>
      <c r="F25" s="688"/>
      <c r="G25" s="395"/>
      <c r="H25" s="462" t="s">
        <v>59</v>
      </c>
      <c r="I25" s="366" t="s">
        <v>511</v>
      </c>
      <c r="J25" s="397">
        <f>+Cedula_MP!H23</f>
        <v>4.4400000000000004</v>
      </c>
      <c r="K25" s="185">
        <f>+Cedula_MP!F23</f>
        <v>20</v>
      </c>
      <c r="L25" s="397">
        <f t="shared" si="7"/>
        <v>88.800000000000011</v>
      </c>
      <c r="M25" s="695"/>
      <c r="N25" s="693"/>
      <c r="O25" s="549"/>
      <c r="P25" s="455"/>
      <c r="Q25" s="463"/>
      <c r="R25" s="455"/>
      <c r="S25" s="485"/>
      <c r="T25" s="650"/>
      <c r="U25" s="671"/>
      <c r="V25" s="463"/>
      <c r="W25" s="455"/>
      <c r="X25" s="463"/>
      <c r="Y25" s="463"/>
      <c r="Z25" s="463"/>
      <c r="AA25" s="601"/>
      <c r="AB25" s="589"/>
      <c r="AC25" s="592"/>
      <c r="AD25" s="595"/>
      <c r="AE25" s="631"/>
      <c r="AF25" s="598"/>
      <c r="AG25" s="589"/>
      <c r="AH25" s="647"/>
      <c r="AI25" s="595"/>
      <c r="AJ25" s="631"/>
      <c r="AK25" s="598"/>
      <c r="AL25" s="589"/>
      <c r="AM25" s="592"/>
      <c r="AN25" s="595"/>
      <c r="AO25" s="598"/>
      <c r="AP25" s="589"/>
      <c r="AQ25" s="592"/>
      <c r="AR25" s="595"/>
      <c r="AS25" s="631"/>
      <c r="AT25" s="682"/>
      <c r="AU25" s="589"/>
      <c r="AV25" s="592"/>
      <c r="AW25" s="631"/>
      <c r="AX25" s="631"/>
      <c r="AY25" s="682"/>
      <c r="AZ25" s="589"/>
      <c r="BA25" s="682"/>
      <c r="BB25" s="701"/>
      <c r="BC25" s="598"/>
      <c r="BD25" s="601"/>
      <c r="BE25" s="604"/>
      <c r="BF25" s="679"/>
      <c r="BG25" s="430">
        <f>+BF17/41.45</f>
        <v>35860.619318827434</v>
      </c>
    </row>
    <row r="26" spans="2:91" s="409" customFormat="1" x14ac:dyDescent="0.25">
      <c r="B26" s="653"/>
      <c r="C26" s="612"/>
      <c r="D26" s="612"/>
      <c r="E26" s="614"/>
      <c r="F26" s="688"/>
      <c r="G26" s="405"/>
      <c r="H26" s="466" t="s">
        <v>58</v>
      </c>
      <c r="I26" s="407" t="s">
        <v>511</v>
      </c>
      <c r="J26" s="408">
        <f>+Cedula_MP!H24</f>
        <v>11.51</v>
      </c>
      <c r="K26" s="409">
        <f>+Cedula_MP!F24</f>
        <v>1</v>
      </c>
      <c r="L26" s="408">
        <f t="shared" si="7"/>
        <v>11.51</v>
      </c>
      <c r="M26" s="696"/>
      <c r="N26" s="693"/>
      <c r="O26" s="552"/>
      <c r="P26" s="553"/>
      <c r="Q26" s="561"/>
      <c r="R26" s="553"/>
      <c r="S26" s="555"/>
      <c r="T26" s="651"/>
      <c r="U26" s="697"/>
      <c r="V26" s="463"/>
      <c r="W26" s="455"/>
      <c r="X26" s="463"/>
      <c r="Y26" s="463"/>
      <c r="Z26" s="463"/>
      <c r="AA26" s="601"/>
      <c r="AB26" s="656"/>
      <c r="AC26" s="592"/>
      <c r="AD26" s="595"/>
      <c r="AE26" s="631"/>
      <c r="AF26" s="598"/>
      <c r="AG26" s="656"/>
      <c r="AH26" s="647"/>
      <c r="AI26" s="595"/>
      <c r="AJ26" s="631"/>
      <c r="AK26" s="598"/>
      <c r="AL26" s="656"/>
      <c r="AM26" s="592"/>
      <c r="AN26" s="595"/>
      <c r="AO26" s="598"/>
      <c r="AP26" s="656"/>
      <c r="AQ26" s="592"/>
      <c r="AR26" s="595"/>
      <c r="AS26" s="631"/>
      <c r="AT26" s="682"/>
      <c r="AU26" s="656"/>
      <c r="AV26" s="592"/>
      <c r="AW26" s="631"/>
      <c r="AX26" s="631"/>
      <c r="AY26" s="682"/>
      <c r="AZ26" s="656"/>
      <c r="BA26" s="682"/>
      <c r="BB26" s="701"/>
      <c r="BC26" s="598"/>
      <c r="BD26" s="658"/>
      <c r="BE26" s="604"/>
      <c r="BF26" s="679"/>
      <c r="BG26" s="404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</row>
    <row r="27" spans="2:91" x14ac:dyDescent="0.25">
      <c r="B27" s="653"/>
      <c r="C27" s="612"/>
      <c r="D27" s="612"/>
      <c r="E27" s="614"/>
      <c r="F27" s="688"/>
      <c r="G27" s="423" t="s">
        <v>516</v>
      </c>
      <c r="H27" s="464" t="s">
        <v>517</v>
      </c>
      <c r="I27" s="433" t="s">
        <v>524</v>
      </c>
      <c r="J27" s="425">
        <f>+Cedula_MP!H14</f>
        <v>24.81</v>
      </c>
      <c r="K27" s="426">
        <f>+Cedula_MP!F14</f>
        <v>175</v>
      </c>
      <c r="L27" s="425">
        <f>+J27*K27</f>
        <v>4341.75</v>
      </c>
      <c r="M27" s="685">
        <f>+SUM(L27:L28)*N17</f>
        <v>227524.5</v>
      </c>
      <c r="N27" s="693"/>
      <c r="O27" s="557" t="s">
        <v>470</v>
      </c>
      <c r="P27" s="558">
        <v>1</v>
      </c>
      <c r="Q27" s="559">
        <f>+Nomina!G27</f>
        <v>138.71215080555558</v>
      </c>
      <c r="R27" s="558">
        <v>2</v>
      </c>
      <c r="S27" s="560">
        <f>+Q27*R27</f>
        <v>277.42430161111116</v>
      </c>
      <c r="T27" s="684">
        <f>+S27*N17</f>
        <v>12900.230024916669</v>
      </c>
      <c r="U27" s="698">
        <f>+Costo_Primo!F15</f>
        <v>0.1932593135104678</v>
      </c>
      <c r="V27" s="463"/>
      <c r="W27" s="455"/>
      <c r="X27" s="463"/>
      <c r="Y27" s="463"/>
      <c r="Z27" s="463"/>
      <c r="AA27" s="601"/>
      <c r="AB27" s="655">
        <f>+AA17*U27</f>
        <v>7117.6795285111393</v>
      </c>
      <c r="AC27" s="592"/>
      <c r="AD27" s="595"/>
      <c r="AE27" s="631"/>
      <c r="AF27" s="598"/>
      <c r="AG27" s="655">
        <f>+AF17*U27</f>
        <v>791.43751836770139</v>
      </c>
      <c r="AH27" s="647"/>
      <c r="AI27" s="595"/>
      <c r="AJ27" s="631"/>
      <c r="AK27" s="598"/>
      <c r="AL27" s="655">
        <f>+AK17*U27</f>
        <v>239.79289751720538</v>
      </c>
      <c r="AM27" s="592"/>
      <c r="AN27" s="595"/>
      <c r="AO27" s="598"/>
      <c r="AP27" s="655">
        <f>+AO17*U27</f>
        <v>18438.090363507978</v>
      </c>
      <c r="AQ27" s="592"/>
      <c r="AR27" s="595"/>
      <c r="AS27" s="631"/>
      <c r="AT27" s="682"/>
      <c r="AU27" s="655">
        <f>+AT17*U27</f>
        <v>104.62256444829163</v>
      </c>
      <c r="AV27" s="592"/>
      <c r="AW27" s="631"/>
      <c r="AX27" s="631"/>
      <c r="AY27" s="682"/>
      <c r="AZ27" s="655">
        <f>+AY17*U27</f>
        <v>64.919202880143644</v>
      </c>
      <c r="BA27" s="682"/>
      <c r="BB27" s="701"/>
      <c r="BC27" s="598"/>
      <c r="BD27" s="659">
        <f>+BC17*U27</f>
        <v>13100.626709683416</v>
      </c>
      <c r="BE27" s="604"/>
      <c r="BF27" s="679"/>
      <c r="BG27" s="404"/>
    </row>
    <row r="28" spans="2:91" x14ac:dyDescent="0.25">
      <c r="B28" s="653"/>
      <c r="C28" s="612"/>
      <c r="D28" s="612"/>
      <c r="E28" s="614"/>
      <c r="F28" s="688"/>
      <c r="G28" s="405"/>
      <c r="H28" s="466" t="s">
        <v>518</v>
      </c>
      <c r="I28" s="407" t="s">
        <v>511</v>
      </c>
      <c r="J28" s="408">
        <f>+Cedula_MP!H15</f>
        <v>22.05</v>
      </c>
      <c r="K28" s="409">
        <f>+Cedula_MP!F15</f>
        <v>25</v>
      </c>
      <c r="L28" s="408">
        <f t="shared" ref="L28" si="8">+J28*K28</f>
        <v>551.25</v>
      </c>
      <c r="M28" s="696"/>
      <c r="N28" s="693"/>
      <c r="O28" s="552"/>
      <c r="P28" s="553"/>
      <c r="Q28" s="561"/>
      <c r="R28" s="553"/>
      <c r="S28" s="555"/>
      <c r="T28" s="651"/>
      <c r="U28" s="697"/>
      <c r="V28" s="463"/>
      <c r="W28" s="455"/>
      <c r="X28" s="463"/>
      <c r="Y28" s="463"/>
      <c r="Z28" s="463"/>
      <c r="AA28" s="601"/>
      <c r="AB28" s="656"/>
      <c r="AC28" s="592"/>
      <c r="AD28" s="595"/>
      <c r="AE28" s="631"/>
      <c r="AF28" s="598"/>
      <c r="AG28" s="656"/>
      <c r="AH28" s="647"/>
      <c r="AI28" s="595"/>
      <c r="AJ28" s="631"/>
      <c r="AK28" s="598"/>
      <c r="AL28" s="656"/>
      <c r="AM28" s="592"/>
      <c r="AN28" s="595"/>
      <c r="AO28" s="598"/>
      <c r="AP28" s="656"/>
      <c r="AQ28" s="592"/>
      <c r="AR28" s="595"/>
      <c r="AS28" s="631"/>
      <c r="AT28" s="682"/>
      <c r="AU28" s="656"/>
      <c r="AV28" s="592"/>
      <c r="AW28" s="631"/>
      <c r="AX28" s="631"/>
      <c r="AY28" s="682"/>
      <c r="AZ28" s="656"/>
      <c r="BA28" s="682"/>
      <c r="BB28" s="701"/>
      <c r="BC28" s="598"/>
      <c r="BD28" s="658"/>
      <c r="BE28" s="604"/>
      <c r="BF28" s="679"/>
      <c r="BG28" s="404"/>
    </row>
    <row r="29" spans="2:91" ht="27" customHeight="1" x14ac:dyDescent="0.25">
      <c r="B29" s="653"/>
      <c r="C29" s="612"/>
      <c r="D29" s="612"/>
      <c r="E29" s="614"/>
      <c r="F29" s="688"/>
      <c r="G29" s="467" t="s">
        <v>519</v>
      </c>
      <c r="H29" s="468" t="s">
        <v>520</v>
      </c>
      <c r="I29" s="411" t="s">
        <v>511</v>
      </c>
      <c r="J29" s="469">
        <f>+Cedula_MP!H16</f>
        <v>2.9</v>
      </c>
      <c r="K29" s="470">
        <f>+Cedula_MP!F16</f>
        <v>200</v>
      </c>
      <c r="L29" s="469">
        <f t="shared" ref="L29" si="9">+J29*K29</f>
        <v>580</v>
      </c>
      <c r="M29" s="556">
        <f>+SUM(L29:L29)*N17</f>
        <v>26970</v>
      </c>
      <c r="N29" s="693"/>
      <c r="O29" s="562" t="s">
        <v>470</v>
      </c>
      <c r="P29" s="563">
        <v>1</v>
      </c>
      <c r="Q29" s="564">
        <f>+Nomina!G27</f>
        <v>138.71215080555558</v>
      </c>
      <c r="R29" s="563">
        <v>2</v>
      </c>
      <c r="S29" s="565">
        <f>+Q29*R29</f>
        <v>277.42430161111116</v>
      </c>
      <c r="T29" s="471">
        <f>+S29*N17</f>
        <v>12900.230024916669</v>
      </c>
      <c r="U29" s="570">
        <f>+Costo_Primo!F16</f>
        <v>0.207404075536089</v>
      </c>
      <c r="V29" s="463"/>
      <c r="W29" s="455"/>
      <c r="X29" s="463"/>
      <c r="Y29" s="463"/>
      <c r="Z29" s="463"/>
      <c r="AA29" s="601"/>
      <c r="AB29" s="472">
        <f>+AA17*U29</f>
        <v>7638.6266501616192</v>
      </c>
      <c r="AC29" s="592"/>
      <c r="AD29" s="595"/>
      <c r="AE29" s="631"/>
      <c r="AF29" s="598"/>
      <c r="AG29" s="472">
        <f>+AF17*U29</f>
        <v>849.36329256255272</v>
      </c>
      <c r="AH29" s="647"/>
      <c r="AI29" s="595"/>
      <c r="AJ29" s="631"/>
      <c r="AK29" s="598"/>
      <c r="AL29" s="472">
        <f>+AK17*U29</f>
        <v>257.34347973342193</v>
      </c>
      <c r="AM29" s="592"/>
      <c r="AN29" s="595"/>
      <c r="AO29" s="598"/>
      <c r="AP29" s="472">
        <f>+AO17*U29</f>
        <v>19787.584965663817</v>
      </c>
      <c r="AQ29" s="592"/>
      <c r="AR29" s="595"/>
      <c r="AS29" s="631"/>
      <c r="AT29" s="682"/>
      <c r="AU29" s="472">
        <f>+AT17*U29</f>
        <v>112.27995104327789</v>
      </c>
      <c r="AV29" s="592"/>
      <c r="AW29" s="631"/>
      <c r="AX29" s="631"/>
      <c r="AY29" s="682"/>
      <c r="AZ29" s="472">
        <f>+AY17*U29</f>
        <v>69.670677253889252</v>
      </c>
      <c r="BA29" s="682"/>
      <c r="BB29" s="701"/>
      <c r="BC29" s="598"/>
      <c r="BD29" s="473">
        <f>+BC17*U29</f>
        <v>14059.469229761662</v>
      </c>
      <c r="BE29" s="604"/>
      <c r="BF29" s="679"/>
      <c r="BG29" s="404"/>
    </row>
    <row r="30" spans="2:91" x14ac:dyDescent="0.25">
      <c r="B30" s="653"/>
      <c r="C30" s="612"/>
      <c r="D30" s="612"/>
      <c r="E30" s="614"/>
      <c r="F30" s="688"/>
      <c r="G30" s="690" t="s">
        <v>521</v>
      </c>
      <c r="H30" s="426" t="s">
        <v>522</v>
      </c>
      <c r="I30" s="433" t="s">
        <v>511</v>
      </c>
      <c r="J30" s="474">
        <f>+Cedula_MP!H25</f>
        <v>5.6</v>
      </c>
      <c r="K30" s="426">
        <f>+Cedula_MP!F25</f>
        <v>10</v>
      </c>
      <c r="L30" s="425">
        <f>+J30*K30</f>
        <v>56</v>
      </c>
      <c r="M30" s="685">
        <f>+SUM(L30+L31)*N17</f>
        <v>5247.5249999999996</v>
      </c>
      <c r="N30" s="693"/>
      <c r="O30" s="557" t="s">
        <v>470</v>
      </c>
      <c r="P30" s="558">
        <v>1</v>
      </c>
      <c r="Q30" s="559">
        <f>+Nomina!G27</f>
        <v>138.71215080555558</v>
      </c>
      <c r="R30" s="558">
        <v>2</v>
      </c>
      <c r="S30" s="560">
        <f>+Q30*R30</f>
        <v>277.42430161111116</v>
      </c>
      <c r="T30" s="684">
        <f>+S30*N17</f>
        <v>12900.230024916669</v>
      </c>
      <c r="U30" s="698">
        <f>+Costo_Primo!F17</f>
        <v>0.40607729744297538</v>
      </c>
      <c r="V30" s="463"/>
      <c r="W30" s="455"/>
      <c r="X30" s="463"/>
      <c r="Y30" s="463"/>
      <c r="Z30" s="463"/>
      <c r="AA30" s="601"/>
      <c r="AB30" s="655">
        <f>+AA17*U30</f>
        <v>14955.698716411107</v>
      </c>
      <c r="AC30" s="592"/>
      <c r="AD30" s="595"/>
      <c r="AE30" s="631"/>
      <c r="AF30" s="598"/>
      <c r="AG30" s="655">
        <f>+AF17*U30</f>
        <v>1662.9719039973911</v>
      </c>
      <c r="AH30" s="647"/>
      <c r="AI30" s="595"/>
      <c r="AJ30" s="631"/>
      <c r="AK30" s="598"/>
      <c r="AL30" s="655">
        <f>+AK17*U30</f>
        <v>503.85386350103573</v>
      </c>
      <c r="AM30" s="592"/>
      <c r="AN30" s="595"/>
      <c r="AO30" s="598"/>
      <c r="AP30" s="655">
        <f>+AO17*U30</f>
        <v>38742.194457899393</v>
      </c>
      <c r="AQ30" s="592"/>
      <c r="AR30" s="595"/>
      <c r="AS30" s="631"/>
      <c r="AT30" s="682"/>
      <c r="AU30" s="655">
        <f>+AT17*U30</f>
        <v>219.8333806065942</v>
      </c>
      <c r="AV30" s="592"/>
      <c r="AW30" s="631"/>
      <c r="AX30" s="631"/>
      <c r="AY30" s="682"/>
      <c r="AZ30" s="655">
        <f>+AY17*U30</f>
        <v>136.40850719617742</v>
      </c>
      <c r="BA30" s="682"/>
      <c r="BB30" s="701"/>
      <c r="BC30" s="598"/>
      <c r="BD30" s="659">
        <f>+BC17*U30</f>
        <v>27527.092963565519</v>
      </c>
      <c r="BE30" s="604"/>
      <c r="BF30" s="679"/>
      <c r="BG30" s="404"/>
    </row>
    <row r="31" spans="2:91" s="409" customFormat="1" ht="30.75" customHeight="1" thickBot="1" x14ac:dyDescent="0.3">
      <c r="B31" s="654"/>
      <c r="C31" s="636"/>
      <c r="D31" s="636"/>
      <c r="E31" s="642"/>
      <c r="F31" s="689"/>
      <c r="G31" s="691"/>
      <c r="H31" s="440" t="s">
        <v>523</v>
      </c>
      <c r="I31" s="438" t="s">
        <v>524</v>
      </c>
      <c r="J31" s="475">
        <f>+Cedula_MP!H26</f>
        <v>3.79</v>
      </c>
      <c r="K31" s="440">
        <f>+Cedula_MP!F26</f>
        <v>15</v>
      </c>
      <c r="L31" s="439">
        <f>+J31*K31</f>
        <v>56.85</v>
      </c>
      <c r="M31" s="686"/>
      <c r="N31" s="694"/>
      <c r="O31" s="566"/>
      <c r="P31" s="477"/>
      <c r="Q31" s="476"/>
      <c r="R31" s="477"/>
      <c r="S31" s="538"/>
      <c r="T31" s="657"/>
      <c r="U31" s="672"/>
      <c r="V31" s="476"/>
      <c r="W31" s="477"/>
      <c r="X31" s="476"/>
      <c r="Y31" s="476"/>
      <c r="Z31" s="476"/>
      <c r="AA31" s="602"/>
      <c r="AB31" s="590"/>
      <c r="AC31" s="593"/>
      <c r="AD31" s="596"/>
      <c r="AE31" s="632"/>
      <c r="AF31" s="599"/>
      <c r="AG31" s="590"/>
      <c r="AH31" s="648"/>
      <c r="AI31" s="596"/>
      <c r="AJ31" s="632"/>
      <c r="AK31" s="599"/>
      <c r="AL31" s="590"/>
      <c r="AM31" s="593"/>
      <c r="AN31" s="596"/>
      <c r="AO31" s="599"/>
      <c r="AP31" s="590"/>
      <c r="AQ31" s="593"/>
      <c r="AR31" s="596"/>
      <c r="AS31" s="632"/>
      <c r="AT31" s="683"/>
      <c r="AU31" s="590"/>
      <c r="AV31" s="593"/>
      <c r="AW31" s="632"/>
      <c r="AX31" s="632"/>
      <c r="AY31" s="683"/>
      <c r="AZ31" s="590"/>
      <c r="BA31" s="683"/>
      <c r="BB31" s="702"/>
      <c r="BC31" s="599"/>
      <c r="BD31" s="602"/>
      <c r="BE31" s="605"/>
      <c r="BF31" s="680"/>
      <c r="BG31" s="44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</row>
    <row r="32" spans="2:91" ht="16.5" thickBot="1" x14ac:dyDescent="0.3">
      <c r="U32" s="185"/>
      <c r="AV32" s="186"/>
      <c r="AX32" s="186"/>
      <c r="AY32" s="186"/>
    </row>
    <row r="33" spans="2:59" x14ac:dyDescent="0.25">
      <c r="B33" s="609" t="s">
        <v>525</v>
      </c>
      <c r="C33" s="611" t="s">
        <v>11</v>
      </c>
      <c r="D33" s="611" t="s">
        <v>526</v>
      </c>
      <c r="E33" s="613" t="s">
        <v>12</v>
      </c>
      <c r="F33" s="606" t="s">
        <v>527</v>
      </c>
      <c r="G33" s="479" t="s">
        <v>528</v>
      </c>
      <c r="H33" s="388" t="s">
        <v>529</v>
      </c>
      <c r="I33" s="386" t="s">
        <v>511</v>
      </c>
      <c r="J33" s="387">
        <f>+Cedula_MP!H30</f>
        <v>25.61</v>
      </c>
      <c r="K33" s="388">
        <f>+Cedula_MP!F30</f>
        <v>250</v>
      </c>
      <c r="L33" s="387">
        <f>+K33*J33</f>
        <v>6402.5</v>
      </c>
      <c r="M33" s="389">
        <f>+L33*N33</f>
        <v>355338.75</v>
      </c>
      <c r="N33" s="699">
        <f>+Objetos_Costo_Variables!E26</f>
        <v>55.5</v>
      </c>
      <c r="O33" s="385" t="s">
        <v>21</v>
      </c>
      <c r="P33" s="386">
        <v>1</v>
      </c>
      <c r="Q33" s="390">
        <f>+Nomina!G25</f>
        <v>246.45479302777775</v>
      </c>
      <c r="R33" s="386">
        <v>8</v>
      </c>
      <c r="S33" s="391">
        <f>+Q33*R33</f>
        <v>1971.638344222222</v>
      </c>
      <c r="T33" s="649">
        <f>+SUM(S33:S35)*N33</f>
        <v>171014.123062</v>
      </c>
      <c r="U33" s="670">
        <f>+Costo_Primo!F22</f>
        <v>0.84581717561740766</v>
      </c>
      <c r="V33" s="480" t="s">
        <v>37</v>
      </c>
      <c r="W33" s="449">
        <v>3</v>
      </c>
      <c r="X33" s="450">
        <f>+Nomina!G28</f>
        <v>416.13645241666666</v>
      </c>
      <c r="Y33" s="451">
        <v>0.05</v>
      </c>
      <c r="Z33" s="481">
        <f>+X33*(1+Y33)</f>
        <v>436.94327503750003</v>
      </c>
      <c r="AA33" s="600">
        <f>+SUM(Z33:Z35)*N33</f>
        <v>43958.010441065002</v>
      </c>
      <c r="AB33" s="588">
        <f>+AA33*U33</f>
        <v>37180.440237022114</v>
      </c>
      <c r="AC33" s="591">
        <f>+CIF_Servicios_Publicos!K12</f>
        <v>5630930.083333333</v>
      </c>
      <c r="AD33" s="594" t="s">
        <v>546</v>
      </c>
      <c r="AE33" s="630">
        <f>+CIF_Servicios_Publicos!M12</f>
        <v>57024.701635671765</v>
      </c>
      <c r="AF33" s="597">
        <f>+(AE33/Objetos_Costo_Variables!I12)*Matriz_Costeo_ABC!N33</f>
        <v>4887.8315687718659</v>
      </c>
      <c r="AG33" s="588">
        <f>+AF33*U33</f>
        <v>4134.2118923922226</v>
      </c>
      <c r="AH33" s="646">
        <f>+CIF_Servicios_Publicos!K11</f>
        <v>1706081.6666666667</v>
      </c>
      <c r="AI33" s="594" t="s">
        <v>546</v>
      </c>
      <c r="AJ33" s="630">
        <f>+CIF_Servicios_Publicos!M11</f>
        <v>17277.571656539621</v>
      </c>
      <c r="AK33" s="597">
        <f>+(AJ33/Objetos_Costo_Variables!I12)*Matriz_Costeo_ABC!N33</f>
        <v>1480.9347134176819</v>
      </c>
      <c r="AL33" s="588">
        <f>+AK33*U33</f>
        <v>1252.6000165767186</v>
      </c>
      <c r="AM33" s="591">
        <f>+CIF_Servicios_Publicos!K16</f>
        <v>1328502.3483333334</v>
      </c>
      <c r="AN33" s="594" t="s">
        <v>546</v>
      </c>
      <c r="AO33" s="597">
        <f>+(AM33/Objetos_Costo_Variables!I12)*Matriz_Costeo_ABC!N33</f>
        <v>113871.62985714288</v>
      </c>
      <c r="AP33" s="588">
        <f>+AO33*U33</f>
        <v>96314.580348719464</v>
      </c>
      <c r="AQ33" s="189"/>
      <c r="AR33" s="189"/>
      <c r="AS33" s="189"/>
      <c r="AT33" s="452"/>
      <c r="AU33" s="588">
        <f>+AT38*U33</f>
        <v>546.51421005005352</v>
      </c>
      <c r="AV33" s="591">
        <f>+CIF_Servicios_Publicos!K20</f>
        <v>461888</v>
      </c>
      <c r="AW33" s="594" t="s">
        <v>546</v>
      </c>
      <c r="AX33" s="630">
        <f>+CIF_Servicios_Publicos!M20</f>
        <v>4677.5621432517037</v>
      </c>
      <c r="AY33" s="597">
        <f>+(AX33/Objetos_Costo_Variables!I12)*Matriz_Costeo_ABC!N33</f>
        <v>400.93389799300314</v>
      </c>
      <c r="AZ33" s="588">
        <f>+AY33*U33</f>
        <v>339.11677720971977</v>
      </c>
      <c r="BA33" s="591">
        <f>+CIF_Depreciacion!E162</f>
        <v>944000</v>
      </c>
      <c r="BB33" s="189"/>
      <c r="BC33" s="597">
        <f>+BA33*BB38</f>
        <v>80908.037989344448</v>
      </c>
      <c r="BD33" s="600">
        <f>+BC33*U33</f>
        <v>68433.408176893237</v>
      </c>
      <c r="BE33" s="603">
        <f>+AF33+AK33+AO33+BC33</f>
        <v>201148.43412867689</v>
      </c>
      <c r="BF33" s="678">
        <f>+M33+M36+M41+T33+T36+BG33+T41+AA33+BE33</f>
        <v>867407.44321970013</v>
      </c>
      <c r="BG33" s="482"/>
    </row>
    <row r="34" spans="2:59" x14ac:dyDescent="0.25">
      <c r="B34" s="610"/>
      <c r="C34" s="612"/>
      <c r="D34" s="612"/>
      <c r="E34" s="614"/>
      <c r="F34" s="607"/>
      <c r="G34" s="483"/>
      <c r="H34" s="185" t="s">
        <v>530</v>
      </c>
      <c r="I34" s="366" t="s">
        <v>531</v>
      </c>
      <c r="J34" s="397">
        <f>+Cedula_MP!H29</f>
        <v>510.6</v>
      </c>
      <c r="K34" s="185">
        <f>+Cedula_MP!F29</f>
        <v>1</v>
      </c>
      <c r="L34" s="397">
        <f>+J34*K34</f>
        <v>510.6</v>
      </c>
      <c r="M34" s="398"/>
      <c r="N34" s="616"/>
      <c r="O34" s="396" t="s">
        <v>22</v>
      </c>
      <c r="P34" s="366">
        <v>1</v>
      </c>
      <c r="Q34" s="399">
        <f>+Nomina!G27</f>
        <v>138.71215080555558</v>
      </c>
      <c r="R34" s="366">
        <v>8</v>
      </c>
      <c r="S34" s="400">
        <f t="shared" ref="S34" si="10">+Q34*R34</f>
        <v>1109.6972064444446</v>
      </c>
      <c r="T34" s="650"/>
      <c r="U34" s="671"/>
      <c r="V34" s="484" t="s">
        <v>474</v>
      </c>
      <c r="W34" s="455">
        <v>1</v>
      </c>
      <c r="X34" s="456">
        <f>+Nomina!G29</f>
        <v>176.77067984999996</v>
      </c>
      <c r="Y34" s="457">
        <v>0.05</v>
      </c>
      <c r="Z34" s="485">
        <f t="shared" ref="Z34:Z35" si="11">+X34*(1+Y34)</f>
        <v>185.60921384249997</v>
      </c>
      <c r="AA34" s="601"/>
      <c r="AB34" s="589"/>
      <c r="AC34" s="592"/>
      <c r="AD34" s="595"/>
      <c r="AE34" s="631"/>
      <c r="AF34" s="598"/>
      <c r="AG34" s="589"/>
      <c r="AH34" s="647"/>
      <c r="AI34" s="595"/>
      <c r="AJ34" s="631"/>
      <c r="AK34" s="598"/>
      <c r="AL34" s="589"/>
      <c r="AM34" s="592"/>
      <c r="AN34" s="595"/>
      <c r="AO34" s="598"/>
      <c r="AP34" s="589"/>
      <c r="AQ34" s="190"/>
      <c r="AR34" s="190"/>
      <c r="AS34" s="190"/>
      <c r="AT34" s="458"/>
      <c r="AU34" s="589"/>
      <c r="AV34" s="592"/>
      <c r="AW34" s="595"/>
      <c r="AX34" s="631"/>
      <c r="AY34" s="598"/>
      <c r="AZ34" s="589"/>
      <c r="BA34" s="592"/>
      <c r="BB34" s="190"/>
      <c r="BC34" s="598"/>
      <c r="BD34" s="601"/>
      <c r="BE34" s="604"/>
      <c r="BF34" s="679"/>
      <c r="BG34" s="486"/>
    </row>
    <row r="35" spans="2:59" x14ac:dyDescent="0.25">
      <c r="B35" s="610"/>
      <c r="C35" s="612"/>
      <c r="D35" s="612"/>
      <c r="E35" s="614"/>
      <c r="F35" s="607"/>
      <c r="G35" s="487"/>
      <c r="H35" s="409"/>
      <c r="I35" s="407"/>
      <c r="J35" s="408"/>
      <c r="K35" s="409"/>
      <c r="L35" s="408"/>
      <c r="M35" s="410"/>
      <c r="N35" s="616"/>
      <c r="O35" s="406"/>
      <c r="P35" s="407"/>
      <c r="Q35" s="460"/>
      <c r="R35" s="407"/>
      <c r="S35" s="461"/>
      <c r="T35" s="651"/>
      <c r="U35" s="697"/>
      <c r="V35" s="484" t="s">
        <v>39</v>
      </c>
      <c r="W35" s="455">
        <v>1</v>
      </c>
      <c r="X35" s="456">
        <f>+Nomina!G30</f>
        <v>161.41308122222225</v>
      </c>
      <c r="Y35" s="457">
        <v>0.05</v>
      </c>
      <c r="Z35" s="485">
        <f t="shared" si="11"/>
        <v>169.48373528333337</v>
      </c>
      <c r="AA35" s="601"/>
      <c r="AB35" s="656"/>
      <c r="AC35" s="592"/>
      <c r="AD35" s="595"/>
      <c r="AE35" s="631"/>
      <c r="AF35" s="598"/>
      <c r="AG35" s="656"/>
      <c r="AH35" s="647"/>
      <c r="AI35" s="595"/>
      <c r="AJ35" s="631"/>
      <c r="AK35" s="598"/>
      <c r="AL35" s="656"/>
      <c r="AM35" s="592"/>
      <c r="AN35" s="595"/>
      <c r="AO35" s="598"/>
      <c r="AP35" s="656"/>
      <c r="AQ35" s="190"/>
      <c r="AR35" s="190"/>
      <c r="AS35" s="190"/>
      <c r="AT35" s="458"/>
      <c r="AU35" s="656"/>
      <c r="AV35" s="592"/>
      <c r="AW35" s="595"/>
      <c r="AX35" s="631"/>
      <c r="AY35" s="598"/>
      <c r="AZ35" s="656"/>
      <c r="BA35" s="592"/>
      <c r="BB35" s="190"/>
      <c r="BC35" s="598"/>
      <c r="BD35" s="658"/>
      <c r="BE35" s="604"/>
      <c r="BF35" s="679"/>
      <c r="BG35" s="486"/>
    </row>
    <row r="36" spans="2:59" x14ac:dyDescent="0.25">
      <c r="B36" s="610"/>
      <c r="C36" s="612"/>
      <c r="D36" s="612"/>
      <c r="E36" s="614"/>
      <c r="F36" s="607"/>
      <c r="G36" s="423" t="s">
        <v>532</v>
      </c>
      <c r="H36" s="464" t="s">
        <v>533</v>
      </c>
      <c r="I36" s="366" t="s">
        <v>511</v>
      </c>
      <c r="J36" s="425">
        <f>+Cedula_MP!H31</f>
        <v>9.32</v>
      </c>
      <c r="K36" s="426">
        <f>+Cedula_MP!F31</f>
        <v>62.5</v>
      </c>
      <c r="L36" s="425">
        <f>+J36*K36</f>
        <v>582.5</v>
      </c>
      <c r="M36" s="544">
        <f>+SUM(L36:L40)*N33</f>
        <v>32328.75</v>
      </c>
      <c r="N36" s="616"/>
      <c r="O36" s="424" t="s">
        <v>22</v>
      </c>
      <c r="P36" s="433">
        <v>1</v>
      </c>
      <c r="Q36" s="434">
        <f>+Nomina!G27</f>
        <v>138.71215080555558</v>
      </c>
      <c r="R36" s="433">
        <v>5</v>
      </c>
      <c r="S36" s="435">
        <f>+Q36*R36</f>
        <v>693.56075402777788</v>
      </c>
      <c r="T36" s="684">
        <f>+SUM(S36:S37)*N33</f>
        <v>38492.621848541676</v>
      </c>
      <c r="U36" s="698">
        <f>+Costo_Primo!F23</f>
        <v>0.11380565353773181</v>
      </c>
      <c r="V36" s="484"/>
      <c r="W36" s="465"/>
      <c r="X36" s="454"/>
      <c r="Y36" s="454"/>
      <c r="Z36" s="488"/>
      <c r="AA36" s="601"/>
      <c r="AB36" s="655">
        <f>+AA33*U36</f>
        <v>5002.670106463841</v>
      </c>
      <c r="AC36" s="592"/>
      <c r="AD36" s="595"/>
      <c r="AE36" s="631"/>
      <c r="AF36" s="598"/>
      <c r="AG36" s="655">
        <f>+AF33*U36</f>
        <v>556.26286606643907</v>
      </c>
      <c r="AH36" s="647"/>
      <c r="AI36" s="595"/>
      <c r="AJ36" s="631"/>
      <c r="AK36" s="598"/>
      <c r="AL36" s="655">
        <f>+AK33*U36</f>
        <v>168.53874290721285</v>
      </c>
      <c r="AM36" s="592"/>
      <c r="AN36" s="595"/>
      <c r="AO36" s="598"/>
      <c r="AP36" s="655">
        <f>+AO33*U36</f>
        <v>12959.23525529884</v>
      </c>
      <c r="AQ36" s="190"/>
      <c r="AR36" s="190"/>
      <c r="AS36" s="190"/>
      <c r="AT36" s="458"/>
      <c r="AU36" s="655">
        <f>+AT38*U36</f>
        <v>73.534102445960684</v>
      </c>
      <c r="AV36" s="592"/>
      <c r="AW36" s="595"/>
      <c r="AX36" s="631"/>
      <c r="AY36" s="598"/>
      <c r="AZ36" s="655">
        <f>+AY33*U36</f>
        <v>45.628544286524026</v>
      </c>
      <c r="BA36" s="592"/>
      <c r="BB36" s="190"/>
      <c r="BC36" s="598"/>
      <c r="BD36" s="659">
        <f>+BC33*U36</f>
        <v>9207.7921398329781</v>
      </c>
      <c r="BE36" s="604"/>
      <c r="BF36" s="679"/>
      <c r="BG36" s="486"/>
    </row>
    <row r="37" spans="2:59" x14ac:dyDescent="0.25">
      <c r="B37" s="610"/>
      <c r="C37" s="612"/>
      <c r="D37" s="612"/>
      <c r="E37" s="614"/>
      <c r="F37" s="607"/>
      <c r="G37" s="395"/>
      <c r="H37" s="462"/>
      <c r="J37" s="397"/>
      <c r="L37" s="397"/>
      <c r="M37" s="398"/>
      <c r="N37" s="616"/>
      <c r="O37" s="396"/>
      <c r="Q37" s="399"/>
      <c r="S37" s="400"/>
      <c r="T37" s="650"/>
      <c r="U37" s="671"/>
      <c r="V37" s="484"/>
      <c r="W37" s="465"/>
      <c r="X37" s="454"/>
      <c r="Y37" s="454"/>
      <c r="Z37" s="488"/>
      <c r="AA37" s="601"/>
      <c r="AB37" s="589"/>
      <c r="AC37" s="592"/>
      <c r="AD37" s="595"/>
      <c r="AE37" s="631"/>
      <c r="AF37" s="598"/>
      <c r="AG37" s="589"/>
      <c r="AH37" s="647"/>
      <c r="AI37" s="595"/>
      <c r="AJ37" s="631"/>
      <c r="AK37" s="598"/>
      <c r="AL37" s="589"/>
      <c r="AM37" s="592"/>
      <c r="AN37" s="595"/>
      <c r="AO37" s="598"/>
      <c r="AP37" s="589"/>
      <c r="AQ37" s="190"/>
      <c r="AR37" s="190"/>
      <c r="AS37" s="190"/>
      <c r="AT37" s="458"/>
      <c r="AU37" s="589"/>
      <c r="AV37" s="592"/>
      <c r="AW37" s="595"/>
      <c r="AX37" s="631"/>
      <c r="AY37" s="598"/>
      <c r="AZ37" s="589"/>
      <c r="BA37" s="592"/>
      <c r="BB37" s="190"/>
      <c r="BC37" s="598"/>
      <c r="BD37" s="601"/>
      <c r="BE37" s="604"/>
      <c r="BF37" s="679"/>
      <c r="BG37" s="486"/>
    </row>
    <row r="38" spans="2:59" x14ac:dyDescent="0.25">
      <c r="B38" s="610"/>
      <c r="C38" s="612"/>
      <c r="D38" s="612"/>
      <c r="E38" s="614"/>
      <c r="F38" s="607"/>
      <c r="G38" s="395"/>
      <c r="H38" s="462"/>
      <c r="J38" s="397"/>
      <c r="L38" s="397"/>
      <c r="M38" s="398"/>
      <c r="N38" s="616"/>
      <c r="O38" s="396"/>
      <c r="Q38" s="399"/>
      <c r="S38" s="400"/>
      <c r="T38" s="650"/>
      <c r="U38" s="671"/>
      <c r="V38" s="489"/>
      <c r="W38" s="455"/>
      <c r="X38" s="463"/>
      <c r="Y38" s="463"/>
      <c r="Z38" s="490"/>
      <c r="AA38" s="601"/>
      <c r="AB38" s="589"/>
      <c r="AC38" s="592"/>
      <c r="AD38" s="595"/>
      <c r="AE38" s="631"/>
      <c r="AF38" s="598"/>
      <c r="AG38" s="589"/>
      <c r="AH38" s="647"/>
      <c r="AI38" s="595"/>
      <c r="AJ38" s="631"/>
      <c r="AK38" s="598"/>
      <c r="AL38" s="589"/>
      <c r="AM38" s="592"/>
      <c r="AN38" s="595"/>
      <c r="AO38" s="598"/>
      <c r="AP38" s="589"/>
      <c r="AQ38" s="190">
        <f>+CIF_Servicios_Publicos!K13</f>
        <v>744370</v>
      </c>
      <c r="AR38" s="190" t="s">
        <v>546</v>
      </c>
      <c r="AS38" s="190">
        <f>+CIF_Servicios_Publicos!M13</f>
        <v>7538.2710366415031</v>
      </c>
      <c r="AT38" s="458">
        <f>+(AS38/Objetos_Costo_Variables!I12)*Matriz_Costeo_ABC!N33</f>
        <v>646.13751742641455</v>
      </c>
      <c r="AU38" s="589"/>
      <c r="AV38" s="592"/>
      <c r="AW38" s="595"/>
      <c r="AX38" s="631"/>
      <c r="AY38" s="598"/>
      <c r="AZ38" s="589"/>
      <c r="BA38" s="592"/>
      <c r="BB38" s="403">
        <f>+CIF_Depreciacion!L156</f>
        <v>8.5707667361593701E-2</v>
      </c>
      <c r="BC38" s="598"/>
      <c r="BD38" s="601"/>
      <c r="BE38" s="604"/>
      <c r="BF38" s="679"/>
      <c r="BG38" s="491">
        <f>+BF33/71.75</f>
        <v>12089.302344525437</v>
      </c>
    </row>
    <row r="39" spans="2:59" x14ac:dyDescent="0.25">
      <c r="B39" s="610"/>
      <c r="C39" s="612"/>
      <c r="D39" s="612"/>
      <c r="E39" s="614"/>
      <c r="F39" s="607"/>
      <c r="G39" s="395"/>
      <c r="H39" s="462"/>
      <c r="J39" s="397"/>
      <c r="L39" s="397"/>
      <c r="M39" s="398"/>
      <c r="N39" s="616"/>
      <c r="O39" s="396"/>
      <c r="Q39" s="399"/>
      <c r="S39" s="400"/>
      <c r="T39" s="650"/>
      <c r="U39" s="671"/>
      <c r="V39" s="489"/>
      <c r="W39" s="455"/>
      <c r="X39" s="463"/>
      <c r="Y39" s="463"/>
      <c r="Z39" s="490"/>
      <c r="AA39" s="601"/>
      <c r="AB39" s="589"/>
      <c r="AC39" s="592"/>
      <c r="AD39" s="595"/>
      <c r="AE39" s="631"/>
      <c r="AF39" s="598"/>
      <c r="AG39" s="589"/>
      <c r="AH39" s="647"/>
      <c r="AI39" s="595"/>
      <c r="AJ39" s="631"/>
      <c r="AK39" s="598"/>
      <c r="AL39" s="589"/>
      <c r="AM39" s="592"/>
      <c r="AN39" s="595"/>
      <c r="AO39" s="598"/>
      <c r="AP39" s="589"/>
      <c r="AQ39" s="190"/>
      <c r="AR39" s="190"/>
      <c r="AS39" s="190"/>
      <c r="AT39" s="458"/>
      <c r="AU39" s="589"/>
      <c r="AV39" s="592"/>
      <c r="AW39" s="595"/>
      <c r="AX39" s="631"/>
      <c r="AY39" s="598"/>
      <c r="AZ39" s="589"/>
      <c r="BA39" s="592"/>
      <c r="BB39" s="190"/>
      <c r="BC39" s="598"/>
      <c r="BD39" s="601"/>
      <c r="BE39" s="604"/>
      <c r="BF39" s="679"/>
      <c r="BG39" s="486"/>
    </row>
    <row r="40" spans="2:59" x14ac:dyDescent="0.25">
      <c r="B40" s="610"/>
      <c r="C40" s="612"/>
      <c r="D40" s="612"/>
      <c r="E40" s="614"/>
      <c r="F40" s="607"/>
      <c r="G40" s="405"/>
      <c r="H40" s="466"/>
      <c r="I40" s="407"/>
      <c r="J40" s="408"/>
      <c r="K40" s="409"/>
      <c r="L40" s="408"/>
      <c r="M40" s="410"/>
      <c r="N40" s="616"/>
      <c r="O40" s="406"/>
      <c r="P40" s="407"/>
      <c r="Q40" s="460"/>
      <c r="R40" s="407"/>
      <c r="S40" s="461"/>
      <c r="T40" s="651"/>
      <c r="U40" s="697"/>
      <c r="V40" s="489"/>
      <c r="W40" s="455"/>
      <c r="X40" s="463"/>
      <c r="Y40" s="463"/>
      <c r="Z40" s="490"/>
      <c r="AA40" s="601"/>
      <c r="AB40" s="656"/>
      <c r="AC40" s="592"/>
      <c r="AD40" s="595"/>
      <c r="AE40" s="631"/>
      <c r="AF40" s="598"/>
      <c r="AG40" s="656"/>
      <c r="AH40" s="647"/>
      <c r="AI40" s="595"/>
      <c r="AJ40" s="631"/>
      <c r="AK40" s="598"/>
      <c r="AL40" s="656"/>
      <c r="AM40" s="592"/>
      <c r="AN40" s="595"/>
      <c r="AO40" s="598"/>
      <c r="AP40" s="656"/>
      <c r="AQ40" s="190"/>
      <c r="AR40" s="190"/>
      <c r="AS40" s="190"/>
      <c r="AT40" s="458"/>
      <c r="AU40" s="656"/>
      <c r="AV40" s="592"/>
      <c r="AW40" s="595"/>
      <c r="AX40" s="631"/>
      <c r="AY40" s="598"/>
      <c r="AZ40" s="656"/>
      <c r="BA40" s="592"/>
      <c r="BB40" s="190"/>
      <c r="BC40" s="598"/>
      <c r="BD40" s="658"/>
      <c r="BE40" s="604"/>
      <c r="BF40" s="679"/>
      <c r="BG40" s="486"/>
    </row>
    <row r="41" spans="2:59" x14ac:dyDescent="0.25">
      <c r="B41" s="610"/>
      <c r="C41" s="612"/>
      <c r="D41" s="612"/>
      <c r="E41" s="614"/>
      <c r="F41" s="607"/>
      <c r="G41" s="423" t="s">
        <v>57</v>
      </c>
      <c r="H41" s="464" t="s">
        <v>58</v>
      </c>
      <c r="I41" s="433" t="s">
        <v>511</v>
      </c>
      <c r="J41" s="425">
        <f>+Cedula_MP!H34</f>
        <v>11.51</v>
      </c>
      <c r="K41" s="426">
        <f>+Cedula_MP!F34</f>
        <v>1</v>
      </c>
      <c r="L41" s="425">
        <f t="shared" ref="L41:L43" si="12">+J41*K41</f>
        <v>11.51</v>
      </c>
      <c r="M41" s="644">
        <f>+SUM(L41:L43)*N33</f>
        <v>9729.7049999999999</v>
      </c>
      <c r="N41" s="616"/>
      <c r="O41" s="424" t="s">
        <v>470</v>
      </c>
      <c r="P41" s="433">
        <v>1</v>
      </c>
      <c r="Q41" s="434">
        <f>+Nomina!G27</f>
        <v>138.71215080555558</v>
      </c>
      <c r="R41" s="433">
        <v>2</v>
      </c>
      <c r="S41" s="435">
        <f>+Q41*R41</f>
        <v>277.42430161111116</v>
      </c>
      <c r="T41" s="650">
        <f>+S41*N33</f>
        <v>15397.04873941667</v>
      </c>
      <c r="U41" s="671">
        <f>+Costo_Primo!F24</f>
        <v>4.0377170844860498E-2</v>
      </c>
      <c r="V41" s="489"/>
      <c r="W41" s="455"/>
      <c r="X41" s="463"/>
      <c r="Y41" s="463"/>
      <c r="Z41" s="490"/>
      <c r="AA41" s="601"/>
      <c r="AB41" s="589">
        <f>+AA33*U41</f>
        <v>1774.9000975790432</v>
      </c>
      <c r="AC41" s="592"/>
      <c r="AD41" s="595"/>
      <c r="AE41" s="631"/>
      <c r="AF41" s="598"/>
      <c r="AG41" s="589">
        <f>+AF33*U41</f>
        <v>197.35681031320414</v>
      </c>
      <c r="AH41" s="647"/>
      <c r="AI41" s="595"/>
      <c r="AJ41" s="631"/>
      <c r="AK41" s="598"/>
      <c r="AL41" s="589">
        <f>+AK33*U41</f>
        <v>59.795953933750262</v>
      </c>
      <c r="AM41" s="592"/>
      <c r="AN41" s="595"/>
      <c r="AO41" s="598"/>
      <c r="AP41" s="589">
        <f>+AO33*U41</f>
        <v>4597.8142531245758</v>
      </c>
      <c r="AQ41" s="190"/>
      <c r="AR41" s="190"/>
      <c r="AS41" s="190"/>
      <c r="AT41" s="458"/>
      <c r="AU41" s="589">
        <f>+AT38*U41</f>
        <v>26.089204930400367</v>
      </c>
      <c r="AV41" s="592"/>
      <c r="AW41" s="595"/>
      <c r="AX41" s="631"/>
      <c r="AY41" s="598"/>
      <c r="AZ41" s="589">
        <f>+AY33*U41</f>
        <v>16.18857649675936</v>
      </c>
      <c r="BA41" s="592"/>
      <c r="BB41" s="190"/>
      <c r="BC41" s="598"/>
      <c r="BD41" s="601">
        <f>+BC33*U41</f>
        <v>3266.8376726182241</v>
      </c>
      <c r="BE41" s="604"/>
      <c r="BF41" s="679"/>
      <c r="BG41" s="486"/>
    </row>
    <row r="42" spans="2:59" x14ac:dyDescent="0.25">
      <c r="B42" s="610"/>
      <c r="C42" s="612"/>
      <c r="D42" s="612"/>
      <c r="E42" s="614"/>
      <c r="F42" s="607"/>
      <c r="G42" s="395"/>
      <c r="H42" s="462" t="s">
        <v>59</v>
      </c>
      <c r="I42" s="366" t="s">
        <v>511</v>
      </c>
      <c r="J42" s="397">
        <f>+Cedula_MP!H33</f>
        <v>4.4400000000000004</v>
      </c>
      <c r="K42" s="185">
        <f>+Cedula_MP!F33</f>
        <v>20</v>
      </c>
      <c r="L42" s="397">
        <f t="shared" si="12"/>
        <v>88.800000000000011</v>
      </c>
      <c r="M42" s="644"/>
      <c r="N42" s="616"/>
      <c r="O42" s="396"/>
      <c r="S42" s="400"/>
      <c r="T42" s="650"/>
      <c r="U42" s="671"/>
      <c r="V42" s="489"/>
      <c r="W42" s="455"/>
      <c r="X42" s="463"/>
      <c r="Y42" s="463"/>
      <c r="Z42" s="490"/>
      <c r="AA42" s="601"/>
      <c r="AB42" s="589"/>
      <c r="AC42" s="592"/>
      <c r="AD42" s="595"/>
      <c r="AE42" s="631"/>
      <c r="AF42" s="598"/>
      <c r="AG42" s="589"/>
      <c r="AH42" s="647"/>
      <c r="AI42" s="595"/>
      <c r="AJ42" s="631"/>
      <c r="AK42" s="598"/>
      <c r="AL42" s="589"/>
      <c r="AM42" s="592"/>
      <c r="AN42" s="595"/>
      <c r="AO42" s="598"/>
      <c r="AP42" s="589"/>
      <c r="AQ42" s="190"/>
      <c r="AR42" s="190"/>
      <c r="AS42" s="190"/>
      <c r="AT42" s="458"/>
      <c r="AU42" s="589"/>
      <c r="AV42" s="592"/>
      <c r="AW42" s="595"/>
      <c r="AX42" s="631"/>
      <c r="AY42" s="598"/>
      <c r="AZ42" s="589"/>
      <c r="BA42" s="592"/>
      <c r="BB42" s="190"/>
      <c r="BC42" s="598"/>
      <c r="BD42" s="601"/>
      <c r="BE42" s="604"/>
      <c r="BF42" s="679"/>
      <c r="BG42" s="486"/>
    </row>
    <row r="43" spans="2:59" ht="16.5" thickBot="1" x14ac:dyDescent="0.3">
      <c r="B43" s="637"/>
      <c r="C43" s="636"/>
      <c r="D43" s="636"/>
      <c r="E43" s="642"/>
      <c r="F43" s="608"/>
      <c r="G43" s="436"/>
      <c r="H43" s="492" t="s">
        <v>98</v>
      </c>
      <c r="I43" s="438" t="s">
        <v>511</v>
      </c>
      <c r="J43" s="439">
        <f>+Cedula_MP!H32</f>
        <v>7.5</v>
      </c>
      <c r="K43" s="440">
        <f>+Cedula_MP!F32</f>
        <v>10</v>
      </c>
      <c r="L43" s="439">
        <f t="shared" si="12"/>
        <v>75</v>
      </c>
      <c r="M43" s="645"/>
      <c r="N43" s="617"/>
      <c r="O43" s="437"/>
      <c r="P43" s="438"/>
      <c r="Q43" s="440"/>
      <c r="R43" s="438"/>
      <c r="S43" s="441"/>
      <c r="T43" s="657"/>
      <c r="U43" s="672"/>
      <c r="V43" s="493"/>
      <c r="W43" s="477"/>
      <c r="X43" s="476"/>
      <c r="Y43" s="476"/>
      <c r="Z43" s="494"/>
      <c r="AA43" s="602"/>
      <c r="AB43" s="590"/>
      <c r="AC43" s="593"/>
      <c r="AD43" s="596"/>
      <c r="AE43" s="632"/>
      <c r="AF43" s="599"/>
      <c r="AG43" s="590"/>
      <c r="AH43" s="648"/>
      <c r="AI43" s="596"/>
      <c r="AJ43" s="632"/>
      <c r="AK43" s="599"/>
      <c r="AL43" s="590"/>
      <c r="AM43" s="593"/>
      <c r="AN43" s="596"/>
      <c r="AO43" s="599"/>
      <c r="AP43" s="590"/>
      <c r="AQ43" s="191"/>
      <c r="AR43" s="191"/>
      <c r="AS43" s="191"/>
      <c r="AT43" s="478"/>
      <c r="AU43" s="590"/>
      <c r="AV43" s="593"/>
      <c r="AW43" s="596"/>
      <c r="AX43" s="632"/>
      <c r="AY43" s="599"/>
      <c r="AZ43" s="590"/>
      <c r="BA43" s="593"/>
      <c r="BB43" s="191"/>
      <c r="BC43" s="599"/>
      <c r="BD43" s="602"/>
      <c r="BE43" s="605"/>
      <c r="BF43" s="680"/>
      <c r="BG43" s="495"/>
    </row>
    <row r="44" spans="2:59" ht="16.5" thickBot="1" x14ac:dyDescent="0.3">
      <c r="U44" s="571"/>
      <c r="AV44" s="496"/>
      <c r="AW44" s="446"/>
      <c r="AX44" s="496"/>
      <c r="AY44" s="496"/>
    </row>
    <row r="45" spans="2:59" x14ac:dyDescent="0.25">
      <c r="B45" s="609" t="s">
        <v>534</v>
      </c>
      <c r="C45" s="611" t="s">
        <v>11</v>
      </c>
      <c r="D45" s="611" t="s">
        <v>535</v>
      </c>
      <c r="E45" s="613" t="s">
        <v>12</v>
      </c>
      <c r="F45" s="606" t="s">
        <v>536</v>
      </c>
      <c r="G45" s="479" t="s">
        <v>537</v>
      </c>
      <c r="H45" s="388" t="s">
        <v>538</v>
      </c>
      <c r="I45" s="386" t="s">
        <v>531</v>
      </c>
      <c r="J45" s="387">
        <f>+Cedula_MP!H38</f>
        <v>9490</v>
      </c>
      <c r="K45" s="388">
        <f>+Cedula_MP!F38</f>
        <v>1</v>
      </c>
      <c r="L45" s="387">
        <f>+K45*J45</f>
        <v>9490</v>
      </c>
      <c r="M45" s="389">
        <f>+SUM(L45+L46+L47)*N45</f>
        <v>458126.1</v>
      </c>
      <c r="N45" s="699">
        <f>+Objetos_Costo_Variables!E28</f>
        <v>43.8</v>
      </c>
      <c r="O45" s="385" t="s">
        <v>21</v>
      </c>
      <c r="P45" s="386">
        <v>1</v>
      </c>
      <c r="Q45" s="390">
        <f>+Nomina!G25</f>
        <v>246.45479302777775</v>
      </c>
      <c r="R45" s="386">
        <v>8</v>
      </c>
      <c r="S45" s="391">
        <f>+Q45*R45</f>
        <v>1971.638344222222</v>
      </c>
      <c r="T45" s="649">
        <f>+SUM(S45:S47)*N45</f>
        <v>134962.49711919998</v>
      </c>
      <c r="U45" s="670">
        <f>+Costo_Primo!F29</f>
        <v>0.90881638039155654</v>
      </c>
      <c r="V45" s="480" t="s">
        <v>37</v>
      </c>
      <c r="W45" s="449">
        <v>3</v>
      </c>
      <c r="X45" s="450">
        <f>+Nomina!G28</f>
        <v>416.13645241666666</v>
      </c>
      <c r="Y45" s="451">
        <v>0.05</v>
      </c>
      <c r="Z45" s="481">
        <f>+X45*(1+Y45)</f>
        <v>436.94327503750003</v>
      </c>
      <c r="AA45" s="600">
        <f>+SUM(Z45:Z47)*N45</f>
        <v>34691.186618353997</v>
      </c>
      <c r="AB45" s="588">
        <f>+AA45*U45</f>
        <v>31527.918653980483</v>
      </c>
      <c r="AC45" s="591">
        <f>+CIF_Servicios_Publicos!K12</f>
        <v>5630930.083333333</v>
      </c>
      <c r="AD45" s="594" t="s">
        <v>546</v>
      </c>
      <c r="AE45" s="630">
        <f>+CIF_Servicios_Publicos!M12</f>
        <v>57024.701635671765</v>
      </c>
      <c r="AF45" s="597">
        <f>+(AE45/Objetos_Costo_Variables!I12)*Matriz_Costeo_ABC!N45</f>
        <v>3857.423832652391</v>
      </c>
      <c r="AG45" s="588">
        <f>+AF45*U45</f>
        <v>3505.6899652272714</v>
      </c>
      <c r="AH45" s="646">
        <f>+CIF_Servicios_Publicos!K11</f>
        <v>1706081.6666666667</v>
      </c>
      <c r="AI45" s="594" t="s">
        <v>546</v>
      </c>
      <c r="AJ45" s="630">
        <f>+CIF_Servicios_Publicos!M11</f>
        <v>17277.571656539621</v>
      </c>
      <c r="AK45" s="597">
        <f>+(AJ45/Objetos_Costo_Variables!I12)*Matriz_Costeo_ABC!N45</f>
        <v>1168.7376657242246</v>
      </c>
      <c r="AL45" s="588">
        <f>+AK45*U45</f>
        <v>1062.1679349907668</v>
      </c>
      <c r="AM45" s="591">
        <f>+CIF_Servicios_Publicos!K16</f>
        <v>1328502.3483333334</v>
      </c>
      <c r="AN45" s="594" t="s">
        <v>546</v>
      </c>
      <c r="AO45" s="597">
        <f>+(AM45/Objetos_Costo_Variables!I12)*Matriz_Costeo_ABC!N45</f>
        <v>89866.259238610044</v>
      </c>
      <c r="AP45" s="588">
        <f>+AO45*U45</f>
        <v>81671.928440562857</v>
      </c>
      <c r="AQ45" s="189"/>
      <c r="AR45" s="189"/>
      <c r="AS45" s="189"/>
      <c r="AT45" s="452"/>
      <c r="AU45" s="588">
        <f>+AT50*U45</f>
        <v>463.42795964382918</v>
      </c>
      <c r="AV45" s="591">
        <f>+CIF_Servicios_Publicos!K20</f>
        <v>461888</v>
      </c>
      <c r="AW45" s="594" t="s">
        <v>546</v>
      </c>
      <c r="AX45" s="630">
        <f>+CIF_Servicios_Publicos!M20</f>
        <v>4677.5621432517037</v>
      </c>
      <c r="AY45" s="597">
        <f>+(AX45/Objetos_Costo_Variables!I12)*Matriz_Costeo_ABC!N45</f>
        <v>316.41269787555922</v>
      </c>
      <c r="AZ45" s="588">
        <f>+AY45*U45</f>
        <v>287.56104279319288</v>
      </c>
      <c r="BA45" s="591">
        <f>+CIF_Depreciacion!E162</f>
        <v>944000</v>
      </c>
      <c r="BB45" s="189"/>
      <c r="BC45" s="597">
        <f>+BA45*BB50</f>
        <v>63851.748899698861</v>
      </c>
      <c r="BD45" s="600">
        <f>+BC45*U45</f>
        <v>58029.515316694873</v>
      </c>
      <c r="BE45" s="603">
        <f>+AF45+AK45+AO45+BC45</f>
        <v>158744.16963668552</v>
      </c>
      <c r="BF45" s="678">
        <f>+M45+M48+M53+T45+T48+BG45+T53+AA45+BE45</f>
        <v>846029.88460593938</v>
      </c>
      <c r="BG45" s="497"/>
    </row>
    <row r="46" spans="2:59" x14ac:dyDescent="0.25">
      <c r="B46" s="610"/>
      <c r="C46" s="612"/>
      <c r="D46" s="612"/>
      <c r="E46" s="614"/>
      <c r="F46" s="607"/>
      <c r="G46" s="483"/>
      <c r="H46" s="185" t="s">
        <v>540</v>
      </c>
      <c r="I46" s="366" t="s">
        <v>511</v>
      </c>
      <c r="J46" s="397">
        <f>+Cedula_MP!H40</f>
        <v>25</v>
      </c>
      <c r="K46" s="185">
        <f>+Cedula_MP!F40</f>
        <v>20</v>
      </c>
      <c r="L46" s="397">
        <f>+J46*K46</f>
        <v>500</v>
      </c>
      <c r="M46" s="398"/>
      <c r="N46" s="616"/>
      <c r="O46" s="396" t="s">
        <v>22</v>
      </c>
      <c r="P46" s="366">
        <v>1</v>
      </c>
      <c r="Q46" s="399">
        <f>+Nomina!G27</f>
        <v>138.71215080555558</v>
      </c>
      <c r="R46" s="366">
        <v>8</v>
      </c>
      <c r="S46" s="400">
        <f t="shared" ref="S46" si="13">+Q46*R46</f>
        <v>1109.6972064444446</v>
      </c>
      <c r="T46" s="650"/>
      <c r="U46" s="671"/>
      <c r="V46" s="484" t="s">
        <v>474</v>
      </c>
      <c r="W46" s="455">
        <v>1</v>
      </c>
      <c r="X46" s="456">
        <f>+Nomina!G29</f>
        <v>176.77067984999996</v>
      </c>
      <c r="Y46" s="457">
        <v>0.05</v>
      </c>
      <c r="Z46" s="485">
        <f t="shared" ref="Z46:Z47" si="14">+X46*(1+Y46)</f>
        <v>185.60921384249997</v>
      </c>
      <c r="AA46" s="601"/>
      <c r="AB46" s="589"/>
      <c r="AC46" s="592"/>
      <c r="AD46" s="595"/>
      <c r="AE46" s="631"/>
      <c r="AF46" s="598"/>
      <c r="AG46" s="589"/>
      <c r="AH46" s="647"/>
      <c r="AI46" s="595"/>
      <c r="AJ46" s="631"/>
      <c r="AK46" s="598"/>
      <c r="AL46" s="589"/>
      <c r="AM46" s="592"/>
      <c r="AN46" s="595"/>
      <c r="AO46" s="598"/>
      <c r="AP46" s="589"/>
      <c r="AQ46" s="190"/>
      <c r="AR46" s="190"/>
      <c r="AS46" s="190"/>
      <c r="AT46" s="458"/>
      <c r="AU46" s="589"/>
      <c r="AV46" s="592"/>
      <c r="AW46" s="595"/>
      <c r="AX46" s="631"/>
      <c r="AY46" s="598"/>
      <c r="AZ46" s="589"/>
      <c r="BA46" s="592"/>
      <c r="BB46" s="190"/>
      <c r="BC46" s="598"/>
      <c r="BD46" s="601"/>
      <c r="BE46" s="604"/>
      <c r="BF46" s="679"/>
      <c r="BG46" s="498"/>
    </row>
    <row r="47" spans="2:59" x14ac:dyDescent="0.25">
      <c r="B47" s="610"/>
      <c r="C47" s="612"/>
      <c r="D47" s="612"/>
      <c r="E47" s="614"/>
      <c r="F47" s="607"/>
      <c r="G47" s="487"/>
      <c r="H47" s="409" t="s">
        <v>541</v>
      </c>
      <c r="I47" s="407" t="s">
        <v>511</v>
      </c>
      <c r="J47" s="408">
        <f>+Cedula_MP!H39</f>
        <v>3.13</v>
      </c>
      <c r="K47" s="409">
        <f>+Cedula_MP!F39</f>
        <v>150</v>
      </c>
      <c r="L47" s="499">
        <f>+J47*K47</f>
        <v>469.5</v>
      </c>
      <c r="M47" s="410"/>
      <c r="N47" s="616"/>
      <c r="O47" s="406"/>
      <c r="P47" s="407"/>
      <c r="Q47" s="460"/>
      <c r="R47" s="407"/>
      <c r="S47" s="461"/>
      <c r="T47" s="651"/>
      <c r="U47" s="697"/>
      <c r="V47" s="484" t="s">
        <v>39</v>
      </c>
      <c r="W47" s="455">
        <v>1</v>
      </c>
      <c r="X47" s="456">
        <f>+Nomina!G30</f>
        <v>161.41308122222225</v>
      </c>
      <c r="Y47" s="457">
        <v>0.05</v>
      </c>
      <c r="Z47" s="485">
        <f t="shared" si="14"/>
        <v>169.48373528333337</v>
      </c>
      <c r="AA47" s="601"/>
      <c r="AB47" s="656"/>
      <c r="AC47" s="592"/>
      <c r="AD47" s="595"/>
      <c r="AE47" s="631"/>
      <c r="AF47" s="598"/>
      <c r="AG47" s="656"/>
      <c r="AH47" s="647"/>
      <c r="AI47" s="595"/>
      <c r="AJ47" s="631"/>
      <c r="AK47" s="598"/>
      <c r="AL47" s="656"/>
      <c r="AM47" s="592"/>
      <c r="AN47" s="595"/>
      <c r="AO47" s="598"/>
      <c r="AP47" s="656"/>
      <c r="AQ47" s="190"/>
      <c r="AR47" s="190"/>
      <c r="AS47" s="190"/>
      <c r="AT47" s="458"/>
      <c r="AU47" s="656"/>
      <c r="AV47" s="592"/>
      <c r="AW47" s="595"/>
      <c r="AX47" s="631"/>
      <c r="AY47" s="598"/>
      <c r="AZ47" s="656"/>
      <c r="BA47" s="592"/>
      <c r="BB47" s="190"/>
      <c r="BC47" s="598"/>
      <c r="BD47" s="658"/>
      <c r="BE47" s="604"/>
      <c r="BF47" s="679"/>
      <c r="BG47" s="498"/>
    </row>
    <row r="48" spans="2:59" x14ac:dyDescent="0.25">
      <c r="B48" s="610"/>
      <c r="C48" s="612"/>
      <c r="D48" s="612"/>
      <c r="E48" s="614"/>
      <c r="F48" s="607"/>
      <c r="G48" s="423" t="s">
        <v>542</v>
      </c>
      <c r="H48" s="464" t="s">
        <v>543</v>
      </c>
      <c r="I48" s="366" t="s">
        <v>511</v>
      </c>
      <c r="J48" s="425">
        <f>+Cedula_MP!H37</f>
        <v>2.34</v>
      </c>
      <c r="K48" s="426">
        <f>+Cedula_MP!F37</f>
        <v>150</v>
      </c>
      <c r="L48" s="425">
        <f>+J48*K48</f>
        <v>351</v>
      </c>
      <c r="M48" s="544">
        <f>+SUM(L48:L52)*N45</f>
        <v>15373.8</v>
      </c>
      <c r="N48" s="616"/>
      <c r="O48" s="424" t="s">
        <v>22</v>
      </c>
      <c r="P48" s="433">
        <v>1</v>
      </c>
      <c r="Q48" s="434">
        <f>+Nomina!G27</f>
        <v>138.71215080555558</v>
      </c>
      <c r="R48" s="433">
        <v>4</v>
      </c>
      <c r="S48" s="435">
        <f>+Q48*R48</f>
        <v>554.84860322222232</v>
      </c>
      <c r="T48" s="684">
        <f>+SUM(S48:S49)*N45</f>
        <v>24302.368821133336</v>
      </c>
      <c r="U48" s="698">
        <f>+Costo_Primo!F30</f>
        <v>6.0797581189340699E-2</v>
      </c>
      <c r="V48" s="484"/>
      <c r="W48" s="465"/>
      <c r="X48" s="454"/>
      <c r="Y48" s="454"/>
      <c r="Z48" s="488"/>
      <c r="AA48" s="601"/>
      <c r="AB48" s="655">
        <f>+AA45*U48</f>
        <v>2109.1402349839468</v>
      </c>
      <c r="AC48" s="592"/>
      <c r="AD48" s="595"/>
      <c r="AE48" s="631"/>
      <c r="AF48" s="598"/>
      <c r="AG48" s="655">
        <f>+AF45*U48</f>
        <v>234.52203864738152</v>
      </c>
      <c r="AH48" s="647"/>
      <c r="AI48" s="595"/>
      <c r="AJ48" s="631"/>
      <c r="AK48" s="598"/>
      <c r="AL48" s="655">
        <f>+AK45*U48</f>
        <v>71.056423120909074</v>
      </c>
      <c r="AM48" s="592"/>
      <c r="AN48" s="595"/>
      <c r="AO48" s="598"/>
      <c r="AP48" s="655">
        <f>+AO45*U48</f>
        <v>5463.651192241733</v>
      </c>
      <c r="AQ48" s="190"/>
      <c r="AR48" s="190"/>
      <c r="AS48" s="190"/>
      <c r="AT48" s="458"/>
      <c r="AU48" s="655">
        <f>+AT50*U48</f>
        <v>31.002190992329055</v>
      </c>
      <c r="AV48" s="592"/>
      <c r="AW48" s="595"/>
      <c r="AX48" s="631"/>
      <c r="AY48" s="598"/>
      <c r="AZ48" s="655">
        <f>+AY45*U48</f>
        <v>19.23712668842764</v>
      </c>
      <c r="BA48" s="592"/>
      <c r="BB48" s="190"/>
      <c r="BC48" s="598"/>
      <c r="BD48" s="659">
        <f>+BC45*U48</f>
        <v>3882.0318878108374</v>
      </c>
      <c r="BE48" s="604"/>
      <c r="BF48" s="679"/>
      <c r="BG48" s="498"/>
    </row>
    <row r="49" spans="2:59" x14ac:dyDescent="0.25">
      <c r="B49" s="610"/>
      <c r="C49" s="612"/>
      <c r="D49" s="612"/>
      <c r="E49" s="614"/>
      <c r="F49" s="607"/>
      <c r="G49" s="395"/>
      <c r="H49" s="462"/>
      <c r="J49" s="397"/>
      <c r="L49" s="397"/>
      <c r="M49" s="398"/>
      <c r="N49" s="616"/>
      <c r="O49" s="396"/>
      <c r="Q49" s="399"/>
      <c r="S49" s="400"/>
      <c r="T49" s="650"/>
      <c r="U49" s="671"/>
      <c r="V49" s="484"/>
      <c r="W49" s="465"/>
      <c r="X49" s="454"/>
      <c r="Y49" s="454"/>
      <c r="Z49" s="488"/>
      <c r="AA49" s="601"/>
      <c r="AB49" s="589"/>
      <c r="AC49" s="592"/>
      <c r="AD49" s="595"/>
      <c r="AE49" s="631"/>
      <c r="AF49" s="598"/>
      <c r="AG49" s="589"/>
      <c r="AH49" s="647"/>
      <c r="AI49" s="595"/>
      <c r="AJ49" s="631"/>
      <c r="AK49" s="598"/>
      <c r="AL49" s="589"/>
      <c r="AM49" s="592"/>
      <c r="AN49" s="595"/>
      <c r="AO49" s="598"/>
      <c r="AP49" s="589"/>
      <c r="AQ49" s="190"/>
      <c r="AR49" s="190"/>
      <c r="AS49" s="190"/>
      <c r="AT49" s="458"/>
      <c r="AU49" s="589"/>
      <c r="AV49" s="592"/>
      <c r="AW49" s="595"/>
      <c r="AX49" s="631"/>
      <c r="AY49" s="598"/>
      <c r="AZ49" s="589"/>
      <c r="BA49" s="592"/>
      <c r="BB49" s="190"/>
      <c r="BC49" s="598"/>
      <c r="BD49" s="601"/>
      <c r="BE49" s="604"/>
      <c r="BF49" s="679"/>
      <c r="BG49" s="498"/>
    </row>
    <row r="50" spans="2:59" x14ac:dyDescent="0.25">
      <c r="B50" s="610"/>
      <c r="C50" s="612"/>
      <c r="D50" s="612"/>
      <c r="E50" s="614"/>
      <c r="F50" s="607"/>
      <c r="G50" s="395"/>
      <c r="H50" s="462"/>
      <c r="J50" s="397"/>
      <c r="L50" s="397"/>
      <c r="M50" s="398"/>
      <c r="N50" s="616"/>
      <c r="O50" s="396"/>
      <c r="Q50" s="399"/>
      <c r="S50" s="400"/>
      <c r="T50" s="650"/>
      <c r="U50" s="671"/>
      <c r="V50" s="489"/>
      <c r="W50" s="455"/>
      <c r="X50" s="463"/>
      <c r="Y50" s="463"/>
      <c r="Z50" s="490"/>
      <c r="AA50" s="601"/>
      <c r="AB50" s="589"/>
      <c r="AC50" s="592"/>
      <c r="AD50" s="595"/>
      <c r="AE50" s="631"/>
      <c r="AF50" s="598"/>
      <c r="AG50" s="589"/>
      <c r="AH50" s="647"/>
      <c r="AI50" s="595"/>
      <c r="AJ50" s="631"/>
      <c r="AK50" s="598"/>
      <c r="AL50" s="589"/>
      <c r="AM50" s="592"/>
      <c r="AN50" s="595"/>
      <c r="AO50" s="598"/>
      <c r="AP50" s="589"/>
      <c r="AQ50" s="190">
        <f>+CIF_Servicios_Publicos!K13</f>
        <v>744370</v>
      </c>
      <c r="AR50" s="190" t="s">
        <v>546</v>
      </c>
      <c r="AS50" s="190">
        <f>+CIF_Servicios_Publicos!M13</f>
        <v>7538.2710366415031</v>
      </c>
      <c r="AT50" s="458">
        <f>+(AS50/Objetos_Costo_Variables!I12)*Matriz_Costeo_ABC!N45</f>
        <v>509.92474348246765</v>
      </c>
      <c r="AU50" s="589"/>
      <c r="AV50" s="592"/>
      <c r="AW50" s="595"/>
      <c r="AX50" s="631"/>
      <c r="AY50" s="598"/>
      <c r="AZ50" s="589"/>
      <c r="BA50" s="592"/>
      <c r="BB50" s="403">
        <f>+CIF_Depreciacion!L158</f>
        <v>6.7639564512392863E-2</v>
      </c>
      <c r="BC50" s="598"/>
      <c r="BD50" s="601"/>
      <c r="BE50" s="604"/>
      <c r="BF50" s="679"/>
      <c r="BG50" s="491">
        <f>+BF45/71.75</f>
        <v>11791.357276737832</v>
      </c>
    </row>
    <row r="51" spans="2:59" x14ac:dyDescent="0.25">
      <c r="B51" s="610"/>
      <c r="C51" s="612"/>
      <c r="D51" s="612"/>
      <c r="E51" s="614"/>
      <c r="F51" s="607"/>
      <c r="G51" s="395"/>
      <c r="H51" s="462"/>
      <c r="J51" s="397"/>
      <c r="L51" s="397"/>
      <c r="M51" s="398"/>
      <c r="N51" s="616"/>
      <c r="O51" s="396"/>
      <c r="Q51" s="399"/>
      <c r="S51" s="400"/>
      <c r="T51" s="650"/>
      <c r="U51" s="671"/>
      <c r="V51" s="489"/>
      <c r="W51" s="455"/>
      <c r="X51" s="463"/>
      <c r="Y51" s="463"/>
      <c r="Z51" s="490"/>
      <c r="AA51" s="601"/>
      <c r="AB51" s="589"/>
      <c r="AC51" s="592"/>
      <c r="AD51" s="595"/>
      <c r="AE51" s="631"/>
      <c r="AF51" s="598"/>
      <c r="AG51" s="589"/>
      <c r="AH51" s="647"/>
      <c r="AI51" s="595"/>
      <c r="AJ51" s="631"/>
      <c r="AK51" s="598"/>
      <c r="AL51" s="589"/>
      <c r="AM51" s="592"/>
      <c r="AN51" s="595"/>
      <c r="AO51" s="598"/>
      <c r="AP51" s="589"/>
      <c r="AQ51" s="190"/>
      <c r="AR51" s="190"/>
      <c r="AS51" s="190"/>
      <c r="AT51" s="458"/>
      <c r="AU51" s="589"/>
      <c r="AV51" s="592"/>
      <c r="AW51" s="595"/>
      <c r="AX51" s="631"/>
      <c r="AY51" s="598"/>
      <c r="AZ51" s="589"/>
      <c r="BA51" s="592"/>
      <c r="BB51" s="190"/>
      <c r="BC51" s="598"/>
      <c r="BD51" s="601"/>
      <c r="BE51" s="604"/>
      <c r="BF51" s="679"/>
      <c r="BG51" s="498"/>
    </row>
    <row r="52" spans="2:59" x14ac:dyDescent="0.25">
      <c r="B52" s="610"/>
      <c r="C52" s="612"/>
      <c r="D52" s="612"/>
      <c r="E52" s="614"/>
      <c r="F52" s="607"/>
      <c r="G52" s="405"/>
      <c r="H52" s="466"/>
      <c r="I52" s="407"/>
      <c r="J52" s="408"/>
      <c r="K52" s="409"/>
      <c r="L52" s="408"/>
      <c r="M52" s="410"/>
      <c r="N52" s="616"/>
      <c r="O52" s="406"/>
      <c r="P52" s="407"/>
      <c r="Q52" s="460"/>
      <c r="R52" s="407"/>
      <c r="S52" s="461"/>
      <c r="T52" s="651"/>
      <c r="U52" s="697"/>
      <c r="V52" s="489"/>
      <c r="W52" s="455"/>
      <c r="X52" s="463"/>
      <c r="Y52" s="463"/>
      <c r="Z52" s="490"/>
      <c r="AA52" s="601"/>
      <c r="AB52" s="656"/>
      <c r="AC52" s="592"/>
      <c r="AD52" s="595"/>
      <c r="AE52" s="631"/>
      <c r="AF52" s="598"/>
      <c r="AG52" s="656"/>
      <c r="AH52" s="647"/>
      <c r="AI52" s="595"/>
      <c r="AJ52" s="631"/>
      <c r="AK52" s="598"/>
      <c r="AL52" s="656"/>
      <c r="AM52" s="592"/>
      <c r="AN52" s="595"/>
      <c r="AO52" s="598"/>
      <c r="AP52" s="656"/>
      <c r="AQ52" s="190"/>
      <c r="AR52" s="190"/>
      <c r="AS52" s="190"/>
      <c r="AT52" s="458"/>
      <c r="AU52" s="656"/>
      <c r="AV52" s="592"/>
      <c r="AW52" s="595"/>
      <c r="AX52" s="631"/>
      <c r="AY52" s="598"/>
      <c r="AZ52" s="656"/>
      <c r="BA52" s="592"/>
      <c r="BB52" s="190"/>
      <c r="BC52" s="598"/>
      <c r="BD52" s="658"/>
      <c r="BE52" s="604"/>
      <c r="BF52" s="679"/>
      <c r="BG52" s="498"/>
    </row>
    <row r="53" spans="2:59" x14ac:dyDescent="0.25">
      <c r="B53" s="610"/>
      <c r="C53" s="612"/>
      <c r="D53" s="612"/>
      <c r="E53" s="614"/>
      <c r="F53" s="607"/>
      <c r="G53" s="423" t="s">
        <v>57</v>
      </c>
      <c r="H53" s="464" t="s">
        <v>58</v>
      </c>
      <c r="I53" s="433" t="s">
        <v>511</v>
      </c>
      <c r="J53" s="425">
        <f>+Cedula_MP!H43</f>
        <v>11.51</v>
      </c>
      <c r="K53" s="426">
        <f>+Cedula_MP!F43</f>
        <v>1</v>
      </c>
      <c r="L53" s="425">
        <f t="shared" ref="L53:L55" si="15">+J53*K53</f>
        <v>11.51</v>
      </c>
      <c r="M53" s="644">
        <f>+SUM(L53:L55)*N45</f>
        <v>7678.5779999999995</v>
      </c>
      <c r="N53" s="616"/>
      <c r="O53" s="424" t="s">
        <v>470</v>
      </c>
      <c r="P53" s="433">
        <v>1</v>
      </c>
      <c r="Q53" s="434">
        <f>+Nomina!G27</f>
        <v>138.71215080555558</v>
      </c>
      <c r="R53" s="433">
        <v>2</v>
      </c>
      <c r="S53" s="435">
        <f>+Q53*R53</f>
        <v>277.42430161111116</v>
      </c>
      <c r="T53" s="650">
        <f>+S53*N45</f>
        <v>12151.184410566668</v>
      </c>
      <c r="U53" s="671">
        <f>+Costo_Primo!F31</f>
        <v>3.0386038419102729E-2</v>
      </c>
      <c r="V53" s="489"/>
      <c r="W53" s="455"/>
      <c r="X53" s="463"/>
      <c r="Y53" s="463"/>
      <c r="Z53" s="490"/>
      <c r="AA53" s="601"/>
      <c r="AB53" s="589">
        <f>+AA45*U53</f>
        <v>1054.1277293895671</v>
      </c>
      <c r="AC53" s="592"/>
      <c r="AD53" s="595"/>
      <c r="AE53" s="631"/>
      <c r="AF53" s="598"/>
      <c r="AG53" s="589">
        <f>+AF45*U53</f>
        <v>117.21182877773805</v>
      </c>
      <c r="AH53" s="647"/>
      <c r="AI53" s="595"/>
      <c r="AJ53" s="631"/>
      <c r="AK53" s="598"/>
      <c r="AL53" s="589">
        <f>+AK45*U53</f>
        <v>35.513307612548729</v>
      </c>
      <c r="AM53" s="592"/>
      <c r="AN53" s="595"/>
      <c r="AO53" s="598"/>
      <c r="AP53" s="589">
        <f>+AO45*U53</f>
        <v>2730.6796058054501</v>
      </c>
      <c r="AQ53" s="190"/>
      <c r="AR53" s="190"/>
      <c r="AS53" s="190"/>
      <c r="AT53" s="458"/>
      <c r="AU53" s="589">
        <f>+AT50*U53</f>
        <v>15.494592846309367</v>
      </c>
      <c r="AV53" s="592"/>
      <c r="AW53" s="595"/>
      <c r="AX53" s="631"/>
      <c r="AY53" s="598"/>
      <c r="AZ53" s="589">
        <f>+AY45*U53</f>
        <v>9.6145283939386861</v>
      </c>
      <c r="BA53" s="592"/>
      <c r="BB53" s="190"/>
      <c r="BC53" s="598"/>
      <c r="BD53" s="601">
        <f>+BC45*U53</f>
        <v>1940.20169519315</v>
      </c>
      <c r="BE53" s="604"/>
      <c r="BF53" s="679"/>
      <c r="BG53" s="498"/>
    </row>
    <row r="54" spans="2:59" x14ac:dyDescent="0.25">
      <c r="B54" s="610"/>
      <c r="C54" s="612"/>
      <c r="D54" s="612"/>
      <c r="E54" s="614"/>
      <c r="F54" s="607"/>
      <c r="G54" s="395"/>
      <c r="H54" s="462" t="s">
        <v>59</v>
      </c>
      <c r="I54" s="366" t="s">
        <v>511</v>
      </c>
      <c r="J54" s="397">
        <f>+Cedula_MP!H42</f>
        <v>4.4400000000000004</v>
      </c>
      <c r="K54" s="185">
        <f>+Cedula_MP!F42</f>
        <v>20</v>
      </c>
      <c r="L54" s="397">
        <f t="shared" si="15"/>
        <v>88.800000000000011</v>
      </c>
      <c r="M54" s="644"/>
      <c r="N54" s="616"/>
      <c r="O54" s="396"/>
      <c r="S54" s="400"/>
      <c r="T54" s="650"/>
      <c r="U54" s="671"/>
      <c r="V54" s="489"/>
      <c r="W54" s="455"/>
      <c r="X54" s="463"/>
      <c r="Y54" s="463"/>
      <c r="Z54" s="490"/>
      <c r="AA54" s="601"/>
      <c r="AB54" s="589"/>
      <c r="AC54" s="592"/>
      <c r="AD54" s="595"/>
      <c r="AE54" s="631"/>
      <c r="AF54" s="598"/>
      <c r="AG54" s="589"/>
      <c r="AH54" s="647"/>
      <c r="AI54" s="595"/>
      <c r="AJ54" s="631"/>
      <c r="AK54" s="598"/>
      <c r="AL54" s="589"/>
      <c r="AM54" s="592"/>
      <c r="AN54" s="595"/>
      <c r="AO54" s="598"/>
      <c r="AP54" s="589"/>
      <c r="AQ54" s="190"/>
      <c r="AR54" s="190"/>
      <c r="AS54" s="190"/>
      <c r="AT54" s="458"/>
      <c r="AU54" s="589"/>
      <c r="AV54" s="592"/>
      <c r="AW54" s="595"/>
      <c r="AX54" s="631"/>
      <c r="AY54" s="598"/>
      <c r="AZ54" s="589"/>
      <c r="BA54" s="592"/>
      <c r="BB54" s="190"/>
      <c r="BC54" s="598"/>
      <c r="BD54" s="601"/>
      <c r="BE54" s="604"/>
      <c r="BF54" s="679"/>
      <c r="BG54" s="498"/>
    </row>
    <row r="55" spans="2:59" ht="16.5" thickBot="1" x14ac:dyDescent="0.3">
      <c r="B55" s="637"/>
      <c r="C55" s="636"/>
      <c r="D55" s="636"/>
      <c r="E55" s="642"/>
      <c r="F55" s="608"/>
      <c r="G55" s="436"/>
      <c r="H55" s="492" t="s">
        <v>98</v>
      </c>
      <c r="I55" s="438" t="s">
        <v>511</v>
      </c>
      <c r="J55" s="439">
        <f>+Cedula_MP!H41</f>
        <v>7.5</v>
      </c>
      <c r="K55" s="440">
        <f>+Cedula_MP!F41</f>
        <v>10</v>
      </c>
      <c r="L55" s="439">
        <f t="shared" si="15"/>
        <v>75</v>
      </c>
      <c r="M55" s="645"/>
      <c r="N55" s="617"/>
      <c r="O55" s="437"/>
      <c r="P55" s="438"/>
      <c r="Q55" s="440"/>
      <c r="R55" s="438"/>
      <c r="S55" s="441"/>
      <c r="T55" s="657"/>
      <c r="U55" s="672"/>
      <c r="V55" s="493"/>
      <c r="W55" s="477"/>
      <c r="X55" s="476"/>
      <c r="Y55" s="476"/>
      <c r="Z55" s="494"/>
      <c r="AA55" s="602"/>
      <c r="AB55" s="590"/>
      <c r="AC55" s="593"/>
      <c r="AD55" s="596"/>
      <c r="AE55" s="632"/>
      <c r="AF55" s="599"/>
      <c r="AG55" s="590"/>
      <c r="AH55" s="648"/>
      <c r="AI55" s="596"/>
      <c r="AJ55" s="632"/>
      <c r="AK55" s="599"/>
      <c r="AL55" s="590"/>
      <c r="AM55" s="593"/>
      <c r="AN55" s="596"/>
      <c r="AO55" s="599"/>
      <c r="AP55" s="590"/>
      <c r="AQ55" s="191"/>
      <c r="AR55" s="191"/>
      <c r="AS55" s="191"/>
      <c r="AT55" s="478"/>
      <c r="AU55" s="590"/>
      <c r="AV55" s="593"/>
      <c r="AW55" s="596"/>
      <c r="AX55" s="632"/>
      <c r="AY55" s="599"/>
      <c r="AZ55" s="590"/>
      <c r="BA55" s="593"/>
      <c r="BB55" s="191"/>
      <c r="BC55" s="599"/>
      <c r="BD55" s="602"/>
      <c r="BE55" s="605"/>
      <c r="BF55" s="680"/>
      <c r="BG55" s="495"/>
    </row>
    <row r="56" spans="2:59" s="505" customFormat="1" ht="16.5" thickBot="1" x14ac:dyDescent="0.3">
      <c r="B56" s="500"/>
      <c r="C56" s="501"/>
      <c r="D56" s="501"/>
      <c r="E56" s="502"/>
      <c r="F56" s="503"/>
      <c r="G56" s="504"/>
      <c r="I56" s="506"/>
      <c r="J56" s="507"/>
      <c r="L56" s="507"/>
      <c r="M56" s="508"/>
      <c r="N56" s="509"/>
      <c r="O56" s="510"/>
      <c r="P56" s="506"/>
      <c r="R56" s="506"/>
      <c r="S56" s="507"/>
      <c r="T56" s="511"/>
      <c r="U56" s="572"/>
      <c r="V56" s="512"/>
      <c r="W56" s="513"/>
      <c r="X56" s="512"/>
      <c r="Y56" s="512"/>
      <c r="Z56" s="514"/>
      <c r="AA56" s="515"/>
      <c r="AB56" s="516"/>
      <c r="AC56" s="192"/>
      <c r="AD56" s="503"/>
      <c r="AE56" s="192"/>
      <c r="AF56" s="517"/>
      <c r="AG56" s="516"/>
      <c r="AH56" s="518"/>
      <c r="AI56" s="503"/>
      <c r="AJ56" s="192"/>
      <c r="AK56" s="517"/>
      <c r="AL56" s="519"/>
      <c r="AM56" s="520"/>
      <c r="AN56" s="503"/>
      <c r="AO56" s="517"/>
      <c r="AP56" s="519"/>
      <c r="AQ56" s="192"/>
      <c r="AR56" s="192"/>
      <c r="AS56" s="192"/>
      <c r="AT56" s="192"/>
      <c r="AU56" s="519"/>
      <c r="AV56" s="520"/>
      <c r="AW56" s="503"/>
      <c r="AX56" s="521"/>
      <c r="AY56" s="517"/>
      <c r="AZ56" s="519"/>
      <c r="BA56" s="520"/>
      <c r="BB56" s="192"/>
      <c r="BC56" s="522"/>
      <c r="BD56" s="519"/>
      <c r="BE56" s="523"/>
      <c r="BF56" s="524"/>
      <c r="BG56" s="525"/>
    </row>
    <row r="57" spans="2:59" ht="15.75" customHeight="1" x14ac:dyDescent="0.25">
      <c r="B57" s="609" t="s">
        <v>534</v>
      </c>
      <c r="C57" s="611" t="s">
        <v>11</v>
      </c>
      <c r="D57" s="611" t="s">
        <v>535</v>
      </c>
      <c r="E57" s="613" t="s">
        <v>12</v>
      </c>
      <c r="F57" s="606" t="s">
        <v>639</v>
      </c>
      <c r="G57" s="479" t="s">
        <v>640</v>
      </c>
      <c r="H57" s="388" t="s">
        <v>642</v>
      </c>
      <c r="I57" s="386"/>
      <c r="J57" s="387"/>
      <c r="K57" s="388"/>
      <c r="L57" s="387"/>
      <c r="M57" s="569"/>
      <c r="N57" s="615">
        <f>+Objetos_Costo_Variables!E29</f>
        <v>429.91666666666669</v>
      </c>
      <c r="O57" s="385" t="s">
        <v>21</v>
      </c>
      <c r="P57" s="386">
        <v>1</v>
      </c>
      <c r="Q57" s="390">
        <f>+Nomina!G25</f>
        <v>246.45479302777775</v>
      </c>
      <c r="R57" s="386">
        <v>11512</v>
      </c>
      <c r="S57" s="526">
        <f>+Q57*R57</f>
        <v>2837187.5773357777</v>
      </c>
      <c r="T57" s="618">
        <f>+SUM(S57:S59)</f>
        <v>6525206.2882542498</v>
      </c>
      <c r="U57" s="621">
        <v>1</v>
      </c>
      <c r="V57" s="527" t="s">
        <v>37</v>
      </c>
      <c r="W57" s="449">
        <v>3</v>
      </c>
      <c r="X57" s="450">
        <f>+Nomina!G28</f>
        <v>416.13645241666666</v>
      </c>
      <c r="Y57" s="451">
        <v>0.05</v>
      </c>
      <c r="Z57" s="481">
        <f>+X57*(1+Y57)</f>
        <v>436.94327503750003</v>
      </c>
      <c r="AA57" s="600">
        <f>+SUM(Z57:Z59)*N57</f>
        <v>340509.5733715531</v>
      </c>
      <c r="AB57" s="624">
        <f>+AA57*U57</f>
        <v>340509.5733715531</v>
      </c>
      <c r="AC57" s="627">
        <f>+CIF_Servicios_Publicos!K12</f>
        <v>5630930.083333333</v>
      </c>
      <c r="AD57" s="594" t="s">
        <v>546</v>
      </c>
      <c r="AE57" s="630">
        <f>+CIF_Servicios_Publicos!M12</f>
        <v>57024.701635671765</v>
      </c>
      <c r="AF57" s="597">
        <f>+(AE57/Objetos_Costo_Variables!I12)*Matriz_Costeo_ABC!N57</f>
        <v>37862.34694188297</v>
      </c>
      <c r="AG57" s="624">
        <f>+AF57*U57</f>
        <v>37862.34694188297</v>
      </c>
      <c r="AH57" s="633">
        <f>+CIF_Servicios_Publicos!K11</f>
        <v>1706081.6666666667</v>
      </c>
      <c r="AI57" s="594" t="s">
        <v>546</v>
      </c>
      <c r="AJ57" s="630">
        <f>+CIF_Servicios_Publicos!M11</f>
        <v>17277.571656539621</v>
      </c>
      <c r="AK57" s="597">
        <f>+(AJ57/Objetos_Costo_Variables!I12)*Matriz_Costeo_ABC!N57</f>
        <v>11471.684964747479</v>
      </c>
      <c r="AL57" s="588">
        <f>+AK57*U57</f>
        <v>11471.684964747479</v>
      </c>
      <c r="AM57" s="591">
        <f>+CIF_Servicios_Publicos!K16</f>
        <v>1328502.3483333334</v>
      </c>
      <c r="AN57" s="594" t="s">
        <v>546</v>
      </c>
      <c r="AO57" s="597">
        <f>+(AM57/Objetos_Costo_Variables!I12)*Matriz_Costeo_ABC!N57</f>
        <v>882077.68533483497</v>
      </c>
      <c r="AP57" s="588">
        <f>+AO57*U57</f>
        <v>882077.68533483497</v>
      </c>
      <c r="AQ57" s="591">
        <f>+CIF_Servicios_Publicos!K13</f>
        <v>744370</v>
      </c>
      <c r="AR57" s="630" t="s">
        <v>546</v>
      </c>
      <c r="AS57" s="630">
        <f>+CIF_Servicios_Publicos!M13</f>
        <v>7538.2710366415031</v>
      </c>
      <c r="AT57" s="597">
        <f>+(AS57/Objetos_Costo_Variables!I12)*Matriz_Costeo_ABC!N57</f>
        <v>5005.1403189232324</v>
      </c>
      <c r="AU57" s="588">
        <f>AT57*U57</f>
        <v>5005.1403189232324</v>
      </c>
      <c r="AV57" s="591">
        <f>+CIF_Servicios_Publicos!K20</f>
        <v>461888</v>
      </c>
      <c r="AW57" s="594" t="s">
        <v>546</v>
      </c>
      <c r="AX57" s="630">
        <f>+CIF_Servicios_Publicos!M20</f>
        <v>4677.5621432517037</v>
      </c>
      <c r="AY57" s="597">
        <f>+(AX57/Objetos_Costo_Variables!I12)*Matriz_Costeo_ABC!N57</f>
        <v>3105.7327023211765</v>
      </c>
      <c r="AZ57" s="588">
        <f>+AY57*U57</f>
        <v>3105.7327023211765</v>
      </c>
      <c r="BA57" s="591">
        <f>+CIF_Depreciacion!E162</f>
        <v>944000</v>
      </c>
      <c r="BB57" s="189"/>
      <c r="BC57" s="597">
        <f>+BA57*BB58</f>
        <v>626855.06910663273</v>
      </c>
      <c r="BD57" s="600">
        <f>+BC57*U57</f>
        <v>626855.06910663273</v>
      </c>
      <c r="BE57" s="603">
        <f>+AF57+AK57+AO57+AT57+AY57+BC57</f>
        <v>1566377.6593693425</v>
      </c>
      <c r="BF57" s="585">
        <f>+M58+T57+AA57+BE57</f>
        <v>59449911.52099514</v>
      </c>
      <c r="BG57" s="528"/>
    </row>
    <row r="58" spans="2:59" ht="15.75" customHeight="1" x14ac:dyDescent="0.25">
      <c r="B58" s="610"/>
      <c r="C58" s="612"/>
      <c r="D58" s="612"/>
      <c r="E58" s="614"/>
      <c r="F58" s="607"/>
      <c r="G58" s="483"/>
      <c r="J58" s="397"/>
      <c r="L58" s="397"/>
      <c r="M58" s="567">
        <f>+Cedula_MP!H46</f>
        <v>51017818</v>
      </c>
      <c r="N58" s="616"/>
      <c r="O58" s="396" t="s">
        <v>22</v>
      </c>
      <c r="P58" s="366">
        <v>1</v>
      </c>
      <c r="Q58" s="529">
        <f>+Nomina!G27</f>
        <v>138.71215080555558</v>
      </c>
      <c r="R58" s="366">
        <v>11456</v>
      </c>
      <c r="S58" s="530">
        <f t="shared" ref="S58:S59" si="16">+Q58*R58</f>
        <v>1589086.3996284448</v>
      </c>
      <c r="T58" s="619"/>
      <c r="U58" s="622"/>
      <c r="V58" s="531" t="s">
        <v>474</v>
      </c>
      <c r="W58" s="455">
        <v>1</v>
      </c>
      <c r="X58" s="456">
        <f>+Nomina!G29</f>
        <v>176.77067984999996</v>
      </c>
      <c r="Y58" s="457">
        <v>0.05</v>
      </c>
      <c r="Z58" s="485">
        <f t="shared" ref="Z58:Z59" si="17">+X58*(1+Y58)</f>
        <v>185.60921384249997</v>
      </c>
      <c r="AA58" s="601"/>
      <c r="AB58" s="625"/>
      <c r="AC58" s="628"/>
      <c r="AD58" s="595"/>
      <c r="AE58" s="631"/>
      <c r="AF58" s="598"/>
      <c r="AG58" s="625"/>
      <c r="AH58" s="634"/>
      <c r="AI58" s="595"/>
      <c r="AJ58" s="631"/>
      <c r="AK58" s="598"/>
      <c r="AL58" s="589"/>
      <c r="AM58" s="592"/>
      <c r="AN58" s="595"/>
      <c r="AO58" s="598"/>
      <c r="AP58" s="589"/>
      <c r="AQ58" s="592"/>
      <c r="AR58" s="631"/>
      <c r="AS58" s="631"/>
      <c r="AT58" s="598"/>
      <c r="AU58" s="589"/>
      <c r="AV58" s="592"/>
      <c r="AW58" s="595"/>
      <c r="AX58" s="631"/>
      <c r="AY58" s="598"/>
      <c r="AZ58" s="589"/>
      <c r="BA58" s="592"/>
      <c r="BB58" s="403">
        <f>+CIF_Depreciacion!L159</f>
        <v>0.66404138676550073</v>
      </c>
      <c r="BC58" s="598"/>
      <c r="BD58" s="601"/>
      <c r="BE58" s="604"/>
      <c r="BF58" s="586"/>
      <c r="BG58" s="573">
        <f>+BF57/430</f>
        <v>138255.60818836078</v>
      </c>
    </row>
    <row r="59" spans="2:59" ht="16.5" customHeight="1" thickBot="1" x14ac:dyDescent="0.3">
      <c r="B59" s="610"/>
      <c r="C59" s="612"/>
      <c r="D59" s="612"/>
      <c r="E59" s="614"/>
      <c r="F59" s="608"/>
      <c r="G59" s="532"/>
      <c r="H59" s="440"/>
      <c r="I59" s="438"/>
      <c r="J59" s="439"/>
      <c r="K59" s="440"/>
      <c r="L59" s="439"/>
      <c r="M59" s="568"/>
      <c r="N59" s="617"/>
      <c r="O59" s="437" t="s">
        <v>468</v>
      </c>
      <c r="P59" s="438">
        <v>1</v>
      </c>
      <c r="Q59" s="533">
        <f>+Nomina!G26</f>
        <v>182.37312636111113</v>
      </c>
      <c r="R59" s="438">
        <v>11509</v>
      </c>
      <c r="S59" s="534">
        <f t="shared" si="16"/>
        <v>2098932.311290028</v>
      </c>
      <c r="T59" s="620"/>
      <c r="U59" s="623"/>
      <c r="V59" s="535" t="s">
        <v>39</v>
      </c>
      <c r="W59" s="477">
        <v>1</v>
      </c>
      <c r="X59" s="536">
        <f>+Nomina!G30</f>
        <v>161.41308122222225</v>
      </c>
      <c r="Y59" s="537">
        <v>0.05</v>
      </c>
      <c r="Z59" s="538">
        <f t="shared" si="17"/>
        <v>169.48373528333337</v>
      </c>
      <c r="AA59" s="602"/>
      <c r="AB59" s="626"/>
      <c r="AC59" s="629"/>
      <c r="AD59" s="596"/>
      <c r="AE59" s="632"/>
      <c r="AF59" s="599"/>
      <c r="AG59" s="626"/>
      <c r="AH59" s="635"/>
      <c r="AI59" s="596"/>
      <c r="AJ59" s="632"/>
      <c r="AK59" s="599"/>
      <c r="AL59" s="590"/>
      <c r="AM59" s="593"/>
      <c r="AN59" s="596"/>
      <c r="AO59" s="599"/>
      <c r="AP59" s="590"/>
      <c r="AQ59" s="593"/>
      <c r="AR59" s="632"/>
      <c r="AS59" s="632"/>
      <c r="AT59" s="599"/>
      <c r="AU59" s="590"/>
      <c r="AV59" s="593"/>
      <c r="AW59" s="596"/>
      <c r="AX59" s="632"/>
      <c r="AY59" s="599"/>
      <c r="AZ59" s="590"/>
      <c r="BA59" s="593"/>
      <c r="BB59" s="191"/>
      <c r="BC59" s="599"/>
      <c r="BD59" s="602"/>
      <c r="BE59" s="605"/>
      <c r="BF59" s="587"/>
      <c r="BG59" s="539"/>
    </row>
    <row r="60" spans="2:59" x14ac:dyDescent="0.25">
      <c r="AV60" s="186"/>
    </row>
  </sheetData>
  <mergeCells count="291">
    <mergeCell ref="BB4:BB15"/>
    <mergeCell ref="AT57:AT59"/>
    <mergeCell ref="AS57:AS59"/>
    <mergeCell ref="AR57:AR59"/>
    <mergeCell ref="AQ57:AQ59"/>
    <mergeCell ref="AV4:AV15"/>
    <mergeCell ref="AW4:AW15"/>
    <mergeCell ref="AX4:AX15"/>
    <mergeCell ref="AY4:AY15"/>
    <mergeCell ref="AZ4:AZ6"/>
    <mergeCell ref="AZ8:AZ11"/>
    <mergeCell ref="AZ13:AZ15"/>
    <mergeCell ref="AZ17:AZ19"/>
    <mergeCell ref="AZ20:AZ23"/>
    <mergeCell ref="AZ24:AZ26"/>
    <mergeCell ref="AZ27:AZ28"/>
    <mergeCell ref="AZ30:AZ31"/>
    <mergeCell ref="AZ33:AZ35"/>
    <mergeCell ref="AZ36:AZ40"/>
    <mergeCell ref="AZ41:AZ43"/>
    <mergeCell ref="AZ45:AZ47"/>
    <mergeCell ref="AZ48:AZ52"/>
    <mergeCell ref="AZ53:AZ55"/>
    <mergeCell ref="AZ57:AZ59"/>
    <mergeCell ref="AS4:AS15"/>
    <mergeCell ref="AT4:AT15"/>
    <mergeCell ref="AU4:AU6"/>
    <mergeCell ref="AU8:AU11"/>
    <mergeCell ref="AU13:AU15"/>
    <mergeCell ref="AT17:AT31"/>
    <mergeCell ref="AS17:AS31"/>
    <mergeCell ref="AP4:AP6"/>
    <mergeCell ref="AP8:AP11"/>
    <mergeCell ref="AP13:AP15"/>
    <mergeCell ref="AP17:AP19"/>
    <mergeCell ref="AP20:AP23"/>
    <mergeCell ref="AP24:AP26"/>
    <mergeCell ref="AP27:AP28"/>
    <mergeCell ref="AP30:AP31"/>
    <mergeCell ref="AR17:AR31"/>
    <mergeCell ref="AQ17:AQ31"/>
    <mergeCell ref="AU17:AU19"/>
    <mergeCell ref="AU20:AU23"/>
    <mergeCell ref="AU24:AU26"/>
    <mergeCell ref="AU27:AU28"/>
    <mergeCell ref="AU30:AU31"/>
    <mergeCell ref="AL53:AL55"/>
    <mergeCell ref="BB17:BB31"/>
    <mergeCell ref="AU45:AU47"/>
    <mergeCell ref="AU48:AU52"/>
    <mergeCell ref="AU53:AU55"/>
    <mergeCell ref="AP33:AP35"/>
    <mergeCell ref="AP36:AP40"/>
    <mergeCell ref="AP41:AP43"/>
    <mergeCell ref="AP45:AP47"/>
    <mergeCell ref="AP48:AP52"/>
    <mergeCell ref="AP53:AP55"/>
    <mergeCell ref="AY17:AY31"/>
    <mergeCell ref="AX17:AX31"/>
    <mergeCell ref="AW17:AW31"/>
    <mergeCell ref="AV17:AV31"/>
    <mergeCell ref="AY33:AY43"/>
    <mergeCell ref="AX33:AX43"/>
    <mergeCell ref="AV33:AV43"/>
    <mergeCell ref="AY45:AY55"/>
    <mergeCell ref="AX45:AX55"/>
    <mergeCell ref="AW45:AW55"/>
    <mergeCell ref="AV45:AV55"/>
    <mergeCell ref="BD48:BD52"/>
    <mergeCell ref="BD53:BD55"/>
    <mergeCell ref="AQ4:AQ15"/>
    <mergeCell ref="AR4:AR15"/>
    <mergeCell ref="U33:U35"/>
    <mergeCell ref="U36:U40"/>
    <mergeCell ref="U41:U43"/>
    <mergeCell ref="AB33:AB35"/>
    <mergeCell ref="AB36:AB40"/>
    <mergeCell ref="AB41:AB43"/>
    <mergeCell ref="U45:U47"/>
    <mergeCell ref="U48:U52"/>
    <mergeCell ref="U53:U55"/>
    <mergeCell ref="AB45:AB47"/>
    <mergeCell ref="AB48:AB52"/>
    <mergeCell ref="AB53:AB55"/>
    <mergeCell ref="BC45:BC55"/>
    <mergeCell ref="BA33:BA43"/>
    <mergeCell ref="BC33:BC43"/>
    <mergeCell ref="AA33:AA43"/>
    <mergeCell ref="AC33:AC43"/>
    <mergeCell ref="BD4:BD6"/>
    <mergeCell ref="BD8:BD11"/>
    <mergeCell ref="BD13:BD15"/>
    <mergeCell ref="BE45:BE55"/>
    <mergeCell ref="BF45:BF55"/>
    <mergeCell ref="T48:T52"/>
    <mergeCell ref="M53:M55"/>
    <mergeCell ref="T53:T55"/>
    <mergeCell ref="AN45:AN55"/>
    <mergeCell ref="AO45:AO55"/>
    <mergeCell ref="BA45:BA55"/>
    <mergeCell ref="AH45:AH55"/>
    <mergeCell ref="AI45:AI55"/>
    <mergeCell ref="AJ45:AJ55"/>
    <mergeCell ref="AK45:AK55"/>
    <mergeCell ref="AM45:AM55"/>
    <mergeCell ref="AA45:AA55"/>
    <mergeCell ref="AC45:AC55"/>
    <mergeCell ref="AD45:AD55"/>
    <mergeCell ref="AE45:AE55"/>
    <mergeCell ref="AF45:AF55"/>
    <mergeCell ref="AG45:AG47"/>
    <mergeCell ref="AG48:AG52"/>
    <mergeCell ref="AG53:AG55"/>
    <mergeCell ref="AL45:AL47"/>
    <mergeCell ref="AL48:AL52"/>
    <mergeCell ref="BD45:BD47"/>
    <mergeCell ref="B45:B55"/>
    <mergeCell ref="C45:C55"/>
    <mergeCell ref="D45:D55"/>
    <mergeCell ref="E45:E55"/>
    <mergeCell ref="F45:F55"/>
    <mergeCell ref="N45:N55"/>
    <mergeCell ref="T45:T47"/>
    <mergeCell ref="B33:B43"/>
    <mergeCell ref="C33:C43"/>
    <mergeCell ref="D33:D43"/>
    <mergeCell ref="E33:E43"/>
    <mergeCell ref="F33:F43"/>
    <mergeCell ref="N33:N43"/>
    <mergeCell ref="T33:T35"/>
    <mergeCell ref="BE33:BE43"/>
    <mergeCell ref="BF33:BF43"/>
    <mergeCell ref="AK33:AK43"/>
    <mergeCell ref="AM33:AM43"/>
    <mergeCell ref="AN33:AN43"/>
    <mergeCell ref="AO33:AO43"/>
    <mergeCell ref="AE33:AE43"/>
    <mergeCell ref="AF33:AF43"/>
    <mergeCell ref="AH33:AH43"/>
    <mergeCell ref="AI33:AI43"/>
    <mergeCell ref="AJ33:AJ43"/>
    <mergeCell ref="AG33:AG35"/>
    <mergeCell ref="AG36:AG40"/>
    <mergeCell ref="AG41:AG43"/>
    <mergeCell ref="AL33:AL35"/>
    <mergeCell ref="AL36:AL40"/>
    <mergeCell ref="AL41:AL43"/>
    <mergeCell ref="AU33:AU35"/>
    <mergeCell ref="AU36:AU40"/>
    <mergeCell ref="AU41:AU43"/>
    <mergeCell ref="BD36:BD40"/>
    <mergeCell ref="BD41:BD43"/>
    <mergeCell ref="BD33:BD35"/>
    <mergeCell ref="AW33:AW43"/>
    <mergeCell ref="AD33:AD43"/>
    <mergeCell ref="T36:T40"/>
    <mergeCell ref="M30:M31"/>
    <mergeCell ref="F17:F31"/>
    <mergeCell ref="G30:G31"/>
    <mergeCell ref="N17:N31"/>
    <mergeCell ref="T30:T31"/>
    <mergeCell ref="M20:M23"/>
    <mergeCell ref="T20:T23"/>
    <mergeCell ref="M24:M26"/>
    <mergeCell ref="T24:T26"/>
    <mergeCell ref="M27:M28"/>
    <mergeCell ref="T27:T28"/>
    <mergeCell ref="M41:M43"/>
    <mergeCell ref="T41:T43"/>
    <mergeCell ref="U17:U19"/>
    <mergeCell ref="U20:U23"/>
    <mergeCell ref="U24:U26"/>
    <mergeCell ref="U27:U28"/>
    <mergeCell ref="U30:U31"/>
    <mergeCell ref="AB17:AB19"/>
    <mergeCell ref="AB30:AB31"/>
    <mergeCell ref="AG17:AG19"/>
    <mergeCell ref="AG20:AG23"/>
    <mergeCell ref="AG24:AG26"/>
    <mergeCell ref="AG27:AG28"/>
    <mergeCell ref="AG30:AG31"/>
    <mergeCell ref="BF17:BF31"/>
    <mergeCell ref="BE17:BE31"/>
    <mergeCell ref="BC17:BC31"/>
    <mergeCell ref="BA17:BA31"/>
    <mergeCell ref="AK17:AK31"/>
    <mergeCell ref="AO17:AO31"/>
    <mergeCell ref="AN17:AN31"/>
    <mergeCell ref="AM17:AM31"/>
    <mergeCell ref="AJ17:AJ31"/>
    <mergeCell ref="AL17:AL19"/>
    <mergeCell ref="AL20:AL23"/>
    <mergeCell ref="AL24:AL26"/>
    <mergeCell ref="AL27:AL28"/>
    <mergeCell ref="AL30:AL31"/>
    <mergeCell ref="BD17:BD19"/>
    <mergeCell ref="BD20:BD23"/>
    <mergeCell ref="BD24:BD26"/>
    <mergeCell ref="BD27:BD28"/>
    <mergeCell ref="BD30:BD31"/>
    <mergeCell ref="H2:N2"/>
    <mergeCell ref="AC2:BF2"/>
    <mergeCell ref="AM4:AM15"/>
    <mergeCell ref="AN4:AN15"/>
    <mergeCell ref="AO4:AO15"/>
    <mergeCell ref="BA4:BA15"/>
    <mergeCell ref="AE4:AE15"/>
    <mergeCell ref="AF4:AF15"/>
    <mergeCell ref="AH4:AH15"/>
    <mergeCell ref="AJ4:AJ15"/>
    <mergeCell ref="AK4:AK15"/>
    <mergeCell ref="AA4:AA15"/>
    <mergeCell ref="BE4:BE15"/>
    <mergeCell ref="O2:AA2"/>
    <mergeCell ref="U4:U6"/>
    <mergeCell ref="U8:U11"/>
    <mergeCell ref="U13:U15"/>
    <mergeCell ref="AB4:AB6"/>
    <mergeCell ref="AB8:AB11"/>
    <mergeCell ref="AB13:AB15"/>
    <mergeCell ref="BF4:BF15"/>
    <mergeCell ref="BC4:BC15"/>
    <mergeCell ref="AI4:AI15"/>
    <mergeCell ref="AC4:AC15"/>
    <mergeCell ref="AD4:AD15"/>
    <mergeCell ref="T4:T6"/>
    <mergeCell ref="T8:T11"/>
    <mergeCell ref="T13:T15"/>
    <mergeCell ref="AG4:AG6"/>
    <mergeCell ref="AG8:AG11"/>
    <mergeCell ref="AG13:AG15"/>
    <mergeCell ref="AL4:AL6"/>
    <mergeCell ref="AL8:AL11"/>
    <mergeCell ref="AL13:AL15"/>
    <mergeCell ref="AK57:AK59"/>
    <mergeCell ref="E4:E15"/>
    <mergeCell ref="D4:D15"/>
    <mergeCell ref="C4:C15"/>
    <mergeCell ref="B4:B15"/>
    <mergeCell ref="N4:N15"/>
    <mergeCell ref="F4:F15"/>
    <mergeCell ref="M8:M11"/>
    <mergeCell ref="M13:M15"/>
    <mergeCell ref="AI17:AI31"/>
    <mergeCell ref="AH17:AH31"/>
    <mergeCell ref="AF17:AF31"/>
    <mergeCell ref="AE17:AE31"/>
    <mergeCell ref="T17:T19"/>
    <mergeCell ref="AA17:AA31"/>
    <mergeCell ref="AC17:AC31"/>
    <mergeCell ref="AD17:AD31"/>
    <mergeCell ref="B17:B31"/>
    <mergeCell ref="C17:C31"/>
    <mergeCell ref="D17:D31"/>
    <mergeCell ref="E17:E31"/>
    <mergeCell ref="AB20:AB23"/>
    <mergeCell ref="AB24:AB26"/>
    <mergeCell ref="AB27:AB28"/>
    <mergeCell ref="AB57:AB59"/>
    <mergeCell ref="AC57:AC59"/>
    <mergeCell ref="AD57:AD59"/>
    <mergeCell ref="AE57:AE59"/>
    <mergeCell ref="AF57:AF59"/>
    <mergeCell ref="AG57:AG59"/>
    <mergeCell ref="AH57:AH59"/>
    <mergeCell ref="AI57:AI59"/>
    <mergeCell ref="AJ57:AJ59"/>
    <mergeCell ref="F57:F59"/>
    <mergeCell ref="B57:B59"/>
    <mergeCell ref="C57:C59"/>
    <mergeCell ref="D57:D59"/>
    <mergeCell ref="E57:E59"/>
    <mergeCell ref="N57:N59"/>
    <mergeCell ref="T57:T59"/>
    <mergeCell ref="U57:U59"/>
    <mergeCell ref="AA57:AA59"/>
    <mergeCell ref="BF57:BF59"/>
    <mergeCell ref="AL57:AL59"/>
    <mergeCell ref="AM57:AM59"/>
    <mergeCell ref="AN57:AN59"/>
    <mergeCell ref="AO57:AO59"/>
    <mergeCell ref="AU57:AU59"/>
    <mergeCell ref="BA57:BA59"/>
    <mergeCell ref="BC57:BC59"/>
    <mergeCell ref="BD57:BD59"/>
    <mergeCell ref="BE57:BE59"/>
    <mergeCell ref="AP57:AP59"/>
    <mergeCell ref="AY57:AY59"/>
    <mergeCell ref="AX57:AX59"/>
    <mergeCell ref="AW57:AW59"/>
    <mergeCell ref="AV57:AV5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435E3-CC19-4E14-9058-A8F417F795C0}">
  <dimension ref="B2:D49"/>
  <sheetViews>
    <sheetView workbookViewId="0">
      <selection activeCell="B4" sqref="B4"/>
    </sheetView>
  </sheetViews>
  <sheetFormatPr baseColWidth="10" defaultRowHeight="15" x14ac:dyDescent="0.25"/>
  <cols>
    <col min="2" max="2" width="6" customWidth="1"/>
    <col min="3" max="3" width="45.85546875" customWidth="1"/>
    <col min="4" max="4" width="11.140625" customWidth="1"/>
  </cols>
  <sheetData>
    <row r="2" spans="2:4" ht="15.75" thickBot="1" x14ac:dyDescent="0.3"/>
    <row r="3" spans="2:4" ht="54.75" customHeight="1" thickBot="1" x14ac:dyDescent="0.3">
      <c r="B3" s="706" t="s">
        <v>659</v>
      </c>
      <c r="C3" s="707"/>
      <c r="D3" s="708"/>
    </row>
    <row r="4" spans="2:4" ht="15.75" thickBot="1" x14ac:dyDescent="0.3">
      <c r="B4" s="201" t="s">
        <v>588</v>
      </c>
      <c r="C4" s="202" t="s">
        <v>589</v>
      </c>
      <c r="D4" s="203" t="s">
        <v>81</v>
      </c>
    </row>
    <row r="5" spans="2:4" x14ac:dyDescent="0.25">
      <c r="B5" s="204">
        <v>1</v>
      </c>
      <c r="C5" s="205" t="s">
        <v>29</v>
      </c>
      <c r="D5" s="206">
        <v>861</v>
      </c>
    </row>
    <row r="6" spans="2:4" x14ac:dyDescent="0.25">
      <c r="B6" s="207">
        <v>2</v>
      </c>
      <c r="C6" s="208" t="s">
        <v>30</v>
      </c>
      <c r="D6" s="209">
        <v>666</v>
      </c>
    </row>
    <row r="7" spans="2:4" x14ac:dyDescent="0.25">
      <c r="B7" s="207">
        <v>3</v>
      </c>
      <c r="C7" s="208" t="s">
        <v>31</v>
      </c>
      <c r="D7" s="209">
        <v>558</v>
      </c>
    </row>
    <row r="8" spans="2:4" ht="15.75" thickBot="1" x14ac:dyDescent="0.3">
      <c r="B8" s="210">
        <v>4</v>
      </c>
      <c r="C8" s="211" t="s">
        <v>590</v>
      </c>
      <c r="D8" s="212">
        <v>526</v>
      </c>
    </row>
    <row r="9" spans="2:4" x14ac:dyDescent="0.25">
      <c r="B9" s="213">
        <v>5</v>
      </c>
      <c r="C9" s="214" t="s">
        <v>591</v>
      </c>
      <c r="D9" s="215">
        <v>465</v>
      </c>
    </row>
    <row r="10" spans="2:4" x14ac:dyDescent="0.25">
      <c r="B10" s="207">
        <v>6</v>
      </c>
      <c r="C10" s="208" t="s">
        <v>592</v>
      </c>
      <c r="D10" s="209">
        <v>464</v>
      </c>
    </row>
    <row r="11" spans="2:4" x14ac:dyDescent="0.25">
      <c r="B11" s="207">
        <v>7</v>
      </c>
      <c r="C11" s="208" t="s">
        <v>593</v>
      </c>
      <c r="D11" s="209">
        <v>456</v>
      </c>
    </row>
    <row r="12" spans="2:4" x14ac:dyDescent="0.25">
      <c r="B12" s="207">
        <v>8</v>
      </c>
      <c r="C12" s="208" t="s">
        <v>594</v>
      </c>
      <c r="D12" s="209">
        <v>442</v>
      </c>
    </row>
    <row r="13" spans="2:4" x14ac:dyDescent="0.25">
      <c r="B13" s="207">
        <v>9</v>
      </c>
      <c r="C13" s="208" t="s">
        <v>595</v>
      </c>
      <c r="D13" s="209">
        <v>349</v>
      </c>
    </row>
    <row r="14" spans="2:4" x14ac:dyDescent="0.25">
      <c r="B14" s="207">
        <v>10</v>
      </c>
      <c r="C14" s="208" t="s">
        <v>596</v>
      </c>
      <c r="D14" s="209">
        <v>332</v>
      </c>
    </row>
    <row r="15" spans="2:4" x14ac:dyDescent="0.25">
      <c r="B15" s="207">
        <v>11</v>
      </c>
      <c r="C15" s="208" t="s">
        <v>597</v>
      </c>
      <c r="D15" s="209">
        <v>301</v>
      </c>
    </row>
    <row r="16" spans="2:4" x14ac:dyDescent="0.25">
      <c r="B16" s="207">
        <v>12</v>
      </c>
      <c r="C16" s="208" t="s">
        <v>598</v>
      </c>
      <c r="D16" s="209">
        <v>212</v>
      </c>
    </row>
    <row r="17" spans="2:4" x14ac:dyDescent="0.25">
      <c r="B17" s="207">
        <v>13</v>
      </c>
      <c r="C17" s="208" t="s">
        <v>599</v>
      </c>
      <c r="D17" s="209">
        <v>197</v>
      </c>
    </row>
    <row r="18" spans="2:4" x14ac:dyDescent="0.25">
      <c r="B18" s="207">
        <v>14</v>
      </c>
      <c r="C18" s="208" t="s">
        <v>600</v>
      </c>
      <c r="D18" s="209">
        <v>180</v>
      </c>
    </row>
    <row r="19" spans="2:4" x14ac:dyDescent="0.25">
      <c r="B19" s="207">
        <v>15</v>
      </c>
      <c r="C19" s="208" t="s">
        <v>601</v>
      </c>
      <c r="D19" s="209">
        <v>159</v>
      </c>
    </row>
    <row r="20" spans="2:4" x14ac:dyDescent="0.25">
      <c r="B20" s="207">
        <v>16</v>
      </c>
      <c r="C20" s="208" t="s">
        <v>602</v>
      </c>
      <c r="D20" s="209">
        <v>154</v>
      </c>
    </row>
    <row r="21" spans="2:4" x14ac:dyDescent="0.25">
      <c r="B21" s="207">
        <v>17</v>
      </c>
      <c r="C21" s="208" t="s">
        <v>603</v>
      </c>
      <c r="D21" s="209">
        <v>139</v>
      </c>
    </row>
    <row r="22" spans="2:4" x14ac:dyDescent="0.25">
      <c r="B22" s="207">
        <v>18</v>
      </c>
      <c r="C22" s="208" t="s">
        <v>604</v>
      </c>
      <c r="D22" s="209">
        <v>121</v>
      </c>
    </row>
    <row r="23" spans="2:4" x14ac:dyDescent="0.25">
      <c r="B23" s="207">
        <v>19</v>
      </c>
      <c r="C23" s="208" t="s">
        <v>605</v>
      </c>
      <c r="D23" s="209">
        <v>111</v>
      </c>
    </row>
    <row r="24" spans="2:4" x14ac:dyDescent="0.25">
      <c r="B24" s="207">
        <v>20</v>
      </c>
      <c r="C24" s="208" t="s">
        <v>606</v>
      </c>
      <c r="D24" s="209">
        <v>110</v>
      </c>
    </row>
    <row r="25" spans="2:4" x14ac:dyDescent="0.25">
      <c r="B25" s="207">
        <v>21</v>
      </c>
      <c r="C25" s="208" t="s">
        <v>607</v>
      </c>
      <c r="D25" s="209">
        <v>100</v>
      </c>
    </row>
    <row r="26" spans="2:4" x14ac:dyDescent="0.25">
      <c r="B26" s="207">
        <v>22</v>
      </c>
      <c r="C26" s="208" t="s">
        <v>608</v>
      </c>
      <c r="D26" s="209">
        <v>97</v>
      </c>
    </row>
    <row r="27" spans="2:4" x14ac:dyDescent="0.25">
      <c r="B27" s="207">
        <v>23</v>
      </c>
      <c r="C27" s="208" t="s">
        <v>609</v>
      </c>
      <c r="D27" s="209">
        <v>94</v>
      </c>
    </row>
    <row r="28" spans="2:4" x14ac:dyDescent="0.25">
      <c r="B28" s="207">
        <v>24</v>
      </c>
      <c r="C28" s="208" t="s">
        <v>610</v>
      </c>
      <c r="D28" s="209">
        <v>88</v>
      </c>
    </row>
    <row r="29" spans="2:4" x14ac:dyDescent="0.25">
      <c r="B29" s="207">
        <v>25</v>
      </c>
      <c r="C29" s="208" t="s">
        <v>611</v>
      </c>
      <c r="D29" s="209">
        <v>78</v>
      </c>
    </row>
    <row r="30" spans="2:4" x14ac:dyDescent="0.25">
      <c r="B30" s="207">
        <v>26</v>
      </c>
      <c r="C30" s="208" t="s">
        <v>612</v>
      </c>
      <c r="D30" s="209">
        <v>73</v>
      </c>
    </row>
    <row r="31" spans="2:4" x14ac:dyDescent="0.25">
      <c r="B31" s="207">
        <v>27</v>
      </c>
      <c r="C31" s="208" t="s">
        <v>613</v>
      </c>
      <c r="D31" s="209">
        <v>62</v>
      </c>
    </row>
    <row r="32" spans="2:4" x14ac:dyDescent="0.25">
      <c r="B32" s="207">
        <v>28</v>
      </c>
      <c r="C32" s="208" t="s">
        <v>614</v>
      </c>
      <c r="D32" s="209">
        <v>57</v>
      </c>
    </row>
    <row r="33" spans="2:4" x14ac:dyDescent="0.25">
      <c r="B33" s="207">
        <v>29</v>
      </c>
      <c r="C33" s="208" t="s">
        <v>615</v>
      </c>
      <c r="D33" s="209">
        <v>50</v>
      </c>
    </row>
    <row r="34" spans="2:4" x14ac:dyDescent="0.25">
      <c r="B34" s="207">
        <v>30</v>
      </c>
      <c r="C34" s="208" t="s">
        <v>616</v>
      </c>
      <c r="D34" s="209">
        <v>48</v>
      </c>
    </row>
    <row r="35" spans="2:4" x14ac:dyDescent="0.25">
      <c r="B35" s="207">
        <v>31</v>
      </c>
      <c r="C35" s="208" t="s">
        <v>617</v>
      </c>
      <c r="D35" s="209">
        <v>45</v>
      </c>
    </row>
    <row r="36" spans="2:4" x14ac:dyDescent="0.25">
      <c r="B36" s="207">
        <v>32</v>
      </c>
      <c r="C36" s="208" t="s">
        <v>618</v>
      </c>
      <c r="D36" s="209">
        <v>37</v>
      </c>
    </row>
    <row r="37" spans="2:4" x14ac:dyDescent="0.25">
      <c r="B37" s="207">
        <v>33</v>
      </c>
      <c r="C37" s="208" t="s">
        <v>619</v>
      </c>
      <c r="D37" s="209">
        <v>34</v>
      </c>
    </row>
    <row r="38" spans="2:4" x14ac:dyDescent="0.25">
      <c r="B38" s="207">
        <v>34</v>
      </c>
      <c r="C38" s="208" t="s">
        <v>620</v>
      </c>
      <c r="D38" s="209">
        <v>18</v>
      </c>
    </row>
    <row r="39" spans="2:4" x14ac:dyDescent="0.25">
      <c r="B39" s="207">
        <v>35</v>
      </c>
      <c r="C39" s="208" t="s">
        <v>621</v>
      </c>
      <c r="D39" s="209">
        <v>18</v>
      </c>
    </row>
    <row r="40" spans="2:4" x14ac:dyDescent="0.25">
      <c r="B40" s="207">
        <v>36</v>
      </c>
      <c r="C40" s="208" t="s">
        <v>622</v>
      </c>
      <c r="D40" s="209">
        <v>14</v>
      </c>
    </row>
    <row r="41" spans="2:4" x14ac:dyDescent="0.25">
      <c r="B41" s="207">
        <v>37</v>
      </c>
      <c r="C41" s="208" t="s">
        <v>623</v>
      </c>
      <c r="D41" s="209">
        <v>12</v>
      </c>
    </row>
    <row r="42" spans="2:4" x14ac:dyDescent="0.25">
      <c r="B42" s="207">
        <v>38</v>
      </c>
      <c r="C42" s="208" t="s">
        <v>624</v>
      </c>
      <c r="D42" s="209">
        <v>8</v>
      </c>
    </row>
    <row r="43" spans="2:4" x14ac:dyDescent="0.25">
      <c r="B43" s="207">
        <v>39</v>
      </c>
      <c r="C43" s="208" t="s">
        <v>625</v>
      </c>
      <c r="D43" s="209">
        <v>8</v>
      </c>
    </row>
    <row r="44" spans="2:4" x14ac:dyDescent="0.25">
      <c r="B44" s="207">
        <v>40</v>
      </c>
      <c r="C44" s="208" t="s">
        <v>626</v>
      </c>
      <c r="D44" s="209">
        <v>7</v>
      </c>
    </row>
    <row r="45" spans="2:4" x14ac:dyDescent="0.25">
      <c r="B45" s="207">
        <v>41</v>
      </c>
      <c r="C45" s="208" t="s">
        <v>627</v>
      </c>
      <c r="D45" s="209">
        <v>7</v>
      </c>
    </row>
    <row r="46" spans="2:4" x14ac:dyDescent="0.25">
      <c r="B46" s="207">
        <v>42</v>
      </c>
      <c r="C46" s="208" t="s">
        <v>628</v>
      </c>
      <c r="D46" s="209">
        <v>7</v>
      </c>
    </row>
    <row r="47" spans="2:4" x14ac:dyDescent="0.25">
      <c r="B47" s="207">
        <v>43</v>
      </c>
      <c r="C47" s="208" t="s">
        <v>629</v>
      </c>
      <c r="D47" s="209">
        <v>4</v>
      </c>
    </row>
    <row r="48" spans="2:4" ht="15.75" thickBot="1" x14ac:dyDescent="0.3">
      <c r="B48" s="210">
        <v>44</v>
      </c>
      <c r="C48" s="211" t="s">
        <v>630</v>
      </c>
      <c r="D48" s="212">
        <v>1</v>
      </c>
    </row>
    <row r="49" spans="2:4" ht="15.75" thickBot="1" x14ac:dyDescent="0.3">
      <c r="B49" s="709" t="s">
        <v>631</v>
      </c>
      <c r="C49" s="710"/>
      <c r="D49" s="216">
        <f>SUM(D5:D48)</f>
        <v>7770</v>
      </c>
    </row>
  </sheetData>
  <mergeCells count="2">
    <mergeCell ref="B3:D3"/>
    <mergeCell ref="B49:C4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67610-0018-4F0D-946F-847870730BCC}">
  <dimension ref="A2:H36"/>
  <sheetViews>
    <sheetView workbookViewId="0">
      <selection activeCell="J34" sqref="J34"/>
    </sheetView>
  </sheetViews>
  <sheetFormatPr baseColWidth="10" defaultRowHeight="15" x14ac:dyDescent="0.25"/>
  <cols>
    <col min="1" max="1" width="3.140625" style="193" bestFit="1" customWidth="1"/>
    <col min="2" max="2" width="23.7109375" customWidth="1"/>
    <col min="3" max="4" width="15.5703125" style="197" bestFit="1" customWidth="1"/>
    <col min="5" max="5" width="16.140625" customWidth="1"/>
    <col min="6" max="6" width="15.42578125" bestFit="1" customWidth="1"/>
    <col min="7" max="7" width="14" bestFit="1" customWidth="1"/>
    <col min="8" max="8" width="21.5703125" bestFit="1" customWidth="1"/>
  </cols>
  <sheetData>
    <row r="2" spans="1:8" x14ac:dyDescent="0.25">
      <c r="B2" s="711" t="s">
        <v>561</v>
      </c>
      <c r="C2" s="711"/>
      <c r="D2" s="711"/>
      <c r="E2" s="711"/>
      <c r="F2" s="711"/>
      <c r="G2" s="711"/>
      <c r="H2" s="711"/>
    </row>
    <row r="3" spans="1:8" x14ac:dyDescent="0.25">
      <c r="A3" s="194" t="s">
        <v>139</v>
      </c>
      <c r="B3" s="105" t="s">
        <v>562</v>
      </c>
      <c r="C3" s="177" t="s">
        <v>557</v>
      </c>
      <c r="D3" s="177" t="s">
        <v>558</v>
      </c>
      <c r="E3" s="105" t="s">
        <v>556</v>
      </c>
      <c r="F3" s="105" t="s">
        <v>559</v>
      </c>
      <c r="G3" s="105" t="s">
        <v>560</v>
      </c>
      <c r="H3" s="105" t="s">
        <v>563</v>
      </c>
    </row>
    <row r="4" spans="1:8" x14ac:dyDescent="0.25">
      <c r="A4" s="194">
        <v>1</v>
      </c>
      <c r="B4" s="5" t="str">
        <f>+Matriz_Costeo_ABC!G4</f>
        <v>Preparación proteina</v>
      </c>
      <c r="C4" s="195">
        <f>+Matriz_Costeo_ABC!M4</f>
        <v>1540329</v>
      </c>
      <c r="D4" s="195">
        <f>+Matriz_Costeo_ABC!T4</f>
        <v>366489.00032806257</v>
      </c>
      <c r="E4" s="195">
        <f>+C4+D4</f>
        <v>1906818.0003280626</v>
      </c>
      <c r="F4" s="173">
        <f>+E4/$E$7</f>
        <v>0.9587699051655999</v>
      </c>
      <c r="G4" s="195">
        <f>+Matriz_Costeo_ABC!$AA$4</f>
        <v>56828.599083719171</v>
      </c>
      <c r="H4" s="174">
        <f>+G4*F4</f>
        <v>54485.55055419133</v>
      </c>
    </row>
    <row r="5" spans="1:8" x14ac:dyDescent="0.25">
      <c r="A5" s="194">
        <v>2</v>
      </c>
      <c r="B5" s="5" t="str">
        <f>+Matriz_Costeo_ABC!G8</f>
        <v>Preparación vegetales</v>
      </c>
      <c r="C5" s="195">
        <f>+Matriz_Costeo_ABC!M8</f>
        <v>3439.6949999999997</v>
      </c>
      <c r="D5" s="195">
        <f>+Matriz_Costeo_ABC!T8</f>
        <v>46075.737273416678</v>
      </c>
      <c r="E5" s="195">
        <f t="shared" ref="E5:E6" si="0">+C5+D5</f>
        <v>49515.432273416678</v>
      </c>
      <c r="F5" s="173">
        <f>+E5/$E$7</f>
        <v>2.4896925819270454E-2</v>
      </c>
      <c r="G5" s="195">
        <f>+Matriz_Costeo_ABC!$AA$4</f>
        <v>56828.599083719171</v>
      </c>
      <c r="H5" s="174">
        <f t="shared" ref="H5:H6" si="1">+G5*F5</f>
        <v>1414.8574158004171</v>
      </c>
    </row>
    <row r="6" spans="1:8" x14ac:dyDescent="0.25">
      <c r="A6" s="194">
        <v>3</v>
      </c>
      <c r="B6" s="5" t="str">
        <f>+Matriz_Costeo_ABC!G13</f>
        <v>Preparación ensalada</v>
      </c>
      <c r="C6" s="195">
        <f>+Matriz_Costeo_ABC!M13</f>
        <v>12578.4925</v>
      </c>
      <c r="D6" s="195">
        <f>+Matriz_Costeo_ABC!T13</f>
        <v>19905.193640597226</v>
      </c>
      <c r="E6" s="195">
        <f t="shared" si="0"/>
        <v>32483.686140597227</v>
      </c>
      <c r="F6" s="173">
        <f>+E6/$E$7</f>
        <v>1.6333169015129507E-2</v>
      </c>
      <c r="G6" s="195">
        <f>+Matriz_Costeo_ABC!$AA$4</f>
        <v>56828.599083719171</v>
      </c>
      <c r="H6" s="174">
        <f t="shared" si="1"/>
        <v>928.19111372741907</v>
      </c>
    </row>
    <row r="7" spans="1:8" x14ac:dyDescent="0.25">
      <c r="B7" s="712" t="s">
        <v>91</v>
      </c>
      <c r="C7" s="713"/>
      <c r="D7" s="714"/>
      <c r="E7" s="195">
        <f>SUM(E4:E6)</f>
        <v>1988817.1187420767</v>
      </c>
      <c r="F7" s="196">
        <f>SUM(F4:F6)</f>
        <v>0.99999999999999989</v>
      </c>
      <c r="G7" s="5"/>
      <c r="H7" s="174">
        <f>SUM(H4:H6)</f>
        <v>56828.599083719171</v>
      </c>
    </row>
    <row r="10" spans="1:8" x14ac:dyDescent="0.25">
      <c r="B10" s="711" t="s">
        <v>565</v>
      </c>
      <c r="C10" s="711"/>
      <c r="D10" s="711"/>
      <c r="E10" s="711"/>
      <c r="F10" s="711"/>
      <c r="G10" s="711"/>
      <c r="H10" s="711"/>
    </row>
    <row r="11" spans="1:8" x14ac:dyDescent="0.25">
      <c r="A11" s="194" t="s">
        <v>139</v>
      </c>
      <c r="B11" s="105" t="s">
        <v>562</v>
      </c>
      <c r="C11" s="177" t="s">
        <v>557</v>
      </c>
      <c r="D11" s="177" t="s">
        <v>558</v>
      </c>
      <c r="E11" s="105" t="s">
        <v>556</v>
      </c>
      <c r="F11" s="105" t="s">
        <v>559</v>
      </c>
      <c r="G11" s="105" t="s">
        <v>560</v>
      </c>
      <c r="H11" s="105" t="s">
        <v>563</v>
      </c>
    </row>
    <row r="12" spans="1:8" x14ac:dyDescent="0.25">
      <c r="A12" s="194">
        <v>1</v>
      </c>
      <c r="B12" s="5" t="str">
        <f>+Matriz_Costeo_ABC!G17</f>
        <v>Preparación proteina</v>
      </c>
      <c r="C12" s="195">
        <f>+Matriz_Costeo_ABC!M17</f>
        <v>748696.5</v>
      </c>
      <c r="D12" s="195">
        <f>+Matriz_Costeo_ABC!T17</f>
        <v>161192.36599425002</v>
      </c>
      <c r="E12" s="195">
        <f>+C12+D12</f>
        <v>909888.86599425005</v>
      </c>
      <c r="F12" s="173">
        <f>+E12/$E$18</f>
        <v>0.17911455148484662</v>
      </c>
      <c r="G12" s="195">
        <f>+Matriz_Costeo_ABC!$AA$4</f>
        <v>56828.599083719171</v>
      </c>
      <c r="H12" s="174">
        <f>+G12*F12</f>
        <v>10178.829036392524</v>
      </c>
    </row>
    <row r="13" spans="1:8" x14ac:dyDescent="0.25">
      <c r="A13" s="194">
        <v>2</v>
      </c>
      <c r="B13" s="5" t="str">
        <f>+Matriz_Costeo_ABC!G20</f>
        <v>Preparación vegetales</v>
      </c>
      <c r="C13" s="195">
        <f>+Matriz_Costeo_ABC!M20</f>
        <v>18551.640000000003</v>
      </c>
      <c r="D13" s="195">
        <f>+Matriz_Costeo_ABC!T20</f>
        <v>25800.460049833338</v>
      </c>
      <c r="E13" s="195">
        <f t="shared" ref="E13:E14" si="2">+C13+D13</f>
        <v>44352.100049833345</v>
      </c>
      <c r="F13" s="173">
        <f t="shared" ref="F13:F17" si="3">+E13/$E$18</f>
        <v>8.7308536292026069E-3</v>
      </c>
      <c r="G13" s="195">
        <f>+Matriz_Costeo_ABC!$AA$4</f>
        <v>56828.599083719171</v>
      </c>
      <c r="H13" s="174">
        <f t="shared" ref="H13:H17" si="4">+G13*F13</f>
        <v>496.16218055258946</v>
      </c>
    </row>
    <row r="14" spans="1:8" x14ac:dyDescent="0.25">
      <c r="A14" s="194">
        <v>3</v>
      </c>
      <c r="B14" s="5" t="str">
        <f>+Matriz_Costeo_ABC!G24</f>
        <v>Preparación ensalada</v>
      </c>
      <c r="C14" s="195">
        <f>+Matriz_Costeo_ABC!M24</f>
        <v>8151.915</v>
      </c>
      <c r="D14" s="195">
        <f>+Matriz_Costeo_ABC!T24</f>
        <v>19350.345037375006</v>
      </c>
      <c r="E14" s="195">
        <f t="shared" si="2"/>
        <v>27502.260037375007</v>
      </c>
      <c r="F14" s="173">
        <f t="shared" si="3"/>
        <v>5.4139083964185744E-3</v>
      </c>
      <c r="G14" s="195">
        <f>+Matriz_Costeo_ABC!$AA$4</f>
        <v>56828.599083719171</v>
      </c>
      <c r="H14" s="174">
        <f t="shared" si="4"/>
        <v>307.66482973605213</v>
      </c>
    </row>
    <row r="15" spans="1:8" x14ac:dyDescent="0.25">
      <c r="A15" s="194">
        <v>4</v>
      </c>
      <c r="B15" s="5" t="str">
        <f>+Matriz_Costeo_ABC!G27</f>
        <v>Preparación salsa</v>
      </c>
      <c r="C15" s="195">
        <f>+Matriz_Costeo_ABC!M27</f>
        <v>227524.5</v>
      </c>
      <c r="D15" s="195">
        <f>+Matriz_Costeo_ABC!T27</f>
        <v>12900.230024916669</v>
      </c>
      <c r="E15" s="195">
        <f>SUM(E12:E14)</f>
        <v>981743.22608145839</v>
      </c>
      <c r="F15" s="173">
        <f t="shared" si="3"/>
        <v>0.1932593135104678</v>
      </c>
      <c r="G15" s="195">
        <f>+Matriz_Costeo_ABC!$AA$4</f>
        <v>56828.599083719171</v>
      </c>
      <c r="H15" s="174">
        <f t="shared" si="4"/>
        <v>10982.656046681166</v>
      </c>
    </row>
    <row r="16" spans="1:8" x14ac:dyDescent="0.25">
      <c r="A16" s="194">
        <v>5</v>
      </c>
      <c r="B16" s="5" t="str">
        <f>+Matriz_Costeo_ABC!G29</f>
        <v xml:space="preserve">Preparación guarnición </v>
      </c>
      <c r="C16" s="195">
        <f>+Matriz_Costeo_ABC!M29</f>
        <v>26970</v>
      </c>
      <c r="D16" s="195">
        <f>+Matriz_Costeo_ABC!T29</f>
        <v>12900.230024916669</v>
      </c>
      <c r="E16" s="195">
        <f t="shared" ref="E16:E17" si="5">SUM(E13:E15)</f>
        <v>1053597.5861686668</v>
      </c>
      <c r="F16" s="173">
        <f t="shared" si="3"/>
        <v>0.207404075536089</v>
      </c>
      <c r="G16" s="195">
        <f>+Matriz_Costeo_ABC!$AA$4</f>
        <v>56828.599083719171</v>
      </c>
      <c r="H16" s="174">
        <f t="shared" si="4"/>
        <v>11786.48305696981</v>
      </c>
    </row>
    <row r="17" spans="1:8" x14ac:dyDescent="0.25">
      <c r="A17" s="194">
        <v>6</v>
      </c>
      <c r="B17" s="5" t="str">
        <f>+Matriz_Costeo_ABC!G30</f>
        <v>Preparación salsa espesa</v>
      </c>
      <c r="C17" s="195">
        <f>+Matriz_Costeo_ABC!M30</f>
        <v>5247.5249999999996</v>
      </c>
      <c r="D17" s="195">
        <f>+Matriz_Costeo_ABC!T30</f>
        <v>12900.230024916669</v>
      </c>
      <c r="E17" s="195">
        <f t="shared" si="5"/>
        <v>2062843.0722875004</v>
      </c>
      <c r="F17" s="173">
        <f t="shared" si="3"/>
        <v>0.40607729744297538</v>
      </c>
      <c r="G17" s="195">
        <f>+Matriz_Costeo_ABC!$AA$4</f>
        <v>56828.599083719171</v>
      </c>
      <c r="H17" s="174">
        <f t="shared" si="4"/>
        <v>23076.803933387029</v>
      </c>
    </row>
    <row r="18" spans="1:8" x14ac:dyDescent="0.25">
      <c r="B18" s="715" t="s">
        <v>91</v>
      </c>
      <c r="C18" s="715"/>
      <c r="D18" s="715"/>
      <c r="E18" s="175">
        <f>SUM(E12:E17)</f>
        <v>5079927.110619084</v>
      </c>
      <c r="F18" s="176">
        <f>SUM(F12:F17)</f>
        <v>1</v>
      </c>
      <c r="G18" s="91"/>
      <c r="H18" s="175">
        <f>SUM(H12:H17)</f>
        <v>56828.599083719164</v>
      </c>
    </row>
    <row r="20" spans="1:8" x14ac:dyDescent="0.25">
      <c r="B20" s="711" t="s">
        <v>566</v>
      </c>
      <c r="C20" s="711"/>
      <c r="D20" s="711"/>
      <c r="E20" s="711"/>
      <c r="F20" s="711"/>
      <c r="G20" s="711"/>
      <c r="H20" s="711"/>
    </row>
    <row r="21" spans="1:8" x14ac:dyDescent="0.25">
      <c r="A21" s="194" t="s">
        <v>139</v>
      </c>
      <c r="B21" s="105" t="s">
        <v>562</v>
      </c>
      <c r="C21" s="177" t="s">
        <v>557</v>
      </c>
      <c r="D21" s="177" t="s">
        <v>558</v>
      </c>
      <c r="E21" s="105" t="s">
        <v>556</v>
      </c>
      <c r="F21" s="105" t="s">
        <v>559</v>
      </c>
      <c r="G21" s="105" t="s">
        <v>560</v>
      </c>
      <c r="H21" s="105" t="s">
        <v>563</v>
      </c>
    </row>
    <row r="22" spans="1:8" x14ac:dyDescent="0.25">
      <c r="A22" s="194">
        <v>1</v>
      </c>
      <c r="B22" s="5" t="str">
        <f>+Matriz_Costeo_ABC!G33</f>
        <v>Preparación de la milanesa</v>
      </c>
      <c r="C22" s="195">
        <f>+Matriz_Costeo_ABC!M33</f>
        <v>355338.75</v>
      </c>
      <c r="D22" s="195">
        <f>+Matriz_Costeo_ABC!T33</f>
        <v>171014.123062</v>
      </c>
      <c r="E22" s="195">
        <f>+C22+D22</f>
        <v>526352.87306200003</v>
      </c>
      <c r="F22" s="173">
        <f>+E22/$E$25</f>
        <v>0.84581717561740766</v>
      </c>
      <c r="G22" s="195">
        <f>+Matriz_Costeo_ABC!$AA$4</f>
        <v>56828.599083719171</v>
      </c>
      <c r="H22" s="174">
        <f>+G22*F22</f>
        <v>48066.605171285351</v>
      </c>
    </row>
    <row r="23" spans="1:8" x14ac:dyDescent="0.25">
      <c r="A23" s="194">
        <v>2</v>
      </c>
      <c r="B23" s="5" t="str">
        <f>+Matriz_Costeo_ABC!G36</f>
        <v>Preparación guarnición</v>
      </c>
      <c r="C23" s="195">
        <f>+Matriz_Costeo_ABC!M36</f>
        <v>32328.75</v>
      </c>
      <c r="D23" s="195">
        <f>+Matriz_Costeo_ABC!T36</f>
        <v>38492.621848541676</v>
      </c>
      <c r="E23" s="195">
        <f t="shared" ref="E23:E24" si="6">+C23+D23</f>
        <v>70821.371848541676</v>
      </c>
      <c r="F23" s="173">
        <f>+E23/$E$25</f>
        <v>0.11380565353773181</v>
      </c>
      <c r="G23" s="195">
        <f>+Matriz_Costeo_ABC!$AA$4</f>
        <v>56828.599083719171</v>
      </c>
      <c r="H23" s="174">
        <f t="shared" ref="H23:H24" si="7">+G23*F23</f>
        <v>6467.4158583564076</v>
      </c>
    </row>
    <row r="24" spans="1:8" x14ac:dyDescent="0.25">
      <c r="A24" s="194">
        <v>3</v>
      </c>
      <c r="B24" s="5" t="str">
        <f>+Matriz_Costeo_ABC!G41</f>
        <v>Preparación ensalada</v>
      </c>
      <c r="C24" s="195">
        <f>+Matriz_Costeo_ABC!M41</f>
        <v>9729.7049999999999</v>
      </c>
      <c r="D24" s="195">
        <f>+Matriz_Costeo_ABC!T41</f>
        <v>15397.04873941667</v>
      </c>
      <c r="E24" s="195">
        <f t="shared" si="6"/>
        <v>25126.753739416672</v>
      </c>
      <c r="F24" s="173">
        <f>+E24/$E$25</f>
        <v>4.0377170844860498E-2</v>
      </c>
      <c r="G24" s="195">
        <f>+Matriz_Costeo_ABC!$AA$4</f>
        <v>56828.599083719171</v>
      </c>
      <c r="H24" s="174">
        <f t="shared" si="7"/>
        <v>2294.5780540774117</v>
      </c>
    </row>
    <row r="25" spans="1:8" x14ac:dyDescent="0.25">
      <c r="A25"/>
      <c r="B25" s="712" t="s">
        <v>91</v>
      </c>
      <c r="C25" s="713"/>
      <c r="D25" s="714"/>
      <c r="E25" s="175">
        <f>SUM(E22:E24)</f>
        <v>622300.9986499584</v>
      </c>
      <c r="F25" s="176">
        <f>SUM(F22:F24)</f>
        <v>0.99999999999999989</v>
      </c>
      <c r="G25" s="91"/>
      <c r="H25" s="175">
        <f>SUM(H22:H24)</f>
        <v>56828.599083719171</v>
      </c>
    </row>
    <row r="27" spans="1:8" x14ac:dyDescent="0.25">
      <c r="B27" s="711" t="s">
        <v>568</v>
      </c>
      <c r="C27" s="711"/>
      <c r="D27" s="711"/>
      <c r="E27" s="711"/>
      <c r="F27" s="711"/>
      <c r="G27" s="711"/>
      <c r="H27" s="711"/>
    </row>
    <row r="28" spans="1:8" x14ac:dyDescent="0.25">
      <c r="A28" s="194" t="s">
        <v>139</v>
      </c>
      <c r="B28" s="105" t="s">
        <v>562</v>
      </c>
      <c r="C28" s="177" t="s">
        <v>557</v>
      </c>
      <c r="D28" s="177" t="s">
        <v>558</v>
      </c>
      <c r="E28" s="105" t="s">
        <v>556</v>
      </c>
      <c r="F28" s="105" t="s">
        <v>559</v>
      </c>
      <c r="G28" s="105" t="s">
        <v>560</v>
      </c>
      <c r="H28" s="105" t="s">
        <v>563</v>
      </c>
    </row>
    <row r="29" spans="1:8" x14ac:dyDescent="0.25">
      <c r="A29" s="193">
        <v>1</v>
      </c>
      <c r="B29" s="5" t="str">
        <f>+Matriz_Costeo_ABC!G45</f>
        <v>Preparación de la trucha</v>
      </c>
      <c r="C29" s="195">
        <f>+Matriz_Costeo_ABC!M45</f>
        <v>458126.1</v>
      </c>
      <c r="D29" s="195">
        <f>+Matriz_Costeo_ABC!T45</f>
        <v>134962.49711919998</v>
      </c>
      <c r="E29" s="195">
        <f>+C29+D29</f>
        <v>593088.59711919993</v>
      </c>
      <c r="F29" s="173">
        <f>+E29/$E$32</f>
        <v>0.90881638039155654</v>
      </c>
      <c r="G29" s="195">
        <f>+Matriz_Costeo_ABC!$AA$4</f>
        <v>56828.599083719171</v>
      </c>
      <c r="H29" s="174">
        <f>+G29*F29</f>
        <v>51646.761721988587</v>
      </c>
    </row>
    <row r="30" spans="1:8" x14ac:dyDescent="0.25">
      <c r="A30" s="193">
        <v>2</v>
      </c>
      <c r="B30" s="5" t="str">
        <f>+Matriz_Costeo_ABC!G48</f>
        <v>Preparación platano</v>
      </c>
      <c r="C30" s="195">
        <f>+Matriz_Costeo_ABC!M48</f>
        <v>15373.8</v>
      </c>
      <c r="D30" s="195">
        <f>+Matriz_Costeo_ABC!T48</f>
        <v>24302.368821133336</v>
      </c>
      <c r="E30" s="195">
        <f t="shared" ref="E30:E31" si="8">+C30+D30</f>
        <v>39676.168821133338</v>
      </c>
      <c r="F30" s="173">
        <f t="shared" ref="F30:F31" si="9">+E30/$E$32</f>
        <v>6.0797581189340699E-2</v>
      </c>
      <c r="G30" s="195">
        <f>+Matriz_Costeo_ABC!$AA$4</f>
        <v>56828.599083719171</v>
      </c>
      <c r="H30" s="174">
        <f t="shared" ref="H30:H31" si="10">+G30*F30</f>
        <v>3455.0413666689087</v>
      </c>
    </row>
    <row r="31" spans="1:8" x14ac:dyDescent="0.25">
      <c r="A31" s="193">
        <v>3</v>
      </c>
      <c r="B31" s="5" t="str">
        <f>+Matriz_Costeo_ABC!G53</f>
        <v>Preparación ensalada</v>
      </c>
      <c r="C31" s="195">
        <f>+Matriz_Costeo_ABC!M53</f>
        <v>7678.5779999999995</v>
      </c>
      <c r="D31" s="195">
        <f>+Matriz_Costeo_ABC!T53</f>
        <v>12151.184410566668</v>
      </c>
      <c r="E31" s="195">
        <f t="shared" si="8"/>
        <v>19829.762410566669</v>
      </c>
      <c r="F31" s="173">
        <f t="shared" si="9"/>
        <v>3.0386038419102729E-2</v>
      </c>
      <c r="G31" s="195">
        <f>+Matriz_Costeo_ABC!$AA$4</f>
        <v>56828.599083719171</v>
      </c>
      <c r="H31" s="174">
        <f t="shared" si="10"/>
        <v>1726.7959950616769</v>
      </c>
    </row>
    <row r="32" spans="1:8" x14ac:dyDescent="0.25">
      <c r="B32" s="712" t="s">
        <v>91</v>
      </c>
      <c r="C32" s="713"/>
      <c r="D32" s="714"/>
      <c r="E32" s="175">
        <f>SUM(E29:E31)</f>
        <v>652594.52835089993</v>
      </c>
      <c r="F32" s="176">
        <f>SUM(F29:F31)</f>
        <v>0.99999999999999989</v>
      </c>
      <c r="G32" s="91"/>
      <c r="H32" s="175">
        <f>SUM(H29:H31)</f>
        <v>56828.599083719171</v>
      </c>
    </row>
    <row r="34" spans="1:8" x14ac:dyDescent="0.25">
      <c r="B34" s="711" t="s">
        <v>568</v>
      </c>
      <c r="C34" s="711"/>
      <c r="D34" s="711"/>
      <c r="E34" s="711"/>
      <c r="F34" s="711"/>
      <c r="G34" s="711"/>
      <c r="H34" s="711"/>
    </row>
    <row r="35" spans="1:8" x14ac:dyDescent="0.25">
      <c r="A35" s="194" t="s">
        <v>139</v>
      </c>
      <c r="B35" s="105" t="s">
        <v>562</v>
      </c>
      <c r="C35" s="177" t="s">
        <v>557</v>
      </c>
      <c r="D35" s="177" t="s">
        <v>558</v>
      </c>
      <c r="E35" s="105" t="s">
        <v>556</v>
      </c>
      <c r="F35" s="105" t="s">
        <v>559</v>
      </c>
      <c r="G35" s="105" t="s">
        <v>560</v>
      </c>
      <c r="H35" s="105" t="s">
        <v>563</v>
      </c>
    </row>
    <row r="36" spans="1:8" x14ac:dyDescent="0.25">
      <c r="A36" s="193">
        <v>1</v>
      </c>
      <c r="B36" s="5" t="s">
        <v>647</v>
      </c>
      <c r="C36" s="195">
        <f>+Matriz_Costeo_ABC!M58</f>
        <v>51017818</v>
      </c>
      <c r="D36" s="195">
        <f>+Matriz_Costeo_ABC!T57</f>
        <v>6525206.2882542498</v>
      </c>
      <c r="E36" s="195">
        <f>+C36+D36</f>
        <v>57543024.288254246</v>
      </c>
      <c r="F36" s="173">
        <v>1</v>
      </c>
      <c r="G36" s="195">
        <f>+Matriz_Costeo_ABC!AA57</f>
        <v>340509.5733715531</v>
      </c>
      <c r="H36" s="174">
        <f>+G36*F36</f>
        <v>340509.5733715531</v>
      </c>
    </row>
  </sheetData>
  <mergeCells count="9">
    <mergeCell ref="B2:H2"/>
    <mergeCell ref="B25:D25"/>
    <mergeCell ref="B34:H34"/>
    <mergeCell ref="B32:D32"/>
    <mergeCell ref="B7:D7"/>
    <mergeCell ref="B10:H10"/>
    <mergeCell ref="B20:H20"/>
    <mergeCell ref="B27:H27"/>
    <mergeCell ref="B18:D18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J46"/>
  <sheetViews>
    <sheetView topLeftCell="A52" zoomScale="90" zoomScaleNormal="90" workbookViewId="0">
      <selection activeCell="J6" sqref="J6"/>
    </sheetView>
  </sheetViews>
  <sheetFormatPr baseColWidth="10" defaultRowHeight="15.75" x14ac:dyDescent="0.25"/>
  <cols>
    <col min="1" max="1" width="11.42578125" style="198"/>
    <col min="2" max="2" width="4.42578125" style="217" customWidth="1"/>
    <col min="3" max="3" width="14.28515625" style="198" customWidth="1"/>
    <col min="4" max="4" width="25.42578125" style="198" bestFit="1" customWidth="1"/>
    <col min="5" max="5" width="15" style="198" customWidth="1"/>
    <col min="6" max="6" width="14.42578125" style="198" customWidth="1"/>
    <col min="7" max="7" width="20.42578125" style="198" customWidth="1"/>
    <col min="8" max="8" width="23.85546875" style="198" bestFit="1" customWidth="1"/>
    <col min="9" max="9" width="11.42578125" style="198"/>
    <col min="10" max="10" width="16.42578125" style="198" bestFit="1" customWidth="1"/>
    <col min="11" max="16384" width="11.42578125" style="198"/>
  </cols>
  <sheetData>
    <row r="1" spans="2:10" ht="16.5" thickBot="1" x14ac:dyDescent="0.3"/>
    <row r="2" spans="2:10" ht="32.25" thickBot="1" x14ac:dyDescent="0.3">
      <c r="B2" s="218" t="s">
        <v>139</v>
      </c>
      <c r="C2" s="219" t="s">
        <v>140</v>
      </c>
      <c r="D2" s="220" t="s">
        <v>141</v>
      </c>
      <c r="E2" s="220" t="s">
        <v>99</v>
      </c>
      <c r="F2" s="221" t="s">
        <v>26</v>
      </c>
      <c r="G2" s="222" t="s">
        <v>505</v>
      </c>
      <c r="H2" s="223" t="s">
        <v>510</v>
      </c>
    </row>
    <row r="3" spans="2:10" x14ac:dyDescent="0.25">
      <c r="B3" s="719">
        <v>1</v>
      </c>
      <c r="C3" s="716" t="s">
        <v>46</v>
      </c>
      <c r="D3" s="224" t="s">
        <v>47</v>
      </c>
      <c r="E3" s="225" t="s">
        <v>511</v>
      </c>
      <c r="F3" s="225">
        <v>400</v>
      </c>
      <c r="G3" s="226">
        <v>21468</v>
      </c>
      <c r="H3" s="227">
        <f>+G3/F3</f>
        <v>53.67</v>
      </c>
    </row>
    <row r="4" spans="2:10" x14ac:dyDescent="0.25">
      <c r="B4" s="720"/>
      <c r="C4" s="717"/>
      <c r="D4" s="228" t="s">
        <v>48</v>
      </c>
      <c r="E4" s="225" t="s">
        <v>511</v>
      </c>
      <c r="F4" s="229">
        <v>2.5</v>
      </c>
      <c r="G4" s="226">
        <v>10</v>
      </c>
      <c r="H4" s="227">
        <f>+G4/F4</f>
        <v>4</v>
      </c>
    </row>
    <row r="5" spans="2:10" x14ac:dyDescent="0.25">
      <c r="B5" s="720"/>
      <c r="C5" s="717"/>
      <c r="D5" s="228" t="s">
        <v>49</v>
      </c>
      <c r="E5" s="225" t="s">
        <v>511</v>
      </c>
      <c r="F5" s="229">
        <v>2.5</v>
      </c>
      <c r="G5" s="226">
        <v>14.775</v>
      </c>
      <c r="H5" s="227">
        <f t="shared" ref="H5:H11" si="0">+G5/F5</f>
        <v>5.91</v>
      </c>
    </row>
    <row r="6" spans="2:10" x14ac:dyDescent="0.25">
      <c r="B6" s="720"/>
      <c r="C6" s="717"/>
      <c r="D6" s="228" t="s">
        <v>50</v>
      </c>
      <c r="E6" s="225" t="s">
        <v>511</v>
      </c>
      <c r="F6" s="229">
        <v>7.5</v>
      </c>
      <c r="G6" s="226">
        <v>18.075000000000003</v>
      </c>
      <c r="H6" s="227">
        <f t="shared" si="0"/>
        <v>2.4100000000000006</v>
      </c>
    </row>
    <row r="7" spans="2:10" x14ac:dyDescent="0.25">
      <c r="B7" s="720"/>
      <c r="C7" s="717"/>
      <c r="D7" s="228" t="s">
        <v>51</v>
      </c>
      <c r="E7" s="225" t="s">
        <v>511</v>
      </c>
      <c r="F7" s="229">
        <v>1</v>
      </c>
      <c r="G7" s="226">
        <v>5.09</v>
      </c>
      <c r="H7" s="227">
        <f t="shared" si="0"/>
        <v>5.09</v>
      </c>
    </row>
    <row r="8" spans="2:10" x14ac:dyDescent="0.25">
      <c r="B8" s="720"/>
      <c r="C8" s="717"/>
      <c r="D8" s="228" t="s">
        <v>52</v>
      </c>
      <c r="E8" s="225" t="s">
        <v>511</v>
      </c>
      <c r="F8" s="229">
        <v>125</v>
      </c>
      <c r="G8" s="226">
        <v>1336.25</v>
      </c>
      <c r="H8" s="227">
        <f t="shared" si="0"/>
        <v>10.69</v>
      </c>
      <c r="J8" s="230"/>
    </row>
    <row r="9" spans="2:10" x14ac:dyDescent="0.25">
      <c r="B9" s="720"/>
      <c r="C9" s="717"/>
      <c r="D9" s="228" t="s">
        <v>53</v>
      </c>
      <c r="E9" s="225" t="s">
        <v>511</v>
      </c>
      <c r="F9" s="229">
        <v>1</v>
      </c>
      <c r="G9" s="226">
        <v>11.51</v>
      </c>
      <c r="H9" s="227">
        <f t="shared" si="0"/>
        <v>11.51</v>
      </c>
    </row>
    <row r="10" spans="2:10" x14ac:dyDescent="0.25">
      <c r="B10" s="720"/>
      <c r="C10" s="717"/>
      <c r="D10" s="228" t="s">
        <v>54</v>
      </c>
      <c r="E10" s="225" t="s">
        <v>511</v>
      </c>
      <c r="F10" s="229">
        <v>20</v>
      </c>
      <c r="G10" s="226">
        <v>88.800000000000011</v>
      </c>
      <c r="H10" s="227">
        <f t="shared" si="0"/>
        <v>4.4400000000000004</v>
      </c>
    </row>
    <row r="11" spans="2:10" ht="16.5" thickBot="1" x14ac:dyDescent="0.3">
      <c r="B11" s="721"/>
      <c r="C11" s="718"/>
      <c r="D11" s="231" t="s">
        <v>55</v>
      </c>
      <c r="E11" s="232" t="s">
        <v>511</v>
      </c>
      <c r="F11" s="232">
        <v>10</v>
      </c>
      <c r="G11" s="233">
        <v>75</v>
      </c>
      <c r="H11" s="234">
        <f t="shared" si="0"/>
        <v>7.5</v>
      </c>
    </row>
    <row r="12" spans="2:10" ht="16.5" thickBot="1" x14ac:dyDescent="0.3"/>
    <row r="13" spans="2:10" ht="32.25" thickBot="1" x14ac:dyDescent="0.3">
      <c r="B13" s="218"/>
      <c r="C13" s="219" t="s">
        <v>140</v>
      </c>
      <c r="D13" s="220" t="s">
        <v>141</v>
      </c>
      <c r="E13" s="220" t="s">
        <v>99</v>
      </c>
      <c r="F13" s="221" t="s">
        <v>26</v>
      </c>
      <c r="G13" s="222" t="s">
        <v>505</v>
      </c>
      <c r="H13" s="223" t="s">
        <v>510</v>
      </c>
    </row>
    <row r="14" spans="2:10" x14ac:dyDescent="0.25">
      <c r="B14" s="720">
        <v>2</v>
      </c>
      <c r="C14" s="722" t="s">
        <v>100</v>
      </c>
      <c r="D14" s="235" t="s">
        <v>101</v>
      </c>
      <c r="E14" s="236" t="s">
        <v>524</v>
      </c>
      <c r="F14" s="236">
        <v>175</v>
      </c>
      <c r="G14" s="237">
        <v>4341.75</v>
      </c>
      <c r="H14" s="238">
        <f>+G14/F14</f>
        <v>24.81</v>
      </c>
    </row>
    <row r="15" spans="2:10" x14ac:dyDescent="0.25">
      <c r="B15" s="720"/>
      <c r="C15" s="723"/>
      <c r="D15" s="239" t="s">
        <v>102</v>
      </c>
      <c r="E15" s="236" t="s">
        <v>511</v>
      </c>
      <c r="F15" s="236">
        <v>25</v>
      </c>
      <c r="G15" s="237">
        <v>551.25</v>
      </c>
      <c r="H15" s="238">
        <f t="shared" ref="H15:H26" si="1">+G15/F15</f>
        <v>22.05</v>
      </c>
    </row>
    <row r="16" spans="2:10" x14ac:dyDescent="0.25">
      <c r="B16" s="720"/>
      <c r="C16" s="723"/>
      <c r="D16" s="239" t="s">
        <v>103</v>
      </c>
      <c r="E16" s="236" t="s">
        <v>511</v>
      </c>
      <c r="F16" s="236">
        <v>200</v>
      </c>
      <c r="G16" s="237">
        <v>580</v>
      </c>
      <c r="H16" s="238">
        <f t="shared" si="1"/>
        <v>2.9</v>
      </c>
    </row>
    <row r="17" spans="2:8" x14ac:dyDescent="0.25">
      <c r="B17" s="720"/>
      <c r="C17" s="723"/>
      <c r="D17" s="239" t="s">
        <v>104</v>
      </c>
      <c r="E17" s="236" t="s">
        <v>511</v>
      </c>
      <c r="F17" s="236">
        <v>300</v>
      </c>
      <c r="G17" s="237">
        <v>16101</v>
      </c>
      <c r="H17" s="238">
        <f t="shared" si="1"/>
        <v>53.67</v>
      </c>
    </row>
    <row r="18" spans="2:8" x14ac:dyDescent="0.25">
      <c r="B18" s="720"/>
      <c r="C18" s="723"/>
      <c r="D18" s="239" t="s">
        <v>48</v>
      </c>
      <c r="E18" s="236" t="s">
        <v>511</v>
      </c>
      <c r="F18" s="236">
        <v>30</v>
      </c>
      <c r="G18" s="237">
        <v>120</v>
      </c>
      <c r="H18" s="238">
        <f t="shared" si="1"/>
        <v>4</v>
      </c>
    </row>
    <row r="19" spans="2:8" x14ac:dyDescent="0.25">
      <c r="B19" s="720"/>
      <c r="C19" s="723"/>
      <c r="D19" s="239" t="s">
        <v>105</v>
      </c>
      <c r="E19" s="236" t="s">
        <v>511</v>
      </c>
      <c r="F19" s="236">
        <v>16</v>
      </c>
      <c r="G19" s="237">
        <v>94.56</v>
      </c>
      <c r="H19" s="238">
        <f t="shared" si="1"/>
        <v>5.91</v>
      </c>
    </row>
    <row r="20" spans="2:8" x14ac:dyDescent="0.25">
      <c r="B20" s="720"/>
      <c r="C20" s="723"/>
      <c r="D20" s="239" t="s">
        <v>106</v>
      </c>
      <c r="E20" s="236" t="s">
        <v>511</v>
      </c>
      <c r="F20" s="236">
        <v>40</v>
      </c>
      <c r="G20" s="237">
        <v>96.4</v>
      </c>
      <c r="H20" s="238">
        <f t="shared" si="1"/>
        <v>2.41</v>
      </c>
    </row>
    <row r="21" spans="2:8" x14ac:dyDescent="0.25">
      <c r="B21" s="720"/>
      <c r="C21" s="723"/>
      <c r="D21" s="239" t="s">
        <v>107</v>
      </c>
      <c r="E21" s="236" t="s">
        <v>511</v>
      </c>
      <c r="F21" s="236">
        <v>40</v>
      </c>
      <c r="G21" s="237">
        <v>88</v>
      </c>
      <c r="H21" s="238">
        <f t="shared" si="1"/>
        <v>2.2000000000000002</v>
      </c>
    </row>
    <row r="22" spans="2:8" x14ac:dyDescent="0.25">
      <c r="B22" s="720"/>
      <c r="C22" s="723"/>
      <c r="D22" s="239" t="s">
        <v>55</v>
      </c>
      <c r="E22" s="236" t="s">
        <v>511</v>
      </c>
      <c r="F22" s="236">
        <v>10</v>
      </c>
      <c r="G22" s="237">
        <v>75</v>
      </c>
      <c r="H22" s="238">
        <f t="shared" si="1"/>
        <v>7.5</v>
      </c>
    </row>
    <row r="23" spans="2:8" x14ac:dyDescent="0.25">
      <c r="B23" s="720"/>
      <c r="C23" s="723"/>
      <c r="D23" s="239" t="s">
        <v>54</v>
      </c>
      <c r="E23" s="236" t="s">
        <v>511</v>
      </c>
      <c r="F23" s="236">
        <v>20</v>
      </c>
      <c r="G23" s="237">
        <v>88.800000000000011</v>
      </c>
      <c r="H23" s="238">
        <f t="shared" si="1"/>
        <v>4.4400000000000004</v>
      </c>
    </row>
    <row r="24" spans="2:8" x14ac:dyDescent="0.25">
      <c r="B24" s="720"/>
      <c r="C24" s="723"/>
      <c r="D24" s="239" t="s">
        <v>53</v>
      </c>
      <c r="E24" s="236" t="s">
        <v>511</v>
      </c>
      <c r="F24" s="236">
        <v>1</v>
      </c>
      <c r="G24" s="237">
        <v>11.51</v>
      </c>
      <c r="H24" s="238">
        <f t="shared" si="1"/>
        <v>11.51</v>
      </c>
    </row>
    <row r="25" spans="2:8" x14ac:dyDescent="0.25">
      <c r="B25" s="720"/>
      <c r="C25" s="723"/>
      <c r="D25" s="228" t="s">
        <v>108</v>
      </c>
      <c r="E25" s="229" t="s">
        <v>511</v>
      </c>
      <c r="F25" s="229">
        <v>10</v>
      </c>
      <c r="G25" s="240">
        <v>56</v>
      </c>
      <c r="H25" s="241">
        <f t="shared" si="1"/>
        <v>5.6</v>
      </c>
    </row>
    <row r="26" spans="2:8" ht="16.5" thickBot="1" x14ac:dyDescent="0.3">
      <c r="B26" s="721"/>
      <c r="C26" s="724"/>
      <c r="D26" s="231" t="s">
        <v>109</v>
      </c>
      <c r="E26" s="232" t="s">
        <v>524</v>
      </c>
      <c r="F26" s="232">
        <v>15</v>
      </c>
      <c r="G26" s="242">
        <v>56.85</v>
      </c>
      <c r="H26" s="243">
        <f t="shared" si="1"/>
        <v>3.79</v>
      </c>
    </row>
    <row r="27" spans="2:8" ht="16.5" thickBot="1" x14ac:dyDescent="0.3"/>
    <row r="28" spans="2:8" ht="32.25" thickBot="1" x14ac:dyDescent="0.3">
      <c r="B28" s="218"/>
      <c r="C28" s="219" t="s">
        <v>140</v>
      </c>
      <c r="D28" s="220" t="s">
        <v>141</v>
      </c>
      <c r="E28" s="220" t="s">
        <v>99</v>
      </c>
      <c r="F28" s="221" t="s">
        <v>26</v>
      </c>
      <c r="G28" s="222" t="s">
        <v>505</v>
      </c>
      <c r="H28" s="223" t="s">
        <v>510</v>
      </c>
    </row>
    <row r="29" spans="2:8" x14ac:dyDescent="0.25">
      <c r="B29" s="720">
        <v>3</v>
      </c>
      <c r="C29" s="725" t="s">
        <v>110</v>
      </c>
      <c r="D29" s="235" t="s">
        <v>111</v>
      </c>
      <c r="E29" s="317" t="s">
        <v>112</v>
      </c>
      <c r="F29" s="317">
        <v>1</v>
      </c>
      <c r="G29" s="318">
        <v>510.6</v>
      </c>
      <c r="H29" s="319">
        <f>+G29/F29</f>
        <v>510.6</v>
      </c>
    </row>
    <row r="30" spans="2:8" x14ac:dyDescent="0.25">
      <c r="B30" s="720"/>
      <c r="C30" s="726"/>
      <c r="D30" s="239" t="s">
        <v>113</v>
      </c>
      <c r="E30" s="317" t="s">
        <v>511</v>
      </c>
      <c r="F30" s="317">
        <v>250</v>
      </c>
      <c r="G30" s="318">
        <v>6402.5</v>
      </c>
      <c r="H30" s="319">
        <f t="shared" ref="H30:H34" si="2">+G30/F30</f>
        <v>25.61</v>
      </c>
    </row>
    <row r="31" spans="2:8" x14ac:dyDescent="0.25">
      <c r="B31" s="720"/>
      <c r="C31" s="726"/>
      <c r="D31" s="228" t="s">
        <v>114</v>
      </c>
      <c r="E31" s="199" t="s">
        <v>511</v>
      </c>
      <c r="F31" s="199">
        <v>62.5</v>
      </c>
      <c r="G31" s="244">
        <v>582.5</v>
      </c>
      <c r="H31" s="245">
        <f t="shared" si="2"/>
        <v>9.32</v>
      </c>
    </row>
    <row r="32" spans="2:8" x14ac:dyDescent="0.25">
      <c r="B32" s="720"/>
      <c r="C32" s="726"/>
      <c r="D32" s="228" t="s">
        <v>55</v>
      </c>
      <c r="E32" s="229" t="s">
        <v>511</v>
      </c>
      <c r="F32" s="199">
        <v>10</v>
      </c>
      <c r="G32" s="244">
        <v>75</v>
      </c>
      <c r="H32" s="245">
        <f t="shared" si="2"/>
        <v>7.5</v>
      </c>
    </row>
    <row r="33" spans="2:8" x14ac:dyDescent="0.25">
      <c r="B33" s="720"/>
      <c r="C33" s="726"/>
      <c r="D33" s="228" t="s">
        <v>54</v>
      </c>
      <c r="E33" s="229" t="s">
        <v>511</v>
      </c>
      <c r="F33" s="199">
        <v>20</v>
      </c>
      <c r="G33" s="244">
        <v>88.800000000000011</v>
      </c>
      <c r="H33" s="245">
        <f t="shared" si="2"/>
        <v>4.4400000000000004</v>
      </c>
    </row>
    <row r="34" spans="2:8" ht="16.5" thickBot="1" x14ac:dyDescent="0.3">
      <c r="B34" s="721"/>
      <c r="C34" s="727"/>
      <c r="D34" s="231" t="s">
        <v>53</v>
      </c>
      <c r="E34" s="232" t="s">
        <v>511</v>
      </c>
      <c r="F34" s="200">
        <v>1</v>
      </c>
      <c r="G34" s="246">
        <v>11.51</v>
      </c>
      <c r="H34" s="247">
        <f t="shared" si="2"/>
        <v>11.51</v>
      </c>
    </row>
    <row r="35" spans="2:8" ht="16.5" thickBot="1" x14ac:dyDescent="0.3"/>
    <row r="36" spans="2:8" ht="32.25" thickBot="1" x14ac:dyDescent="0.3">
      <c r="B36" s="248"/>
      <c r="C36" s="249" t="s">
        <v>140</v>
      </c>
      <c r="D36" s="220" t="s">
        <v>141</v>
      </c>
      <c r="E36" s="220" t="s">
        <v>99</v>
      </c>
      <c r="F36" s="221" t="s">
        <v>26</v>
      </c>
      <c r="G36" s="222" t="s">
        <v>505</v>
      </c>
      <c r="H36" s="223" t="s">
        <v>510</v>
      </c>
    </row>
    <row r="37" spans="2:8" x14ac:dyDescent="0.25">
      <c r="B37" s="720">
        <v>4</v>
      </c>
      <c r="C37" s="716" t="s">
        <v>115</v>
      </c>
      <c r="D37" s="250" t="s">
        <v>116</v>
      </c>
      <c r="E37" s="251" t="s">
        <v>511</v>
      </c>
      <c r="F37" s="251">
        <v>150</v>
      </c>
      <c r="G37" s="252">
        <v>351</v>
      </c>
      <c r="H37" s="227">
        <f>+G37/F37</f>
        <v>2.34</v>
      </c>
    </row>
    <row r="38" spans="2:8" x14ac:dyDescent="0.25">
      <c r="B38" s="720"/>
      <c r="C38" s="717"/>
      <c r="D38" s="228" t="s">
        <v>117</v>
      </c>
      <c r="E38" s="253" t="s">
        <v>112</v>
      </c>
      <c r="F38" s="253">
        <v>1</v>
      </c>
      <c r="G38" s="254">
        <v>9490</v>
      </c>
      <c r="H38" s="241">
        <f t="shared" ref="H38:H43" si="3">+G38/F38</f>
        <v>9490</v>
      </c>
    </row>
    <row r="39" spans="2:8" x14ac:dyDescent="0.25">
      <c r="B39" s="720"/>
      <c r="C39" s="717"/>
      <c r="D39" s="228" t="s">
        <v>118</v>
      </c>
      <c r="E39" s="253" t="s">
        <v>511</v>
      </c>
      <c r="F39" s="253">
        <v>150</v>
      </c>
      <c r="G39" s="254">
        <v>469.5</v>
      </c>
      <c r="H39" s="241">
        <f t="shared" si="3"/>
        <v>3.13</v>
      </c>
    </row>
    <row r="40" spans="2:8" x14ac:dyDescent="0.25">
      <c r="B40" s="720"/>
      <c r="C40" s="717"/>
      <c r="D40" s="228" t="s">
        <v>539</v>
      </c>
      <c r="E40" s="253" t="s">
        <v>511</v>
      </c>
      <c r="F40" s="253">
        <v>20</v>
      </c>
      <c r="G40" s="254">
        <v>500</v>
      </c>
      <c r="H40" s="241">
        <f>+G40/F40</f>
        <v>25</v>
      </c>
    </row>
    <row r="41" spans="2:8" x14ac:dyDescent="0.25">
      <c r="B41" s="720"/>
      <c r="C41" s="717"/>
      <c r="D41" s="228" t="s">
        <v>55</v>
      </c>
      <c r="E41" s="253" t="s">
        <v>511</v>
      </c>
      <c r="F41" s="253">
        <v>10</v>
      </c>
      <c r="G41" s="254">
        <v>75</v>
      </c>
      <c r="H41" s="241">
        <f t="shared" si="3"/>
        <v>7.5</v>
      </c>
    </row>
    <row r="42" spans="2:8" x14ac:dyDescent="0.25">
      <c r="B42" s="720"/>
      <c r="C42" s="717"/>
      <c r="D42" s="228" t="s">
        <v>54</v>
      </c>
      <c r="E42" s="253" t="s">
        <v>511</v>
      </c>
      <c r="F42" s="253">
        <v>20</v>
      </c>
      <c r="G42" s="254">
        <v>88.800000000000011</v>
      </c>
      <c r="H42" s="241">
        <f t="shared" si="3"/>
        <v>4.4400000000000004</v>
      </c>
    </row>
    <row r="43" spans="2:8" ht="16.5" thickBot="1" x14ac:dyDescent="0.3">
      <c r="B43" s="721"/>
      <c r="C43" s="718"/>
      <c r="D43" s="231" t="s">
        <v>53</v>
      </c>
      <c r="E43" s="255" t="s">
        <v>511</v>
      </c>
      <c r="F43" s="255">
        <v>1</v>
      </c>
      <c r="G43" s="256">
        <v>11.51</v>
      </c>
      <c r="H43" s="243">
        <f t="shared" si="3"/>
        <v>11.51</v>
      </c>
    </row>
    <row r="44" spans="2:8" ht="16.5" thickBot="1" x14ac:dyDescent="0.3"/>
    <row r="45" spans="2:8" ht="32.25" thickBot="1" x14ac:dyDescent="0.3">
      <c r="B45" s="248"/>
      <c r="C45" s="249" t="s">
        <v>140</v>
      </c>
      <c r="D45" s="220" t="s">
        <v>141</v>
      </c>
      <c r="E45" s="220" t="s">
        <v>99</v>
      </c>
      <c r="F45" s="221" t="s">
        <v>26</v>
      </c>
      <c r="G45" s="222" t="s">
        <v>646</v>
      </c>
      <c r="H45" s="223" t="s">
        <v>645</v>
      </c>
    </row>
    <row r="46" spans="2:8" ht="16.5" thickBot="1" x14ac:dyDescent="0.3">
      <c r="B46" s="248">
        <v>4</v>
      </c>
      <c r="C46" s="257" t="s">
        <v>634</v>
      </c>
      <c r="D46" s="258" t="s">
        <v>643</v>
      </c>
      <c r="E46" s="259" t="s">
        <v>511</v>
      </c>
      <c r="F46" s="259" t="s">
        <v>644</v>
      </c>
      <c r="G46" s="260">
        <v>612213816</v>
      </c>
      <c r="H46" s="261">
        <f>+G46/12</f>
        <v>51017818</v>
      </c>
    </row>
  </sheetData>
  <mergeCells count="8">
    <mergeCell ref="C37:C43"/>
    <mergeCell ref="B3:B11"/>
    <mergeCell ref="B14:B26"/>
    <mergeCell ref="B29:B34"/>
    <mergeCell ref="B37:B43"/>
    <mergeCell ref="C3:C11"/>
    <mergeCell ref="C14:C26"/>
    <mergeCell ref="C29:C3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P30"/>
  <sheetViews>
    <sheetView showGridLines="0" topLeftCell="A17" zoomScaleNormal="100" workbookViewId="0">
      <selection activeCell="B23" sqref="B23:H30"/>
    </sheetView>
  </sheetViews>
  <sheetFormatPr baseColWidth="10" defaultRowHeight="15" x14ac:dyDescent="0.25"/>
  <cols>
    <col min="2" max="2" width="3.85546875" customWidth="1"/>
    <col min="3" max="3" width="20.42578125" bestFit="1" customWidth="1"/>
    <col min="4" max="4" width="17.7109375" style="4" customWidth="1"/>
    <col min="5" max="6" width="13.140625" style="4" customWidth="1"/>
    <col min="7" max="7" width="11.5703125" style="4" bestFit="1" customWidth="1"/>
    <col min="8" max="8" width="13.5703125" style="4" bestFit="1" customWidth="1"/>
    <col min="9" max="9" width="13.5703125" style="4" customWidth="1"/>
    <col min="10" max="10" width="13" style="4" customWidth="1"/>
    <col min="11" max="11" width="14.5703125" style="4" bestFit="1" customWidth="1"/>
    <col min="12" max="12" width="18" style="4" bestFit="1" customWidth="1"/>
    <col min="13" max="13" width="14" style="4" bestFit="1" customWidth="1"/>
    <col min="14" max="14" width="13.7109375" style="4" customWidth="1"/>
    <col min="15" max="15" width="11.7109375" style="4" bestFit="1" customWidth="1"/>
    <col min="16" max="16" width="12.28515625" style="4" customWidth="1"/>
  </cols>
  <sheetData>
    <row r="1" spans="2:16" ht="28.5" customHeight="1" thickBot="1" x14ac:dyDescent="0.3"/>
    <row r="2" spans="2:16" ht="23.25" customHeight="1" thickBot="1" x14ac:dyDescent="0.3">
      <c r="B2" s="8"/>
      <c r="C2" s="741" t="s">
        <v>501</v>
      </c>
      <c r="D2" s="742"/>
      <c r="E2" s="742"/>
      <c r="F2" s="742"/>
      <c r="G2" s="742"/>
      <c r="H2" s="742"/>
      <c r="I2" s="742"/>
      <c r="J2" s="743"/>
      <c r="K2" s="86" t="s">
        <v>133</v>
      </c>
      <c r="L2" s="86" t="s">
        <v>134</v>
      </c>
      <c r="M2" s="731" t="s">
        <v>135</v>
      </c>
      <c r="N2" s="733" t="s">
        <v>65</v>
      </c>
      <c r="O2" s="10"/>
      <c r="P2" s="10"/>
    </row>
    <row r="3" spans="2:16" s="262" customFormat="1" ht="30.75" thickBot="1" x14ac:dyDescent="0.3">
      <c r="B3" s="145" t="s">
        <v>69</v>
      </c>
      <c r="C3" s="146" t="s">
        <v>70</v>
      </c>
      <c r="D3" s="9" t="s">
        <v>71</v>
      </c>
      <c r="E3" s="11" t="s">
        <v>136</v>
      </c>
      <c r="F3" s="9" t="s">
        <v>72</v>
      </c>
      <c r="G3" s="12" t="s">
        <v>73</v>
      </c>
      <c r="H3" s="13" t="s">
        <v>74</v>
      </c>
      <c r="I3" s="14" t="s">
        <v>132</v>
      </c>
      <c r="J3" s="15" t="s">
        <v>75</v>
      </c>
      <c r="K3" s="14" t="s">
        <v>76</v>
      </c>
      <c r="L3" s="16" t="s">
        <v>86</v>
      </c>
      <c r="M3" s="732"/>
      <c r="N3" s="734"/>
      <c r="O3" s="17"/>
      <c r="P3" s="17"/>
    </row>
    <row r="4" spans="2:16" x14ac:dyDescent="0.25">
      <c r="B4" s="18">
        <v>1</v>
      </c>
      <c r="C4" s="19" t="s">
        <v>21</v>
      </c>
      <c r="D4" s="88">
        <f>+Objetos_Costo_Variables!C6</f>
        <v>2200000</v>
      </c>
      <c r="E4" s="20">
        <v>30</v>
      </c>
      <c r="F4" s="21">
        <f t="shared" ref="F4:F9" si="0">SUM(D4*E4)/30</f>
        <v>2200000</v>
      </c>
      <c r="G4" s="21">
        <v>1</v>
      </c>
      <c r="H4" s="21">
        <f>+F4*G4</f>
        <v>2200000</v>
      </c>
      <c r="I4" s="22">
        <f>+(Objetos_Costo_Variables!C12/30)*Nomina!E4</f>
        <v>140606</v>
      </c>
      <c r="J4" s="20">
        <f t="shared" ref="J4:J9" si="1">+(H4+I4)</f>
        <v>2340606</v>
      </c>
      <c r="K4" s="23">
        <f>+((J4-I4)*Objetos_Costo_Variables!D13)</f>
        <v>88000</v>
      </c>
      <c r="L4" s="22">
        <f>((J4-I4)*Objetos_Costo_Variables!D15)</f>
        <v>88000</v>
      </c>
      <c r="M4" s="22">
        <f t="shared" ref="M4:M9" si="2">SUM(K4:L4)</f>
        <v>176000</v>
      </c>
      <c r="N4" s="24">
        <f>+J4-M4</f>
        <v>2164606</v>
      </c>
      <c r="O4" s="10"/>
      <c r="P4" s="10"/>
    </row>
    <row r="5" spans="2:16" x14ac:dyDescent="0.25">
      <c r="B5" s="18">
        <v>2</v>
      </c>
      <c r="C5" s="25" t="s">
        <v>36</v>
      </c>
      <c r="D5" s="89">
        <f>+Objetos_Costo_Variables!C7</f>
        <v>1600000</v>
      </c>
      <c r="E5" s="26">
        <v>30</v>
      </c>
      <c r="F5" s="27">
        <f t="shared" si="0"/>
        <v>1600000</v>
      </c>
      <c r="G5" s="27">
        <v>1</v>
      </c>
      <c r="H5" s="27">
        <f t="shared" ref="H5:H9" si="3">+F5*G5</f>
        <v>1600000</v>
      </c>
      <c r="I5" s="22">
        <f>+(Objetos_Costo_Variables!C12/30)*Nomina!E5</f>
        <v>140606</v>
      </c>
      <c r="J5" s="26">
        <f t="shared" si="1"/>
        <v>1740606</v>
      </c>
      <c r="K5" s="22">
        <f>+((J5-I5)*Objetos_Costo_Variables!D13)</f>
        <v>64000</v>
      </c>
      <c r="L5" s="22">
        <f>((J5-I5)*Objetos_Costo_Variables!D15)</f>
        <v>64000</v>
      </c>
      <c r="M5" s="22">
        <f t="shared" si="2"/>
        <v>128000</v>
      </c>
      <c r="N5" s="28">
        <f t="shared" ref="N5:N9" si="4">+J5-M5</f>
        <v>1612606</v>
      </c>
      <c r="O5" s="10"/>
      <c r="P5" s="10"/>
    </row>
    <row r="6" spans="2:16" x14ac:dyDescent="0.25">
      <c r="B6" s="18">
        <v>3</v>
      </c>
      <c r="C6" s="25" t="s">
        <v>92</v>
      </c>
      <c r="D6" s="89">
        <f>+Objetos_Costo_Variables!C8</f>
        <v>1191200</v>
      </c>
      <c r="E6" s="26">
        <v>30</v>
      </c>
      <c r="F6" s="27">
        <f t="shared" si="0"/>
        <v>1191200</v>
      </c>
      <c r="G6" s="27">
        <v>1</v>
      </c>
      <c r="H6" s="27">
        <f t="shared" si="3"/>
        <v>1191200</v>
      </c>
      <c r="I6" s="22">
        <f>+(Objetos_Costo_Variables!C12/30)*Nomina!E6</f>
        <v>140606</v>
      </c>
      <c r="J6" s="26">
        <f t="shared" si="1"/>
        <v>1331806</v>
      </c>
      <c r="K6" s="22">
        <f>+((J6-I6)*Objetos_Costo_Variables!D13)</f>
        <v>47648</v>
      </c>
      <c r="L6" s="22">
        <f>((J6-I6)*Objetos_Costo_Variables!D15)</f>
        <v>47648</v>
      </c>
      <c r="M6" s="22">
        <f t="shared" si="2"/>
        <v>95296</v>
      </c>
      <c r="N6" s="28">
        <f t="shared" si="4"/>
        <v>1236510</v>
      </c>
      <c r="O6" s="10"/>
      <c r="P6" s="10"/>
    </row>
    <row r="7" spans="2:16" x14ac:dyDescent="0.25">
      <c r="B7" s="18">
        <v>4</v>
      </c>
      <c r="C7" s="25" t="s">
        <v>37</v>
      </c>
      <c r="D7" s="89">
        <f>+Objetos_Costo_Variables!C9</f>
        <v>1191200</v>
      </c>
      <c r="E7" s="26">
        <v>30</v>
      </c>
      <c r="F7" s="27">
        <f t="shared" si="0"/>
        <v>1191200</v>
      </c>
      <c r="G7" s="27">
        <v>3</v>
      </c>
      <c r="H7" s="27">
        <f t="shared" si="3"/>
        <v>3573600</v>
      </c>
      <c r="I7" s="22">
        <f>+(Objetos_Costo_Variables!C12/30)*Nomina!E7*3</f>
        <v>421818</v>
      </c>
      <c r="J7" s="26">
        <f t="shared" si="1"/>
        <v>3995418</v>
      </c>
      <c r="K7" s="22">
        <f>+((J7-I7)*Objetos_Costo_Variables!D13)</f>
        <v>142944</v>
      </c>
      <c r="L7" s="22">
        <f>((J7-I7)*Objetos_Costo_Variables!D15)</f>
        <v>142944</v>
      </c>
      <c r="M7" s="22">
        <f t="shared" si="2"/>
        <v>285888</v>
      </c>
      <c r="N7" s="28">
        <f t="shared" si="4"/>
        <v>3709530</v>
      </c>
      <c r="O7" s="10"/>
      <c r="P7" s="10"/>
    </row>
    <row r="8" spans="2:16" x14ac:dyDescent="0.25">
      <c r="B8" s="18">
        <v>5</v>
      </c>
      <c r="C8" s="25" t="s">
        <v>38</v>
      </c>
      <c r="D8" s="89">
        <f>+Objetos_Costo_Variables!C10</f>
        <v>1547544</v>
      </c>
      <c r="E8" s="26">
        <v>30</v>
      </c>
      <c r="F8" s="27">
        <f t="shared" si="0"/>
        <v>1547544</v>
      </c>
      <c r="G8" s="27">
        <v>1</v>
      </c>
      <c r="H8" s="27">
        <f t="shared" si="3"/>
        <v>1547544</v>
      </c>
      <c r="I8" s="22">
        <f>+(Objetos_Costo_Variables!C12/30)*Nomina!E8</f>
        <v>140606</v>
      </c>
      <c r="J8" s="26">
        <f t="shared" si="1"/>
        <v>1688150</v>
      </c>
      <c r="K8" s="22">
        <f>+((J8-I8)*Objetos_Costo_Variables!D13)</f>
        <v>61901.760000000002</v>
      </c>
      <c r="L8" s="22">
        <f>((J8-I8)*Objetos_Costo_Variables!D15)</f>
        <v>61901.760000000002</v>
      </c>
      <c r="M8" s="22">
        <f t="shared" si="2"/>
        <v>123803.52</v>
      </c>
      <c r="N8" s="28">
        <f t="shared" si="4"/>
        <v>1564346.48</v>
      </c>
      <c r="O8" s="10"/>
      <c r="P8" s="10"/>
    </row>
    <row r="9" spans="2:16" ht="15.75" thickBot="1" x14ac:dyDescent="0.3">
      <c r="B9" s="159">
        <v>6</v>
      </c>
      <c r="C9" s="264" t="s">
        <v>39</v>
      </c>
      <c r="D9" s="160">
        <f>+Objetos_Costo_Variables!C11</f>
        <v>1403750</v>
      </c>
      <c r="E9" s="161">
        <v>30</v>
      </c>
      <c r="F9" s="162">
        <f t="shared" si="0"/>
        <v>1403750</v>
      </c>
      <c r="G9" s="162">
        <v>1</v>
      </c>
      <c r="H9" s="162">
        <f t="shared" si="3"/>
        <v>1403750</v>
      </c>
      <c r="I9" s="163">
        <f>+(Objetos_Costo_Variables!C12/30)*Nomina!E9</f>
        <v>140606</v>
      </c>
      <c r="J9" s="161">
        <f t="shared" si="1"/>
        <v>1544356</v>
      </c>
      <c r="K9" s="163">
        <f>+((J9-I9)*Objetos_Costo_Variables!D13)</f>
        <v>56150</v>
      </c>
      <c r="L9" s="163">
        <f>((J9-I9)*Objetos_Costo_Variables!D15)</f>
        <v>56150</v>
      </c>
      <c r="M9" s="163">
        <f t="shared" si="2"/>
        <v>112300</v>
      </c>
      <c r="N9" s="164">
        <f t="shared" si="4"/>
        <v>1432056</v>
      </c>
      <c r="O9" s="10"/>
      <c r="P9" s="10"/>
    </row>
    <row r="10" spans="2:16" ht="15.75" thickBot="1" x14ac:dyDescent="0.3">
      <c r="B10" s="165"/>
      <c r="C10" s="166" t="s">
        <v>77</v>
      </c>
      <c r="D10" s="167">
        <f t="shared" ref="D10:N10" si="5">+SUM(D4:D9)</f>
        <v>9133694</v>
      </c>
      <c r="E10" s="167">
        <f t="shared" si="5"/>
        <v>180</v>
      </c>
      <c r="F10" s="167">
        <f t="shared" si="5"/>
        <v>9133694</v>
      </c>
      <c r="G10" s="167">
        <f t="shared" si="5"/>
        <v>8</v>
      </c>
      <c r="H10" s="167">
        <f t="shared" si="5"/>
        <v>11516094</v>
      </c>
      <c r="I10" s="167">
        <f t="shared" si="5"/>
        <v>1124848</v>
      </c>
      <c r="J10" s="167">
        <f t="shared" si="5"/>
        <v>12640942</v>
      </c>
      <c r="K10" s="167">
        <f t="shared" si="5"/>
        <v>460643.76</v>
      </c>
      <c r="L10" s="167">
        <f t="shared" si="5"/>
        <v>460643.76</v>
      </c>
      <c r="M10" s="167">
        <f t="shared" si="5"/>
        <v>921287.52</v>
      </c>
      <c r="N10" s="167">
        <f t="shared" si="5"/>
        <v>11719654.48</v>
      </c>
      <c r="O10" s="10"/>
      <c r="P10" s="10"/>
    </row>
    <row r="11" spans="2:16" x14ac:dyDescent="0.25">
      <c r="B11" s="29"/>
      <c r="C11" s="30"/>
      <c r="D11" s="31"/>
      <c r="E11" s="31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10"/>
    </row>
    <row r="12" spans="2:16" ht="15.75" thickBot="1" x14ac:dyDescent="0.3">
      <c r="B12" s="34"/>
      <c r="C12" s="30"/>
      <c r="D12" s="35"/>
      <c r="E12" s="35"/>
      <c r="F12" s="35"/>
      <c r="G12" s="36"/>
      <c r="H12" s="36"/>
      <c r="I12" s="36"/>
      <c r="J12" s="36"/>
      <c r="K12" s="36"/>
      <c r="L12" s="37"/>
      <c r="M12" s="38"/>
      <c r="N12" s="39"/>
      <c r="O12" s="39"/>
      <c r="P12" s="10"/>
    </row>
    <row r="13" spans="2:16" ht="28.5" customHeight="1" thickBot="1" x14ac:dyDescent="0.3">
      <c r="B13" s="735" t="s">
        <v>78</v>
      </c>
      <c r="C13" s="736"/>
      <c r="D13" s="736"/>
      <c r="E13" s="736"/>
      <c r="F13" s="736"/>
      <c r="G13" s="736"/>
      <c r="H13" s="736"/>
      <c r="I13" s="736"/>
      <c r="J13" s="736"/>
      <c r="K13" s="736"/>
      <c r="L13" s="736"/>
      <c r="M13" s="736"/>
      <c r="N13" s="736"/>
      <c r="O13" s="737"/>
      <c r="P13" s="35"/>
    </row>
    <row r="14" spans="2:16" s="262" customFormat="1" ht="30.75" thickBot="1" x14ac:dyDescent="0.3">
      <c r="B14" s="87" t="s">
        <v>139</v>
      </c>
      <c r="C14" s="147" t="s">
        <v>79</v>
      </c>
      <c r="D14" s="79" t="s">
        <v>71</v>
      </c>
      <c r="E14" s="80" t="s">
        <v>80</v>
      </c>
      <c r="F14" s="80" t="s">
        <v>81</v>
      </c>
      <c r="G14" s="80" t="s">
        <v>82</v>
      </c>
      <c r="H14" s="81" t="s">
        <v>83</v>
      </c>
      <c r="I14" s="80" t="s">
        <v>84</v>
      </c>
      <c r="J14" s="82" t="s">
        <v>85</v>
      </c>
      <c r="K14" s="83" t="s">
        <v>137</v>
      </c>
      <c r="L14" s="83" t="s">
        <v>138</v>
      </c>
      <c r="M14" s="84" t="s">
        <v>66</v>
      </c>
      <c r="N14" s="84" t="s">
        <v>67</v>
      </c>
      <c r="O14" s="84" t="s">
        <v>68</v>
      </c>
      <c r="P14" s="85" t="s">
        <v>87</v>
      </c>
    </row>
    <row r="15" spans="2:16" x14ac:dyDescent="0.25">
      <c r="B15" s="265">
        <v>1</v>
      </c>
      <c r="C15" s="6" t="s">
        <v>21</v>
      </c>
      <c r="D15" s="73">
        <f t="shared" ref="D15:E17" si="6">+H4</f>
        <v>2200000</v>
      </c>
      <c r="E15" s="74">
        <f t="shared" si="6"/>
        <v>140606</v>
      </c>
      <c r="F15" s="74">
        <f>+D15+E15</f>
        <v>2340606</v>
      </c>
      <c r="G15" s="75">
        <f>+F15*Objetos_Costo_Variables!$D$17</f>
        <v>194972.4798</v>
      </c>
      <c r="H15" s="75">
        <f>+F15*Objetos_Costo_Variables!$D$18</f>
        <v>23406.06</v>
      </c>
      <c r="I15" s="75">
        <f>+F15*Objetos_Costo_Variables!$D$19</f>
        <v>194972.4798</v>
      </c>
      <c r="J15" s="75">
        <f>+D15*Objetos_Costo_Variables!$D$20</f>
        <v>91740</v>
      </c>
      <c r="K15" s="76">
        <f>+D15*Objetos_Costo_Variables!$D$16</f>
        <v>264000</v>
      </c>
      <c r="L15" s="76">
        <f>+D15*Objetos_Costo_Variables!$D$14</f>
        <v>187000</v>
      </c>
      <c r="M15" s="77">
        <f>+D15*Objetos_Costo_Variables!$D$21</f>
        <v>88000</v>
      </c>
      <c r="N15" s="77">
        <f>+D15*Objetos_Costo_Variables!$D$22</f>
        <v>66000</v>
      </c>
      <c r="O15" s="77">
        <f>+D15*Objetos_Costo_Variables!$D$24</f>
        <v>44000</v>
      </c>
      <c r="P15" s="78">
        <f>+D15*Objetos_Costo_Variables!$D$23</f>
        <v>54252</v>
      </c>
    </row>
    <row r="16" spans="2:16" x14ac:dyDescent="0.25">
      <c r="B16" s="266">
        <v>2</v>
      </c>
      <c r="C16" s="5" t="s">
        <v>36</v>
      </c>
      <c r="D16" s="40">
        <f t="shared" si="6"/>
        <v>1600000</v>
      </c>
      <c r="E16" s="41">
        <f t="shared" si="6"/>
        <v>140606</v>
      </c>
      <c r="F16" s="41">
        <f>+D16+E16</f>
        <v>1740606</v>
      </c>
      <c r="G16" s="42">
        <f>+F16*Objetos_Costo_Variables!$D$17</f>
        <v>144992.4798</v>
      </c>
      <c r="H16" s="42">
        <f>+F16*Objetos_Costo_Variables!$D$18</f>
        <v>17406.060000000001</v>
      </c>
      <c r="I16" s="42">
        <f>+F16*Objetos_Costo_Variables!$D$19</f>
        <v>144992.4798</v>
      </c>
      <c r="J16" s="42">
        <f>+D16*Objetos_Costo_Variables!$D$20</f>
        <v>66720</v>
      </c>
      <c r="K16" s="43">
        <f>+D16*Objetos_Costo_Variables!$D$16</f>
        <v>192000</v>
      </c>
      <c r="L16" s="43">
        <f>+D16*Objetos_Costo_Variables!$D$14</f>
        <v>136000</v>
      </c>
      <c r="M16" s="44">
        <f>+D16*Objetos_Costo_Variables!$D$21</f>
        <v>64000</v>
      </c>
      <c r="N16" s="44">
        <f>+D16*Objetos_Costo_Variables!$D$22</f>
        <v>48000</v>
      </c>
      <c r="O16" s="44">
        <f>+D16*Objetos_Costo_Variables!$D$24</f>
        <v>32000</v>
      </c>
      <c r="P16" s="45">
        <f>+D16*Objetos_Costo_Variables!$D$23</f>
        <v>39456</v>
      </c>
    </row>
    <row r="17" spans="2:16" x14ac:dyDescent="0.25">
      <c r="B17" s="266">
        <v>3</v>
      </c>
      <c r="C17" s="5" t="s">
        <v>92</v>
      </c>
      <c r="D17" s="40">
        <f t="shared" si="6"/>
        <v>1191200</v>
      </c>
      <c r="E17" s="41">
        <f t="shared" si="6"/>
        <v>140606</v>
      </c>
      <c r="F17" s="41">
        <f t="shared" ref="F17:F20" si="7">+D17+E17</f>
        <v>1331806</v>
      </c>
      <c r="G17" s="42">
        <f>+F17*Objetos_Costo_Variables!$D$17</f>
        <v>110939.43979999999</v>
      </c>
      <c r="H17" s="42">
        <f>+F17*Objetos_Costo_Variables!$D$18</f>
        <v>13318.06</v>
      </c>
      <c r="I17" s="42">
        <f>+F17*Objetos_Costo_Variables!$D$19</f>
        <v>110939.43979999999</v>
      </c>
      <c r="J17" s="42">
        <f>+D17*Objetos_Costo_Variables!$D$20</f>
        <v>49673.04</v>
      </c>
      <c r="K17" s="43">
        <f>+D17*Objetos_Costo_Variables!$D$16</f>
        <v>142944</v>
      </c>
      <c r="L17" s="43">
        <f>+D17*Objetos_Costo_Variables!$D$14</f>
        <v>101252</v>
      </c>
      <c r="M17" s="44">
        <f>+D17*Objetos_Costo_Variables!$D$21</f>
        <v>47648</v>
      </c>
      <c r="N17" s="44">
        <f>+D17*Objetos_Costo_Variables!$D$22</f>
        <v>35736</v>
      </c>
      <c r="O17" s="44">
        <f>+D17*Objetos_Costo_Variables!$D$24</f>
        <v>23824</v>
      </c>
      <c r="P17" s="45">
        <f>+D17*Objetos_Costo_Variables!$D$23</f>
        <v>29374.992000000002</v>
      </c>
    </row>
    <row r="18" spans="2:16" x14ac:dyDescent="0.25">
      <c r="B18" s="266">
        <v>4</v>
      </c>
      <c r="C18" s="5" t="s">
        <v>37</v>
      </c>
      <c r="D18" s="40">
        <f>+H7</f>
        <v>3573600</v>
      </c>
      <c r="E18" s="41">
        <f t="shared" ref="E18:E19" si="8">+I7</f>
        <v>421818</v>
      </c>
      <c r="F18" s="41">
        <f>+D18+E18</f>
        <v>3995418</v>
      </c>
      <c r="G18" s="42">
        <f>+F18*Objetos_Costo_Variables!$D$17</f>
        <v>332818.31939999998</v>
      </c>
      <c r="H18" s="42">
        <f>+F18*Objetos_Costo_Variables!$D$18</f>
        <v>39954.18</v>
      </c>
      <c r="I18" s="42">
        <f>+F18*Objetos_Costo_Variables!$D$19</f>
        <v>332818.31939999998</v>
      </c>
      <c r="J18" s="42">
        <f>+D18*Objetos_Costo_Variables!$D$20</f>
        <v>149019.12</v>
      </c>
      <c r="K18" s="43">
        <f>+D18*Objetos_Costo_Variables!$D$16</f>
        <v>428832</v>
      </c>
      <c r="L18" s="43">
        <f>+D18*Objetos_Costo_Variables!$D$14</f>
        <v>303756</v>
      </c>
      <c r="M18" s="44">
        <f>+D18*Objetos_Costo_Variables!$D$21</f>
        <v>142944</v>
      </c>
      <c r="N18" s="44">
        <f>+D18*Objetos_Costo_Variables!$D$22</f>
        <v>107208</v>
      </c>
      <c r="O18" s="44">
        <f>+D18*Objetos_Costo_Variables!$D$24</f>
        <v>71472</v>
      </c>
      <c r="P18" s="45">
        <f>+D18*Objetos_Costo_Variables!$D$23</f>
        <v>88124.97600000001</v>
      </c>
    </row>
    <row r="19" spans="2:16" x14ac:dyDescent="0.25">
      <c r="B19" s="266">
        <v>5</v>
      </c>
      <c r="C19" s="5" t="s">
        <v>38</v>
      </c>
      <c r="D19" s="40">
        <f>+H8</f>
        <v>1547544</v>
      </c>
      <c r="E19" s="41">
        <f t="shared" si="8"/>
        <v>140606</v>
      </c>
      <c r="F19" s="41">
        <f t="shared" si="7"/>
        <v>1688150</v>
      </c>
      <c r="G19" s="42">
        <f>+F19*Objetos_Costo_Variables!$D$17</f>
        <v>140622.89499999999</v>
      </c>
      <c r="H19" s="42">
        <f>+F19*Objetos_Costo_Variables!$D$18</f>
        <v>16881.5</v>
      </c>
      <c r="I19" s="42">
        <f>+F19*Objetos_Costo_Variables!$D$19</f>
        <v>140622.89499999999</v>
      </c>
      <c r="J19" s="42">
        <f>+D19*Objetos_Costo_Variables!$D$20</f>
        <v>64532.584800000004</v>
      </c>
      <c r="K19" s="43">
        <f>+D19*Objetos_Costo_Variables!$D$16</f>
        <v>185705.28</v>
      </c>
      <c r="L19" s="43">
        <f>+D19*Objetos_Costo_Variables!$D$14</f>
        <v>131541.24000000002</v>
      </c>
      <c r="M19" s="44">
        <f>+D19*Objetos_Costo_Variables!$D$21</f>
        <v>61901.760000000002</v>
      </c>
      <c r="N19" s="44">
        <f>+D19*Objetos_Costo_Variables!$D$22</f>
        <v>46426.32</v>
      </c>
      <c r="O19" s="44">
        <f>+D19*Objetos_Costo_Variables!$D$24</f>
        <v>30950.880000000001</v>
      </c>
      <c r="P19" s="45">
        <f>+D19*Objetos_Costo_Variables!$D$23</f>
        <v>38162.435040000004</v>
      </c>
    </row>
    <row r="20" spans="2:16" ht="15.75" thickBot="1" x14ac:dyDescent="0.3">
      <c r="B20" s="267">
        <v>6</v>
      </c>
      <c r="C20" s="268" t="s">
        <v>39</v>
      </c>
      <c r="D20" s="148">
        <f>+H9</f>
        <v>1403750</v>
      </c>
      <c r="E20" s="149">
        <f>+I9</f>
        <v>140606</v>
      </c>
      <c r="F20" s="149">
        <f t="shared" si="7"/>
        <v>1544356</v>
      </c>
      <c r="G20" s="150">
        <f>+F20*Objetos_Costo_Variables!$D$17</f>
        <v>128644.8548</v>
      </c>
      <c r="H20" s="150">
        <f>+F20*Objetos_Costo_Variables!$D$18</f>
        <v>15443.56</v>
      </c>
      <c r="I20" s="150">
        <f>+F20*Objetos_Costo_Variables!$D$19</f>
        <v>128644.8548</v>
      </c>
      <c r="J20" s="150">
        <f>+D20*Objetos_Costo_Variables!$D$20</f>
        <v>58536.375</v>
      </c>
      <c r="K20" s="151">
        <f>+D20*Objetos_Costo_Variables!$D$16</f>
        <v>168450</v>
      </c>
      <c r="L20" s="151">
        <f>+D20*Objetos_Costo_Variables!$D$14</f>
        <v>119318.75000000001</v>
      </c>
      <c r="M20" s="152">
        <f>+D20*Objetos_Costo_Variables!$D$21</f>
        <v>56150</v>
      </c>
      <c r="N20" s="152">
        <f>+D20*Objetos_Costo_Variables!$D$22</f>
        <v>42112.5</v>
      </c>
      <c r="O20" s="152">
        <f>+D20*Objetos_Costo_Variables!$D$24</f>
        <v>28075</v>
      </c>
      <c r="P20" s="153">
        <f>+D20*Objetos_Costo_Variables!$D$23</f>
        <v>34616.474999999999</v>
      </c>
    </row>
    <row r="21" spans="2:16" ht="15.75" thickBot="1" x14ac:dyDescent="0.3">
      <c r="B21" s="154"/>
      <c r="C21" s="155" t="s">
        <v>91</v>
      </c>
      <c r="D21" s="156">
        <f t="shared" ref="D21:P21" si="9">+SUM(D15:D20)</f>
        <v>11516094</v>
      </c>
      <c r="E21" s="156">
        <f t="shared" si="9"/>
        <v>1124848</v>
      </c>
      <c r="F21" s="156">
        <f t="shared" si="9"/>
        <v>12640942</v>
      </c>
      <c r="G21" s="156">
        <f t="shared" si="9"/>
        <v>1052990.4686</v>
      </c>
      <c r="H21" s="156">
        <f t="shared" si="9"/>
        <v>126409.42</v>
      </c>
      <c r="I21" s="156">
        <f t="shared" si="9"/>
        <v>1052990.4686</v>
      </c>
      <c r="J21" s="156">
        <f t="shared" si="9"/>
        <v>480221.11980000004</v>
      </c>
      <c r="K21" s="156">
        <f t="shared" si="9"/>
        <v>1381931.28</v>
      </c>
      <c r="L21" s="156">
        <f t="shared" si="9"/>
        <v>978867.99</v>
      </c>
      <c r="M21" s="157">
        <f t="shared" si="9"/>
        <v>460643.76</v>
      </c>
      <c r="N21" s="157">
        <f t="shared" si="9"/>
        <v>345482.82</v>
      </c>
      <c r="O21" s="157">
        <f t="shared" si="9"/>
        <v>230321.88</v>
      </c>
      <c r="P21" s="158">
        <f t="shared" si="9"/>
        <v>283986.87803999998</v>
      </c>
    </row>
    <row r="22" spans="2:16" ht="15.75" thickBot="1" x14ac:dyDescent="0.3">
      <c r="B22" s="46"/>
      <c r="C22" s="46"/>
      <c r="D22" s="35"/>
      <c r="E22" s="35"/>
      <c r="F22" s="47"/>
      <c r="G22" s="48"/>
      <c r="H22" s="48"/>
      <c r="I22" s="48"/>
      <c r="J22" s="48"/>
      <c r="K22" s="48"/>
      <c r="L22" s="48"/>
      <c r="M22" s="49"/>
      <c r="N22" s="50"/>
      <c r="O22" s="50"/>
      <c r="P22" s="51">
        <f>SUM(D21:P21)</f>
        <v>31675730.085040007</v>
      </c>
    </row>
    <row r="23" spans="2:16" ht="28.5" customHeight="1" thickBot="1" x14ac:dyDescent="0.3">
      <c r="C23" s="738" t="s">
        <v>127</v>
      </c>
      <c r="D23" s="739"/>
      <c r="E23" s="739"/>
      <c r="F23" s="739"/>
      <c r="G23" s="739"/>
      <c r="H23" s="740"/>
    </row>
    <row r="24" spans="2:16" ht="30.75" thickBot="1" x14ac:dyDescent="0.3">
      <c r="B24" s="69" t="s">
        <v>139</v>
      </c>
      <c r="C24" s="52" t="s">
        <v>88</v>
      </c>
      <c r="D24" s="53" t="s">
        <v>128</v>
      </c>
      <c r="E24" s="53" t="s">
        <v>129</v>
      </c>
      <c r="F24" s="53" t="s">
        <v>130</v>
      </c>
      <c r="G24" s="53" t="s">
        <v>131</v>
      </c>
      <c r="H24" s="54" t="s">
        <v>20</v>
      </c>
    </row>
    <row r="25" spans="2:16" x14ac:dyDescent="0.25">
      <c r="B25" s="269">
        <v>1</v>
      </c>
      <c r="C25" s="55" t="str">
        <f>+C4</f>
        <v>Chef</v>
      </c>
      <c r="D25" s="56">
        <f>SUM(F15:P15)</f>
        <v>3548949.0195999998</v>
      </c>
      <c r="E25" s="56">
        <f>+D25/30</f>
        <v>118298.30065333332</v>
      </c>
      <c r="F25" s="56">
        <f>+E25/8</f>
        <v>14787.287581666666</v>
      </c>
      <c r="G25" s="56">
        <f>+F25/60</f>
        <v>246.45479302777775</v>
      </c>
      <c r="H25" s="728" t="s">
        <v>89</v>
      </c>
      <c r="I25" s="4">
        <f>+((8*6)*4)*60</f>
        <v>11520</v>
      </c>
    </row>
    <row r="26" spans="2:16" x14ac:dyDescent="0.25">
      <c r="B26" s="270">
        <v>2</v>
      </c>
      <c r="C26" s="57" t="str">
        <f>+C5</f>
        <v xml:space="preserve">Sous chef </v>
      </c>
      <c r="D26" s="58">
        <f t="shared" ref="D26:D29" si="10">SUM(F16:P16)</f>
        <v>2626173.0196000002</v>
      </c>
      <c r="E26" s="58">
        <f t="shared" ref="E26:E30" si="11">+D26/30</f>
        <v>87539.100653333342</v>
      </c>
      <c r="F26" s="58">
        <f t="shared" ref="F26:F30" si="12">+E26/8</f>
        <v>10942.387581666668</v>
      </c>
      <c r="G26" s="58">
        <f>+F26/60</f>
        <v>182.37312636111113</v>
      </c>
      <c r="H26" s="729"/>
      <c r="I26" s="4">
        <v>64</v>
      </c>
    </row>
    <row r="27" spans="2:16" ht="15.75" thickBot="1" x14ac:dyDescent="0.3">
      <c r="B27" s="270">
        <v>3</v>
      </c>
      <c r="C27" s="59" t="str">
        <f>+C6</f>
        <v>Auxiliar de cocina</v>
      </c>
      <c r="D27" s="60">
        <f t="shared" si="10"/>
        <v>1997454.9716000003</v>
      </c>
      <c r="E27" s="60">
        <f t="shared" si="11"/>
        <v>66581.832386666676</v>
      </c>
      <c r="F27" s="60">
        <f t="shared" si="12"/>
        <v>8322.7290483333345</v>
      </c>
      <c r="G27" s="60">
        <f t="shared" ref="G27:G30" si="13">+F27/60</f>
        <v>138.71215080555558</v>
      </c>
      <c r="H27" s="730"/>
    </row>
    <row r="28" spans="2:16" ht="15" customHeight="1" x14ac:dyDescent="0.25">
      <c r="B28" s="270">
        <v>4</v>
      </c>
      <c r="C28" s="55" t="s">
        <v>37</v>
      </c>
      <c r="D28" s="56">
        <f t="shared" si="10"/>
        <v>5992364.9148000004</v>
      </c>
      <c r="E28" s="56">
        <f t="shared" si="11"/>
        <v>199745.49716</v>
      </c>
      <c r="F28" s="56">
        <f t="shared" si="12"/>
        <v>24968.187145</v>
      </c>
      <c r="G28" s="56">
        <f t="shared" si="13"/>
        <v>416.13645241666666</v>
      </c>
      <c r="H28" s="728" t="s">
        <v>90</v>
      </c>
    </row>
    <row r="29" spans="2:16" x14ac:dyDescent="0.25">
      <c r="B29" s="270">
        <v>5</v>
      </c>
      <c r="C29" s="57" t="str">
        <f>+C8</f>
        <v>Auxiliar contable</v>
      </c>
      <c r="D29" s="58">
        <f t="shared" si="10"/>
        <v>2545497.7898399998</v>
      </c>
      <c r="E29" s="58">
        <f t="shared" si="11"/>
        <v>84849.926327999987</v>
      </c>
      <c r="F29" s="58">
        <f t="shared" si="12"/>
        <v>10606.240790999998</v>
      </c>
      <c r="G29" s="58">
        <f t="shared" si="13"/>
        <v>176.77067984999996</v>
      </c>
      <c r="H29" s="729"/>
    </row>
    <row r="30" spans="2:16" ht="15.75" thickBot="1" x14ac:dyDescent="0.3">
      <c r="B30" s="271">
        <v>6</v>
      </c>
      <c r="C30" s="59" t="str">
        <f>+C9</f>
        <v>Auxiliar Administrativo</v>
      </c>
      <c r="D30" s="60">
        <f>SUM(F20:P20)</f>
        <v>2324348.3696000003</v>
      </c>
      <c r="E30" s="60">
        <f t="shared" si="11"/>
        <v>77478.278986666672</v>
      </c>
      <c r="F30" s="60">
        <f t="shared" si="12"/>
        <v>9684.784873333334</v>
      </c>
      <c r="G30" s="60">
        <f t="shared" si="13"/>
        <v>161.41308122222225</v>
      </c>
      <c r="H30" s="730"/>
    </row>
  </sheetData>
  <mergeCells count="7">
    <mergeCell ref="H28:H30"/>
    <mergeCell ref="M2:M3"/>
    <mergeCell ref="N2:N3"/>
    <mergeCell ref="B13:O13"/>
    <mergeCell ref="H25:H27"/>
    <mergeCell ref="C23:H23"/>
    <mergeCell ref="C2:J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O61"/>
  <sheetViews>
    <sheetView topLeftCell="A40" workbookViewId="0">
      <selection activeCell="H15" sqref="H15"/>
    </sheetView>
  </sheetViews>
  <sheetFormatPr baseColWidth="10" defaultRowHeight="15" x14ac:dyDescent="0.25"/>
  <cols>
    <col min="2" max="2" width="6" customWidth="1"/>
    <col min="6" max="6" width="43.42578125" customWidth="1"/>
    <col min="8" max="8" width="12.42578125" bestFit="1" customWidth="1"/>
    <col min="10" max="10" width="27.85546875" customWidth="1"/>
    <col min="11" max="11" width="13" bestFit="1" customWidth="1"/>
    <col min="12" max="12" width="12" bestFit="1" customWidth="1"/>
    <col min="13" max="13" width="26.140625" customWidth="1"/>
    <col min="15" max="15" width="19.140625" customWidth="1"/>
  </cols>
  <sheetData>
    <row r="1" spans="2:15" ht="15.75" thickBot="1" x14ac:dyDescent="0.3">
      <c r="G1" s="61"/>
    </row>
    <row r="2" spans="2:15" ht="30.75" customHeight="1" thickBot="1" x14ac:dyDescent="0.3">
      <c r="B2" s="754" t="s">
        <v>142</v>
      </c>
      <c r="C2" s="755"/>
      <c r="D2" s="755"/>
      <c r="E2" s="755"/>
      <c r="F2" s="755"/>
      <c r="G2" s="756"/>
      <c r="H2" s="68" t="s">
        <v>143</v>
      </c>
      <c r="J2" s="170"/>
      <c r="K2" s="170"/>
      <c r="L2" s="170"/>
      <c r="M2" s="170"/>
      <c r="N2" s="170"/>
      <c r="O2" s="170"/>
    </row>
    <row r="3" spans="2:15" ht="15.75" thickBot="1" x14ac:dyDescent="0.3">
      <c r="B3" s="125" t="s">
        <v>144</v>
      </c>
      <c r="C3" s="126" t="s">
        <v>145</v>
      </c>
      <c r="D3" s="126" t="s">
        <v>146</v>
      </c>
      <c r="E3" s="126">
        <v>51351502</v>
      </c>
      <c r="F3" s="126" t="s">
        <v>147</v>
      </c>
      <c r="G3" s="130">
        <v>5341346</v>
      </c>
      <c r="H3" s="19">
        <v>5160</v>
      </c>
      <c r="J3" s="170"/>
      <c r="K3" s="170"/>
      <c r="L3" s="170"/>
      <c r="M3" s="170"/>
      <c r="N3" s="170"/>
      <c r="O3" s="170"/>
    </row>
    <row r="4" spans="2:15" x14ac:dyDescent="0.25">
      <c r="B4" s="127" t="s">
        <v>144</v>
      </c>
      <c r="C4" s="62" t="s">
        <v>148</v>
      </c>
      <c r="D4" s="62" t="s">
        <v>149</v>
      </c>
      <c r="E4" s="62">
        <v>51351502</v>
      </c>
      <c r="F4" s="62" t="s">
        <v>150</v>
      </c>
      <c r="G4" s="64">
        <v>4972265</v>
      </c>
      <c r="H4" s="25">
        <v>4780</v>
      </c>
      <c r="J4" s="273" t="s">
        <v>544</v>
      </c>
      <c r="K4" s="274">
        <v>10862</v>
      </c>
      <c r="L4" s="272" t="s">
        <v>546</v>
      </c>
      <c r="M4" s="170"/>
      <c r="N4" s="170"/>
      <c r="O4" s="170"/>
    </row>
    <row r="5" spans="2:15" x14ac:dyDescent="0.25">
      <c r="B5" s="127" t="s">
        <v>144</v>
      </c>
      <c r="C5" s="62" t="s">
        <v>151</v>
      </c>
      <c r="D5" s="62" t="s">
        <v>152</v>
      </c>
      <c r="E5" s="62">
        <v>51351502</v>
      </c>
      <c r="F5" s="62" t="s">
        <v>153</v>
      </c>
      <c r="G5" s="64">
        <v>4980865</v>
      </c>
      <c r="H5" s="25">
        <v>4863</v>
      </c>
      <c r="J5" s="275" t="s">
        <v>545</v>
      </c>
      <c r="K5" s="276">
        <v>110</v>
      </c>
      <c r="L5" s="277" t="s">
        <v>546</v>
      </c>
      <c r="M5" s="170"/>
      <c r="N5" s="170"/>
      <c r="O5" s="170"/>
    </row>
    <row r="6" spans="2:15" ht="15.75" thickBot="1" x14ac:dyDescent="0.3">
      <c r="B6" s="127" t="s">
        <v>144</v>
      </c>
      <c r="C6" s="62" t="s">
        <v>154</v>
      </c>
      <c r="D6" s="62" t="s">
        <v>155</v>
      </c>
      <c r="E6" s="62">
        <v>51351502</v>
      </c>
      <c r="F6" s="62" t="s">
        <v>156</v>
      </c>
      <c r="G6" s="64">
        <v>5943865</v>
      </c>
      <c r="H6" s="25">
        <v>5080</v>
      </c>
      <c r="J6" s="278" t="s">
        <v>552</v>
      </c>
      <c r="K6" s="279">
        <f>+K5/K4</f>
        <v>1.0127048425704291E-2</v>
      </c>
      <c r="L6" s="280"/>
      <c r="M6" s="170"/>
      <c r="N6" s="170"/>
      <c r="O6" s="170"/>
    </row>
    <row r="7" spans="2:15" x14ac:dyDescent="0.25">
      <c r="B7" s="127" t="s">
        <v>144</v>
      </c>
      <c r="C7" s="62" t="s">
        <v>157</v>
      </c>
      <c r="D7" s="62" t="s">
        <v>158</v>
      </c>
      <c r="E7" s="62">
        <v>51351502</v>
      </c>
      <c r="F7" s="62" t="s">
        <v>159</v>
      </c>
      <c r="G7" s="64">
        <v>5423965</v>
      </c>
      <c r="H7" s="25">
        <v>4880</v>
      </c>
      <c r="J7" s="170"/>
      <c r="K7" s="170"/>
      <c r="L7" s="170"/>
      <c r="M7" s="170"/>
      <c r="N7" s="170"/>
      <c r="O7" s="170"/>
    </row>
    <row r="8" spans="2:15" ht="15.75" thickBot="1" x14ac:dyDescent="0.3">
      <c r="B8" s="127" t="s">
        <v>144</v>
      </c>
      <c r="C8" s="62" t="s">
        <v>160</v>
      </c>
      <c r="D8" s="62" t="s">
        <v>161</v>
      </c>
      <c r="E8" s="62">
        <v>51351502</v>
      </c>
      <c r="F8" s="62" t="s">
        <v>162</v>
      </c>
      <c r="G8" s="64">
        <v>5535565</v>
      </c>
      <c r="H8" s="25">
        <v>5340</v>
      </c>
      <c r="J8" s="4"/>
      <c r="K8" s="4"/>
      <c r="L8" s="4"/>
      <c r="M8" s="4"/>
      <c r="N8" s="4"/>
      <c r="O8" s="4"/>
    </row>
    <row r="9" spans="2:15" x14ac:dyDescent="0.25">
      <c r="B9" s="127" t="s">
        <v>144</v>
      </c>
      <c r="C9" s="62" t="s">
        <v>163</v>
      </c>
      <c r="D9" s="62" t="s">
        <v>164</v>
      </c>
      <c r="E9" s="62">
        <v>51351502</v>
      </c>
      <c r="F9" s="62" t="s">
        <v>165</v>
      </c>
      <c r="G9" s="64">
        <v>6080165</v>
      </c>
      <c r="H9" s="25">
        <v>5360</v>
      </c>
      <c r="J9" s="750" t="s">
        <v>651</v>
      </c>
      <c r="K9" s="751"/>
      <c r="L9" s="751"/>
      <c r="M9" s="744" t="s">
        <v>550</v>
      </c>
    </row>
    <row r="10" spans="2:15" ht="15.75" thickBot="1" x14ac:dyDescent="0.3">
      <c r="B10" s="127" t="s">
        <v>144</v>
      </c>
      <c r="C10" s="62" t="s">
        <v>166</v>
      </c>
      <c r="D10" s="62" t="s">
        <v>167</v>
      </c>
      <c r="E10" s="62">
        <v>51351502</v>
      </c>
      <c r="F10" s="62" t="s">
        <v>168</v>
      </c>
      <c r="G10" s="64">
        <v>5315665</v>
      </c>
      <c r="H10" s="25">
        <v>4540</v>
      </c>
      <c r="J10" s="284" t="s">
        <v>504</v>
      </c>
      <c r="K10" s="285" t="s">
        <v>505</v>
      </c>
      <c r="L10" s="286" t="s">
        <v>553</v>
      </c>
      <c r="M10" s="745"/>
    </row>
    <row r="11" spans="2:15" x14ac:dyDescent="0.25">
      <c r="B11" s="127" t="s">
        <v>144</v>
      </c>
      <c r="C11" s="62" t="s">
        <v>169</v>
      </c>
      <c r="D11" s="62" t="s">
        <v>170</v>
      </c>
      <c r="E11" s="62">
        <v>51351502</v>
      </c>
      <c r="F11" s="62" t="s">
        <v>171</v>
      </c>
      <c r="G11" s="64">
        <v>5533665</v>
      </c>
      <c r="H11" s="25">
        <v>4780</v>
      </c>
      <c r="J11" s="6" t="s">
        <v>506</v>
      </c>
      <c r="K11" s="281">
        <f>+H30</f>
        <v>1706081.6666666667</v>
      </c>
      <c r="L11" s="282">
        <f>+$K$6</f>
        <v>1.0127048425704291E-2</v>
      </c>
      <c r="M11" s="283">
        <f>+K11*L11</f>
        <v>17277.571656539621</v>
      </c>
    </row>
    <row r="12" spans="2:15" x14ac:dyDescent="0.25">
      <c r="B12" s="127" t="s">
        <v>144</v>
      </c>
      <c r="C12" s="62" t="s">
        <v>172</v>
      </c>
      <c r="D12" s="62" t="s">
        <v>173</v>
      </c>
      <c r="E12" s="62">
        <v>51351502</v>
      </c>
      <c r="F12" s="62" t="s">
        <v>174</v>
      </c>
      <c r="G12" s="64">
        <v>6204765</v>
      </c>
      <c r="H12" s="25">
        <v>5360</v>
      </c>
      <c r="J12" s="5" t="s">
        <v>507</v>
      </c>
      <c r="K12" s="168">
        <f>+H15</f>
        <v>5630930.083333333</v>
      </c>
      <c r="L12" s="172">
        <f t="shared" ref="L12" si="0">+$K$6</f>
        <v>1.0127048425704291E-2</v>
      </c>
      <c r="M12" s="171">
        <f>+K12*L12</f>
        <v>57024.701635671765</v>
      </c>
    </row>
    <row r="13" spans="2:15" x14ac:dyDescent="0.25">
      <c r="B13" s="127" t="s">
        <v>144</v>
      </c>
      <c r="C13" s="62" t="s">
        <v>175</v>
      </c>
      <c r="D13" s="62" t="s">
        <v>176</v>
      </c>
      <c r="E13" s="62">
        <v>51351502</v>
      </c>
      <c r="F13" s="62" t="s">
        <v>177</v>
      </c>
      <c r="G13" s="64">
        <v>6418065</v>
      </c>
      <c r="H13" s="25">
        <v>5480</v>
      </c>
      <c r="J13" s="5" t="s">
        <v>587</v>
      </c>
      <c r="K13" s="168">
        <f>+H61</f>
        <v>744370</v>
      </c>
      <c r="L13" s="178">
        <f>+K6</f>
        <v>1.0127048425704291E-2</v>
      </c>
      <c r="M13" s="171">
        <f t="shared" ref="M13" si="1">+K13*L13</f>
        <v>7538.2710366415031</v>
      </c>
    </row>
    <row r="14" spans="2:15" ht="15.75" thickBot="1" x14ac:dyDescent="0.3">
      <c r="B14" s="128" t="s">
        <v>144</v>
      </c>
      <c r="C14" s="129" t="s">
        <v>178</v>
      </c>
      <c r="D14" s="129" t="s">
        <v>179</v>
      </c>
      <c r="E14" s="129">
        <v>51351502</v>
      </c>
      <c r="F14" s="129" t="s">
        <v>180</v>
      </c>
      <c r="G14" s="131">
        <v>5820965</v>
      </c>
      <c r="H14" s="132">
        <v>4980</v>
      </c>
      <c r="I14" s="7"/>
    </row>
    <row r="15" spans="2:15" ht="21" customHeight="1" thickBot="1" x14ac:dyDescent="0.3">
      <c r="B15" s="758" t="s">
        <v>548</v>
      </c>
      <c r="C15" s="759"/>
      <c r="D15" s="759"/>
      <c r="E15" s="759"/>
      <c r="F15" s="759"/>
      <c r="G15" s="124">
        <f>SUM(G3:G14)</f>
        <v>67571161</v>
      </c>
      <c r="H15" s="316">
        <f>+AVERAGE(G3:G14)</f>
        <v>5630930.083333333</v>
      </c>
      <c r="I15" s="7"/>
      <c r="J15" s="752" t="s">
        <v>651</v>
      </c>
      <c r="K15" s="753"/>
      <c r="L15" s="753"/>
      <c r="M15" s="287" t="s">
        <v>550</v>
      </c>
    </row>
    <row r="16" spans="2:15" ht="15.75" thickBot="1" x14ac:dyDescent="0.3">
      <c r="G16" s="61"/>
      <c r="J16" s="6" t="s">
        <v>508</v>
      </c>
      <c r="K16" s="281">
        <f>+H46</f>
        <v>1328502.3483333334</v>
      </c>
      <c r="L16" s="282">
        <v>1</v>
      </c>
      <c r="M16" s="283">
        <f>+K16</f>
        <v>1328502.3483333334</v>
      </c>
    </row>
    <row r="17" spans="2:13" ht="33.75" customHeight="1" thickBot="1" x14ac:dyDescent="0.3">
      <c r="B17" s="763" t="s">
        <v>181</v>
      </c>
      <c r="C17" s="764"/>
      <c r="D17" s="764"/>
      <c r="E17" s="764"/>
      <c r="F17" s="764"/>
      <c r="G17" s="765"/>
      <c r="H17" s="70" t="s">
        <v>143</v>
      </c>
    </row>
    <row r="18" spans="2:13" ht="30" x14ac:dyDescent="0.25">
      <c r="B18" s="125" t="s">
        <v>144</v>
      </c>
      <c r="C18" s="126" t="s">
        <v>182</v>
      </c>
      <c r="D18" s="126" t="s">
        <v>183</v>
      </c>
      <c r="E18" s="126">
        <v>51351501</v>
      </c>
      <c r="F18" s="133" t="s">
        <v>248</v>
      </c>
      <c r="G18" s="134">
        <v>1604220</v>
      </c>
      <c r="H18" s="138">
        <v>280</v>
      </c>
      <c r="J18" s="750" t="s">
        <v>651</v>
      </c>
      <c r="K18" s="751"/>
      <c r="L18" s="751"/>
      <c r="M18" s="744" t="s">
        <v>550</v>
      </c>
    </row>
    <row r="19" spans="2:13" ht="15.75" thickBot="1" x14ac:dyDescent="0.3">
      <c r="B19" s="127" t="s">
        <v>144</v>
      </c>
      <c r="C19" s="62" t="s">
        <v>184</v>
      </c>
      <c r="D19" s="62" t="s">
        <v>185</v>
      </c>
      <c r="E19" s="62">
        <v>51351501</v>
      </c>
      <c r="F19" s="63" t="s">
        <v>186</v>
      </c>
      <c r="G19" s="135">
        <v>1327320</v>
      </c>
      <c r="H19" s="139">
        <v>200</v>
      </c>
      <c r="J19" s="284" t="s">
        <v>504</v>
      </c>
      <c r="K19" s="285" t="s">
        <v>505</v>
      </c>
      <c r="L19" s="286" t="s">
        <v>553</v>
      </c>
      <c r="M19" s="745"/>
    </row>
    <row r="20" spans="2:13" x14ac:dyDescent="0.25">
      <c r="B20" s="127" t="s">
        <v>144</v>
      </c>
      <c r="C20" s="62" t="s">
        <v>187</v>
      </c>
      <c r="D20" s="62" t="s">
        <v>188</v>
      </c>
      <c r="E20" s="62">
        <v>51351501</v>
      </c>
      <c r="F20" s="63" t="s">
        <v>189</v>
      </c>
      <c r="G20" s="135">
        <v>1429670</v>
      </c>
      <c r="H20" s="139">
        <v>224</v>
      </c>
      <c r="J20" s="6" t="s">
        <v>648</v>
      </c>
      <c r="K20" s="281">
        <v>461888</v>
      </c>
      <c r="L20" s="288">
        <f>+K6</f>
        <v>1.0127048425704291E-2</v>
      </c>
      <c r="M20" s="283">
        <f t="shared" ref="M20" si="2">+K20*L20</f>
        <v>4677.5621432517037</v>
      </c>
    </row>
    <row r="21" spans="2:13" x14ac:dyDescent="0.25">
      <c r="B21" s="127" t="s">
        <v>144</v>
      </c>
      <c r="C21" s="62" t="s">
        <v>190</v>
      </c>
      <c r="D21" s="62" t="s">
        <v>191</v>
      </c>
      <c r="E21" s="62">
        <v>51351501</v>
      </c>
      <c r="F21" s="63" t="s">
        <v>192</v>
      </c>
      <c r="G21" s="135">
        <v>1600410</v>
      </c>
      <c r="H21" s="139">
        <v>261</v>
      </c>
    </row>
    <row r="22" spans="2:13" x14ac:dyDescent="0.25">
      <c r="B22" s="127" t="s">
        <v>144</v>
      </c>
      <c r="C22" s="62" t="s">
        <v>193</v>
      </c>
      <c r="D22" s="62" t="s">
        <v>194</v>
      </c>
      <c r="E22" s="62">
        <v>51351501</v>
      </c>
      <c r="F22" s="63" t="s">
        <v>195</v>
      </c>
      <c r="G22" s="135">
        <v>2295680</v>
      </c>
      <c r="H22" s="139">
        <v>444</v>
      </c>
    </row>
    <row r="23" spans="2:13" x14ac:dyDescent="0.25">
      <c r="B23" s="127" t="s">
        <v>144</v>
      </c>
      <c r="C23" s="62" t="s">
        <v>196</v>
      </c>
      <c r="D23" s="62" t="s">
        <v>197</v>
      </c>
      <c r="E23" s="62">
        <v>51351501</v>
      </c>
      <c r="F23" s="63" t="s">
        <v>198</v>
      </c>
      <c r="G23" s="135">
        <v>1831890</v>
      </c>
      <c r="H23" s="139">
        <v>318</v>
      </c>
    </row>
    <row r="24" spans="2:13" x14ac:dyDescent="0.25">
      <c r="B24" s="127" t="s">
        <v>144</v>
      </c>
      <c r="C24" s="62" t="s">
        <v>199</v>
      </c>
      <c r="D24" s="62" t="s">
        <v>200</v>
      </c>
      <c r="E24" s="62">
        <v>51351501</v>
      </c>
      <c r="F24" s="63" t="s">
        <v>201</v>
      </c>
      <c r="G24" s="135">
        <v>2077110</v>
      </c>
      <c r="H24" s="139">
        <v>383</v>
      </c>
    </row>
    <row r="25" spans="2:13" x14ac:dyDescent="0.25">
      <c r="B25" s="127" t="s">
        <v>144</v>
      </c>
      <c r="C25" s="62" t="s">
        <v>202</v>
      </c>
      <c r="D25" s="62" t="s">
        <v>203</v>
      </c>
      <c r="E25" s="62">
        <v>51351501</v>
      </c>
      <c r="F25" s="63" t="s">
        <v>204</v>
      </c>
      <c r="G25" s="135">
        <v>1963930</v>
      </c>
      <c r="H25" s="139">
        <v>340</v>
      </c>
    </row>
    <row r="26" spans="2:13" x14ac:dyDescent="0.25">
      <c r="B26" s="127" t="s">
        <v>144</v>
      </c>
      <c r="C26" s="62" t="s">
        <v>205</v>
      </c>
      <c r="D26" s="62" t="s">
        <v>170</v>
      </c>
      <c r="E26" s="62">
        <v>51351501</v>
      </c>
      <c r="F26" s="63" t="s">
        <v>206</v>
      </c>
      <c r="G26" s="135">
        <v>1939230</v>
      </c>
      <c r="H26" s="139">
        <v>333</v>
      </c>
    </row>
    <row r="27" spans="2:13" x14ac:dyDescent="0.25">
      <c r="B27" s="127" t="s">
        <v>144</v>
      </c>
      <c r="C27" s="62" t="s">
        <v>207</v>
      </c>
      <c r="D27" s="62" t="s">
        <v>208</v>
      </c>
      <c r="E27" s="62">
        <v>51351501</v>
      </c>
      <c r="F27" s="63" t="s">
        <v>209</v>
      </c>
      <c r="G27" s="135">
        <v>1637730</v>
      </c>
      <c r="H27" s="139">
        <v>259</v>
      </c>
    </row>
    <row r="28" spans="2:13" x14ac:dyDescent="0.25">
      <c r="B28" s="127" t="s">
        <v>144</v>
      </c>
      <c r="C28" s="62" t="s">
        <v>210</v>
      </c>
      <c r="D28" s="62" t="s">
        <v>211</v>
      </c>
      <c r="E28" s="62">
        <v>51351501</v>
      </c>
      <c r="F28" s="63" t="s">
        <v>212</v>
      </c>
      <c r="G28" s="135">
        <v>1382420</v>
      </c>
      <c r="H28" s="139">
        <v>193</v>
      </c>
    </row>
    <row r="29" spans="2:13" ht="15.75" thickBot="1" x14ac:dyDescent="0.3">
      <c r="B29" s="128" t="s">
        <v>144</v>
      </c>
      <c r="C29" s="129" t="s">
        <v>213</v>
      </c>
      <c r="D29" s="129" t="s">
        <v>214</v>
      </c>
      <c r="E29" s="129">
        <v>51351501</v>
      </c>
      <c r="F29" s="136" t="s">
        <v>215</v>
      </c>
      <c r="G29" s="137">
        <v>1383370</v>
      </c>
      <c r="H29" s="140">
        <v>192</v>
      </c>
      <c r="I29" s="7"/>
    </row>
    <row r="30" spans="2:13" ht="21" customHeight="1" thickBot="1" x14ac:dyDescent="0.3">
      <c r="B30" s="760" t="s">
        <v>549</v>
      </c>
      <c r="C30" s="761"/>
      <c r="D30" s="761"/>
      <c r="E30" s="761"/>
      <c r="F30" s="762"/>
      <c r="G30" s="71">
        <f>SUM(G18:G29)</f>
        <v>20472980</v>
      </c>
      <c r="H30" s="2">
        <f>+AVERAGE(G18:G29)</f>
        <v>1706081.6666666667</v>
      </c>
      <c r="I30" s="7">
        <f>+G30/12</f>
        <v>1706081.6666666667</v>
      </c>
    </row>
    <row r="31" spans="2:13" x14ac:dyDescent="0.25">
      <c r="B31" s="65"/>
      <c r="C31" s="65"/>
      <c r="D31" s="65"/>
      <c r="E31" s="65"/>
      <c r="F31" s="66"/>
      <c r="G31" s="67"/>
      <c r="H31" s="2"/>
      <c r="I31" s="7"/>
    </row>
    <row r="32" spans="2:13" ht="15.75" thickBot="1" x14ac:dyDescent="0.3">
      <c r="G32" s="61"/>
    </row>
    <row r="33" spans="2:9" ht="31.5" customHeight="1" thickBot="1" x14ac:dyDescent="0.3">
      <c r="B33" s="746" t="s">
        <v>216</v>
      </c>
      <c r="C33" s="747"/>
      <c r="D33" s="747"/>
      <c r="E33" s="747"/>
      <c r="F33" s="747"/>
      <c r="G33" s="757"/>
      <c r="H33" s="72" t="s">
        <v>143</v>
      </c>
    </row>
    <row r="34" spans="2:9" x14ac:dyDescent="0.25">
      <c r="B34" s="125" t="s">
        <v>144</v>
      </c>
      <c r="C34" s="126" t="s">
        <v>217</v>
      </c>
      <c r="D34" s="126" t="s">
        <v>183</v>
      </c>
      <c r="E34" s="126">
        <v>51351507</v>
      </c>
      <c r="F34" s="133" t="s">
        <v>218</v>
      </c>
      <c r="G34" s="141">
        <v>1401239</v>
      </c>
      <c r="H34" s="19">
        <v>420</v>
      </c>
    </row>
    <row r="35" spans="2:9" x14ac:dyDescent="0.25">
      <c r="B35" s="127" t="s">
        <v>144</v>
      </c>
      <c r="C35" s="62" t="s">
        <v>219</v>
      </c>
      <c r="D35" s="62" t="s">
        <v>220</v>
      </c>
      <c r="E35" s="62">
        <v>51351507</v>
      </c>
      <c r="F35" s="63" t="s">
        <v>221</v>
      </c>
      <c r="G35" s="142">
        <v>1143574.6000000001</v>
      </c>
      <c r="H35" s="25">
        <v>326</v>
      </c>
    </row>
    <row r="36" spans="2:9" x14ac:dyDescent="0.25">
      <c r="B36" s="127" t="s">
        <v>144</v>
      </c>
      <c r="C36" s="62" t="s">
        <v>222</v>
      </c>
      <c r="D36" s="62" t="s">
        <v>223</v>
      </c>
      <c r="E36" s="62">
        <v>51351507</v>
      </c>
      <c r="F36" s="63" t="s">
        <v>224</v>
      </c>
      <c r="G36" s="142">
        <v>1248756.75</v>
      </c>
      <c r="H36" s="25">
        <v>353</v>
      </c>
    </row>
    <row r="37" spans="2:9" x14ac:dyDescent="0.25">
      <c r="B37" s="127" t="s">
        <v>144</v>
      </c>
      <c r="C37" s="62" t="s">
        <v>225</v>
      </c>
      <c r="D37" s="62" t="s">
        <v>226</v>
      </c>
      <c r="E37" s="62">
        <v>51351507</v>
      </c>
      <c r="F37" s="63" t="s">
        <v>227</v>
      </c>
      <c r="G37" s="142">
        <v>1680364.7</v>
      </c>
      <c r="H37" s="25">
        <v>447</v>
      </c>
    </row>
    <row r="38" spans="2:9" x14ac:dyDescent="0.25">
      <c r="B38" s="127" t="s">
        <v>144</v>
      </c>
      <c r="C38" s="62" t="s">
        <v>228</v>
      </c>
      <c r="D38" s="62" t="s">
        <v>158</v>
      </c>
      <c r="E38" s="62">
        <v>51351507</v>
      </c>
      <c r="F38" s="63" t="s">
        <v>229</v>
      </c>
      <c r="G38" s="142">
        <v>1820292.54</v>
      </c>
      <c r="H38" s="25">
        <v>445</v>
      </c>
    </row>
    <row r="39" spans="2:9" x14ac:dyDescent="0.25">
      <c r="B39" s="127" t="s">
        <v>144</v>
      </c>
      <c r="C39" s="62" t="s">
        <v>230</v>
      </c>
      <c r="D39" s="62" t="s">
        <v>197</v>
      </c>
      <c r="E39" s="62">
        <v>51351507</v>
      </c>
      <c r="F39" s="63" t="s">
        <v>231</v>
      </c>
      <c r="G39" s="142">
        <v>1278918.21</v>
      </c>
      <c r="H39" s="25">
        <v>359</v>
      </c>
    </row>
    <row r="40" spans="2:9" x14ac:dyDescent="0.25">
      <c r="B40" s="127" t="s">
        <v>144</v>
      </c>
      <c r="C40" s="62" t="s">
        <v>232</v>
      </c>
      <c r="D40" s="62" t="s">
        <v>233</v>
      </c>
      <c r="E40" s="62">
        <v>51351507</v>
      </c>
      <c r="F40" s="63" t="s">
        <v>234</v>
      </c>
      <c r="G40" s="142">
        <v>458565.04</v>
      </c>
      <c r="H40" s="25">
        <v>132</v>
      </c>
    </row>
    <row r="41" spans="2:9" x14ac:dyDescent="0.25">
      <c r="B41" s="127" t="s">
        <v>144</v>
      </c>
      <c r="C41" s="62" t="s">
        <v>235</v>
      </c>
      <c r="D41" s="62" t="s">
        <v>236</v>
      </c>
      <c r="E41" s="62">
        <v>51351507</v>
      </c>
      <c r="F41" s="63" t="s">
        <v>237</v>
      </c>
      <c r="G41" s="142">
        <v>407157.53</v>
      </c>
      <c r="H41" s="25">
        <v>105</v>
      </c>
    </row>
    <row r="42" spans="2:9" x14ac:dyDescent="0.25">
      <c r="B42" s="127" t="s">
        <v>144</v>
      </c>
      <c r="C42" s="62" t="s">
        <v>238</v>
      </c>
      <c r="D42" s="62" t="s">
        <v>170</v>
      </c>
      <c r="E42" s="62">
        <v>51351507</v>
      </c>
      <c r="F42" s="63" t="s">
        <v>239</v>
      </c>
      <c r="G42" s="142">
        <v>1202439.32</v>
      </c>
      <c r="H42" s="25">
        <v>340</v>
      </c>
    </row>
    <row r="43" spans="2:9" x14ac:dyDescent="0.25">
      <c r="B43" s="127" t="s">
        <v>144</v>
      </c>
      <c r="C43" s="62" t="s">
        <v>240</v>
      </c>
      <c r="D43" s="62" t="s">
        <v>173</v>
      </c>
      <c r="E43" s="62">
        <v>51351507</v>
      </c>
      <c r="F43" s="63" t="s">
        <v>241</v>
      </c>
      <c r="G43" s="142">
        <v>2118746.0099999998</v>
      </c>
      <c r="H43" s="25">
        <v>366</v>
      </c>
    </row>
    <row r="44" spans="2:9" x14ac:dyDescent="0.25">
      <c r="B44" s="127" t="s">
        <v>144</v>
      </c>
      <c r="C44" s="62" t="s">
        <v>242</v>
      </c>
      <c r="D44" s="62" t="s">
        <v>243</v>
      </c>
      <c r="E44" s="62">
        <v>51351507</v>
      </c>
      <c r="F44" s="63" t="s">
        <v>244</v>
      </c>
      <c r="G44" s="142">
        <v>1563331.77</v>
      </c>
      <c r="H44" s="25">
        <v>393</v>
      </c>
    </row>
    <row r="45" spans="2:9" ht="15.75" thickBot="1" x14ac:dyDescent="0.3">
      <c r="B45" s="128" t="s">
        <v>144</v>
      </c>
      <c r="C45" s="129" t="s">
        <v>245</v>
      </c>
      <c r="D45" s="129" t="s">
        <v>246</v>
      </c>
      <c r="E45" s="129">
        <v>51351507</v>
      </c>
      <c r="F45" s="136" t="s">
        <v>247</v>
      </c>
      <c r="G45" s="143">
        <v>1618642.71</v>
      </c>
      <c r="H45" s="132">
        <v>423</v>
      </c>
      <c r="I45" s="7"/>
    </row>
    <row r="46" spans="2:9" ht="21" customHeight="1" thickBot="1" x14ac:dyDescent="0.3">
      <c r="B46" s="748" t="s">
        <v>249</v>
      </c>
      <c r="C46" s="749"/>
      <c r="D46" s="749"/>
      <c r="E46" s="749"/>
      <c r="F46" s="749"/>
      <c r="G46" s="144">
        <f>SUM(G34:G45)</f>
        <v>15942028.18</v>
      </c>
      <c r="H46" s="7">
        <f>+AVERAGE(G34:G45)</f>
        <v>1328502.3483333334</v>
      </c>
    </row>
    <row r="47" spans="2:9" ht="15.75" thickBot="1" x14ac:dyDescent="0.3"/>
    <row r="48" spans="2:9" ht="15.75" thickBot="1" x14ac:dyDescent="0.3">
      <c r="B48" s="746" t="s">
        <v>572</v>
      </c>
      <c r="C48" s="747"/>
      <c r="D48" s="747"/>
      <c r="E48" s="747"/>
      <c r="F48" s="747"/>
      <c r="G48" s="744"/>
    </row>
    <row r="49" spans="2:8" ht="15.75" thickBot="1" x14ac:dyDescent="0.3">
      <c r="B49" s="125" t="s">
        <v>144</v>
      </c>
      <c r="C49" s="126" t="s">
        <v>217</v>
      </c>
      <c r="D49" s="126" t="s">
        <v>183</v>
      </c>
      <c r="E49" s="126">
        <v>51351503</v>
      </c>
      <c r="F49" s="133" t="s">
        <v>573</v>
      </c>
      <c r="G49" s="179">
        <v>744370</v>
      </c>
    </row>
    <row r="50" spans="2:8" ht="15.75" thickBot="1" x14ac:dyDescent="0.3">
      <c r="B50" s="127" t="s">
        <v>144</v>
      </c>
      <c r="C50" s="62" t="s">
        <v>219</v>
      </c>
      <c r="D50" s="62" t="s">
        <v>220</v>
      </c>
      <c r="E50" s="126">
        <v>51351503</v>
      </c>
      <c r="F50" s="63" t="s">
        <v>574</v>
      </c>
      <c r="G50" s="179">
        <v>744370</v>
      </c>
    </row>
    <row r="51" spans="2:8" ht="15.75" thickBot="1" x14ac:dyDescent="0.3">
      <c r="B51" s="127" t="s">
        <v>144</v>
      </c>
      <c r="C51" s="62" t="s">
        <v>222</v>
      </c>
      <c r="D51" s="62" t="s">
        <v>223</v>
      </c>
      <c r="E51" s="126">
        <v>51351503</v>
      </c>
      <c r="F51" s="63" t="s">
        <v>575</v>
      </c>
      <c r="G51" s="179">
        <v>744370</v>
      </c>
    </row>
    <row r="52" spans="2:8" ht="15.75" thickBot="1" x14ac:dyDescent="0.3">
      <c r="B52" s="127" t="s">
        <v>144</v>
      </c>
      <c r="C52" s="62" t="s">
        <v>225</v>
      </c>
      <c r="D52" s="62" t="s">
        <v>226</v>
      </c>
      <c r="E52" s="126">
        <v>51351503</v>
      </c>
      <c r="F52" s="63" t="s">
        <v>576</v>
      </c>
      <c r="G52" s="179">
        <v>744370</v>
      </c>
    </row>
    <row r="53" spans="2:8" ht="15.75" thickBot="1" x14ac:dyDescent="0.3">
      <c r="B53" s="127" t="s">
        <v>144</v>
      </c>
      <c r="C53" s="62" t="s">
        <v>228</v>
      </c>
      <c r="D53" s="62" t="s">
        <v>158</v>
      </c>
      <c r="E53" s="126">
        <v>51351503</v>
      </c>
      <c r="F53" s="63" t="s">
        <v>577</v>
      </c>
      <c r="G53" s="179">
        <v>744370</v>
      </c>
    </row>
    <row r="54" spans="2:8" ht="15.75" thickBot="1" x14ac:dyDescent="0.3">
      <c r="B54" s="127" t="s">
        <v>144</v>
      </c>
      <c r="C54" s="62" t="s">
        <v>230</v>
      </c>
      <c r="D54" s="62" t="s">
        <v>197</v>
      </c>
      <c r="E54" s="126">
        <v>51351503</v>
      </c>
      <c r="F54" s="63" t="s">
        <v>578</v>
      </c>
      <c r="G54" s="179">
        <v>744370</v>
      </c>
    </row>
    <row r="55" spans="2:8" ht="15.75" thickBot="1" x14ac:dyDescent="0.3">
      <c r="B55" s="127" t="s">
        <v>144</v>
      </c>
      <c r="C55" s="62" t="s">
        <v>232</v>
      </c>
      <c r="D55" s="62" t="s">
        <v>233</v>
      </c>
      <c r="E55" s="126">
        <v>51351503</v>
      </c>
      <c r="F55" s="63" t="s">
        <v>579</v>
      </c>
      <c r="G55" s="179">
        <v>744370</v>
      </c>
    </row>
    <row r="56" spans="2:8" ht="15.75" thickBot="1" x14ac:dyDescent="0.3">
      <c r="B56" s="127" t="s">
        <v>144</v>
      </c>
      <c r="C56" s="62" t="s">
        <v>235</v>
      </c>
      <c r="D56" s="62" t="s">
        <v>236</v>
      </c>
      <c r="E56" s="126">
        <v>51351503</v>
      </c>
      <c r="F56" s="63" t="s">
        <v>580</v>
      </c>
      <c r="G56" s="179">
        <v>744370</v>
      </c>
    </row>
    <row r="57" spans="2:8" ht="15.75" thickBot="1" x14ac:dyDescent="0.3">
      <c r="B57" s="127" t="s">
        <v>144</v>
      </c>
      <c r="C57" s="62" t="s">
        <v>238</v>
      </c>
      <c r="D57" s="62" t="s">
        <v>170</v>
      </c>
      <c r="E57" s="126">
        <v>51351503</v>
      </c>
      <c r="F57" s="63" t="s">
        <v>581</v>
      </c>
      <c r="G57" s="179">
        <v>744370</v>
      </c>
    </row>
    <row r="58" spans="2:8" ht="15.75" thickBot="1" x14ac:dyDescent="0.3">
      <c r="B58" s="127" t="s">
        <v>144</v>
      </c>
      <c r="C58" s="62" t="s">
        <v>240</v>
      </c>
      <c r="D58" s="62" t="s">
        <v>173</v>
      </c>
      <c r="E58" s="126">
        <v>51351503</v>
      </c>
      <c r="F58" s="63" t="s">
        <v>582</v>
      </c>
      <c r="G58" s="179">
        <v>744370</v>
      </c>
    </row>
    <row r="59" spans="2:8" ht="15.75" thickBot="1" x14ac:dyDescent="0.3">
      <c r="B59" s="127" t="s">
        <v>144</v>
      </c>
      <c r="C59" s="62" t="s">
        <v>242</v>
      </c>
      <c r="D59" s="62" t="s">
        <v>243</v>
      </c>
      <c r="E59" s="126">
        <v>51351503</v>
      </c>
      <c r="F59" s="63" t="s">
        <v>583</v>
      </c>
      <c r="G59" s="179">
        <v>744370</v>
      </c>
    </row>
    <row r="60" spans="2:8" ht="15.75" thickBot="1" x14ac:dyDescent="0.3">
      <c r="B60" s="180" t="s">
        <v>144</v>
      </c>
      <c r="C60" s="181" t="s">
        <v>245</v>
      </c>
      <c r="D60" s="181" t="s">
        <v>246</v>
      </c>
      <c r="E60" s="182">
        <v>51351503</v>
      </c>
      <c r="F60" s="183" t="s">
        <v>584</v>
      </c>
      <c r="G60" s="184">
        <v>744370</v>
      </c>
    </row>
    <row r="61" spans="2:8" ht="15.75" thickBot="1" x14ac:dyDescent="0.3">
      <c r="B61" s="748" t="s">
        <v>249</v>
      </c>
      <c r="C61" s="749"/>
      <c r="D61" s="749"/>
      <c r="E61" s="749"/>
      <c r="F61" s="749"/>
      <c r="G61" s="144">
        <f>SUM(G49:G60)</f>
        <v>8932440</v>
      </c>
      <c r="H61" s="7">
        <f>+AVERAGE(G49:G60)</f>
        <v>744370</v>
      </c>
    </row>
  </sheetData>
  <mergeCells count="13">
    <mergeCell ref="B2:G2"/>
    <mergeCell ref="B33:G33"/>
    <mergeCell ref="B15:F15"/>
    <mergeCell ref="B30:F30"/>
    <mergeCell ref="B17:G17"/>
    <mergeCell ref="M9:M10"/>
    <mergeCell ref="M18:M19"/>
    <mergeCell ref="B48:G48"/>
    <mergeCell ref="B61:F61"/>
    <mergeCell ref="J9:L9"/>
    <mergeCell ref="B46:F46"/>
    <mergeCell ref="J15:L15"/>
    <mergeCell ref="J18:L1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="60" zoomScaleNormal="60" workbookViewId="0">
      <selection activeCell="V16" sqref="V1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Portada</vt:lpstr>
      <vt:lpstr>Objetos_Costo_Variables</vt:lpstr>
      <vt:lpstr>Matriz_Costeo_ABC</vt:lpstr>
      <vt:lpstr>Ventas </vt:lpstr>
      <vt:lpstr>Costo_Primo</vt:lpstr>
      <vt:lpstr>Cedula_MP</vt:lpstr>
      <vt:lpstr>Nomina</vt:lpstr>
      <vt:lpstr>CIF_Servicios_Publicos</vt:lpstr>
      <vt:lpstr>Area_Club_CIF</vt:lpstr>
      <vt:lpstr>CIF_Depreciacion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Ferley Meza Perafan (CGR)</dc:creator>
  <cp:lastModifiedBy>WIN10</cp:lastModifiedBy>
  <dcterms:created xsi:type="dcterms:W3CDTF">2024-10-03T01:54:06Z</dcterms:created>
  <dcterms:modified xsi:type="dcterms:W3CDTF">2024-11-05T01:34:46Z</dcterms:modified>
</cp:coreProperties>
</file>