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arlo\3D Objects\"/>
    </mc:Choice>
  </mc:AlternateContent>
  <xr:revisionPtr revIDLastSave="0" documentId="13_ncr:1_{F8F927FE-EC15-48A0-BBF6-3E9F4B0D4762}" xr6:coauthVersionLast="46" xr6:coauthVersionMax="46" xr10:uidLastSave="{00000000-0000-0000-0000-000000000000}"/>
  <bookViews>
    <workbookView xWindow="-108" yWindow="-108" windowWidth="23256" windowHeight="13176" tabRatio="848" firstSheet="4" activeTab="11" xr2:uid="{83C1237A-B9F6-407C-91D0-9142066AB970}"/>
  </bookViews>
  <sheets>
    <sheet name="PRESENTACION" sheetId="20" r:id="rId1"/>
    <sheet name="01-ACTIVIDADES" sheetId="11" r:id="rId2"/>
    <sheet name="02-INDUCTORES" sheetId="19" r:id="rId3"/>
    <sheet name="03-INVENTARIO" sheetId="4" r:id="rId4"/>
    <sheet name="04-MO" sheetId="5" r:id="rId5"/>
    <sheet name="05-EQUIPOS" sheetId="8" r:id="rId6"/>
    <sheet name="06-CIC" sheetId="6" r:id="rId7"/>
    <sheet name="07-CONSUMO DE RECURSOS" sheetId="21" r:id="rId8"/>
    <sheet name="08-DIRECCIONAMIENTO" sheetId="14" r:id="rId9"/>
    <sheet name="09-RESUMEN" sheetId="17" r:id="rId10"/>
    <sheet name="10-ASIGNACION AL PRODUCTO" sheetId="18" r:id="rId11"/>
    <sheet name="11-GRAFICAS" sheetId="23" r:id="rId12"/>
    <sheet name="12-VARIACIONES DESTACADAS" sheetId="24" r:id="rId13"/>
    <sheet name="ESTADO RESULTADOS" sheetId="16" r:id="rId14"/>
    <sheet name="FASES" sheetId="22" r:id="rId15"/>
  </sheets>
  <definedNames>
    <definedName name="_xlnm._FilterDatabase" localSheetId="3" hidden="1">'03-INVENTARIO'!$B$4:$I$1379</definedName>
    <definedName name="_xlnm._FilterDatabase" localSheetId="4" hidden="1">'04-MO'!$C$53:$I$66</definedName>
    <definedName name="_xlnm._FilterDatabase" localSheetId="10" hidden="1">'10-ASIGNACION AL PRODUCTO'!$A$3:$P$1379</definedName>
  </definedNames>
  <calcPr calcId="191029"/>
  <pivotCaches>
    <pivotCache cacheId="0" r:id="rId16"/>
    <pivotCache cacheId="1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0" i="23" l="1"/>
  <c r="Q150" i="23" s="1"/>
  <c r="P93" i="23"/>
  <c r="Q93" i="23" s="1"/>
  <c r="O150" i="23"/>
  <c r="O93" i="23"/>
  <c r="P119" i="23"/>
  <c r="Q119" i="23" s="1"/>
  <c r="O119" i="23"/>
  <c r="J5" i="18"/>
  <c r="P5" i="18"/>
  <c r="P15" i="18"/>
  <c r="I15" i="18"/>
  <c r="P12" i="18"/>
  <c r="I5" i="18"/>
  <c r="H5" i="18"/>
  <c r="H119" i="6"/>
  <c r="I1378" i="18"/>
  <c r="H178" i="6"/>
  <c r="E53" i="14"/>
  <c r="E4" i="21"/>
  <c r="E43" i="21"/>
  <c r="H208" i="6"/>
  <c r="K67" i="6"/>
  <c r="J67" i="6"/>
  <c r="K16" i="6"/>
  <c r="J25" i="6"/>
  <c r="J16" i="6"/>
  <c r="I16" i="6"/>
  <c r="H16" i="6"/>
  <c r="F4" i="8"/>
  <c r="O71" i="23"/>
  <c r="J24" i="21"/>
  <c r="O3" i="23"/>
  <c r="O23" i="23"/>
  <c r="O43" i="23"/>
  <c r="F1379" i="18" l="1"/>
  <c r="E1379" i="18"/>
  <c r="L1378" i="18"/>
  <c r="H1378" i="18"/>
  <c r="L1377" i="18"/>
  <c r="I1377" i="18"/>
  <c r="H1377" i="18"/>
  <c r="L1376" i="18"/>
  <c r="I1376" i="18"/>
  <c r="H1376" i="18"/>
  <c r="L1375" i="18"/>
  <c r="I1375" i="18"/>
  <c r="H1375" i="18"/>
  <c r="L1374" i="18"/>
  <c r="I1374" i="18"/>
  <c r="H1374" i="18"/>
  <c r="L1373" i="18"/>
  <c r="I1373" i="18"/>
  <c r="H1373" i="18"/>
  <c r="L1372" i="18"/>
  <c r="I1372" i="18"/>
  <c r="H1372" i="18"/>
  <c r="L1371" i="18"/>
  <c r="I1371" i="18"/>
  <c r="H1371" i="18"/>
  <c r="L1370" i="18"/>
  <c r="I1370" i="18"/>
  <c r="H1370" i="18"/>
  <c r="L1369" i="18"/>
  <c r="I1369" i="18"/>
  <c r="H1369" i="18"/>
  <c r="L1368" i="18"/>
  <c r="I1368" i="18"/>
  <c r="H1368" i="18"/>
  <c r="L1367" i="18"/>
  <c r="I1367" i="18"/>
  <c r="H1367" i="18"/>
  <c r="L1366" i="18"/>
  <c r="I1366" i="18"/>
  <c r="H1366" i="18"/>
  <c r="L1365" i="18"/>
  <c r="I1365" i="18"/>
  <c r="H1365" i="18"/>
  <c r="L1364" i="18"/>
  <c r="I1364" i="18"/>
  <c r="H1364" i="18"/>
  <c r="L1363" i="18"/>
  <c r="I1363" i="18"/>
  <c r="H1363" i="18"/>
  <c r="L1362" i="18"/>
  <c r="I1362" i="18"/>
  <c r="H1362" i="18"/>
  <c r="L1361" i="18"/>
  <c r="I1361" i="18"/>
  <c r="H1361" i="18"/>
  <c r="L1360" i="18"/>
  <c r="I1360" i="18"/>
  <c r="H1360" i="18"/>
  <c r="L1359" i="18"/>
  <c r="I1359" i="18"/>
  <c r="H1359" i="18"/>
  <c r="L1358" i="18"/>
  <c r="I1358" i="18"/>
  <c r="H1358" i="18"/>
  <c r="L1357" i="18"/>
  <c r="I1357" i="18"/>
  <c r="H1357" i="18"/>
  <c r="L1356" i="18"/>
  <c r="I1356" i="18"/>
  <c r="H1356" i="18"/>
  <c r="L1355" i="18"/>
  <c r="I1355" i="18"/>
  <c r="H1355" i="18"/>
  <c r="L1354" i="18"/>
  <c r="I1354" i="18"/>
  <c r="H1354" i="18"/>
  <c r="L1353" i="18"/>
  <c r="I1353" i="18"/>
  <c r="H1353" i="18"/>
  <c r="L1352" i="18"/>
  <c r="I1352" i="18"/>
  <c r="H1352" i="18"/>
  <c r="L1351" i="18"/>
  <c r="I1351" i="18"/>
  <c r="H1351" i="18"/>
  <c r="L1350" i="18"/>
  <c r="I1350" i="18"/>
  <c r="H1350" i="18"/>
  <c r="L1349" i="18"/>
  <c r="I1349" i="18"/>
  <c r="H1349" i="18"/>
  <c r="L1348" i="18"/>
  <c r="I1348" i="18"/>
  <c r="H1348" i="18"/>
  <c r="L1347" i="18"/>
  <c r="I1347" i="18"/>
  <c r="H1347" i="18"/>
  <c r="L1346" i="18"/>
  <c r="I1346" i="18"/>
  <c r="H1346" i="18"/>
  <c r="L1345" i="18"/>
  <c r="I1345" i="18"/>
  <c r="H1345" i="18"/>
  <c r="L1344" i="18"/>
  <c r="I1344" i="18"/>
  <c r="H1344" i="18"/>
  <c r="L1343" i="18"/>
  <c r="I1343" i="18"/>
  <c r="H1343" i="18"/>
  <c r="L1342" i="18"/>
  <c r="I1342" i="18"/>
  <c r="H1342" i="18"/>
  <c r="L1341" i="18"/>
  <c r="I1341" i="18"/>
  <c r="H1341" i="18"/>
  <c r="L1340" i="18"/>
  <c r="I1340" i="18"/>
  <c r="H1340" i="18"/>
  <c r="L1339" i="18"/>
  <c r="I1339" i="18"/>
  <c r="H1339" i="18"/>
  <c r="L1338" i="18"/>
  <c r="I1338" i="18"/>
  <c r="H1338" i="18"/>
  <c r="L1337" i="18"/>
  <c r="I1337" i="18"/>
  <c r="H1337" i="18"/>
  <c r="L1336" i="18"/>
  <c r="I1336" i="18"/>
  <c r="H1336" i="18"/>
  <c r="L1335" i="18"/>
  <c r="I1335" i="18"/>
  <c r="H1335" i="18"/>
  <c r="L1334" i="18"/>
  <c r="I1334" i="18"/>
  <c r="H1334" i="18"/>
  <c r="L1333" i="18"/>
  <c r="I1333" i="18"/>
  <c r="H1333" i="18"/>
  <c r="L1332" i="18"/>
  <c r="I1332" i="18"/>
  <c r="H1332" i="18"/>
  <c r="L1331" i="18"/>
  <c r="I1331" i="18"/>
  <c r="H1331" i="18"/>
  <c r="L1330" i="18"/>
  <c r="I1330" i="18"/>
  <c r="H1330" i="18"/>
  <c r="L1329" i="18"/>
  <c r="I1329" i="18"/>
  <c r="H1329" i="18"/>
  <c r="L1328" i="18"/>
  <c r="I1328" i="18"/>
  <c r="H1328" i="18"/>
  <c r="L1327" i="18"/>
  <c r="I1327" i="18"/>
  <c r="H1327" i="18"/>
  <c r="L1326" i="18"/>
  <c r="I1326" i="18"/>
  <c r="H1326" i="18"/>
  <c r="L1325" i="18"/>
  <c r="I1325" i="18"/>
  <c r="H1325" i="18"/>
  <c r="L1324" i="18"/>
  <c r="I1324" i="18"/>
  <c r="H1324" i="18"/>
  <c r="L1323" i="18"/>
  <c r="I1323" i="18"/>
  <c r="H1323" i="18"/>
  <c r="L1322" i="18"/>
  <c r="I1322" i="18"/>
  <c r="H1322" i="18"/>
  <c r="L1321" i="18"/>
  <c r="I1321" i="18"/>
  <c r="H1321" i="18"/>
  <c r="L1320" i="18"/>
  <c r="I1320" i="18"/>
  <c r="H1320" i="18"/>
  <c r="L1319" i="18"/>
  <c r="I1319" i="18"/>
  <c r="H1319" i="18"/>
  <c r="L1318" i="18"/>
  <c r="I1318" i="18"/>
  <c r="H1318" i="18"/>
  <c r="L1317" i="18"/>
  <c r="I1317" i="18"/>
  <c r="H1317" i="18"/>
  <c r="L1316" i="18"/>
  <c r="I1316" i="18"/>
  <c r="H1316" i="18"/>
  <c r="L1315" i="18"/>
  <c r="I1315" i="18"/>
  <c r="H1315" i="18"/>
  <c r="L1314" i="18"/>
  <c r="I1314" i="18"/>
  <c r="H1314" i="18"/>
  <c r="L1313" i="18"/>
  <c r="I1313" i="18"/>
  <c r="H1313" i="18"/>
  <c r="L1312" i="18"/>
  <c r="I1312" i="18"/>
  <c r="H1312" i="18"/>
  <c r="L1311" i="18"/>
  <c r="I1311" i="18"/>
  <c r="H1311" i="18"/>
  <c r="L1310" i="18"/>
  <c r="I1310" i="18"/>
  <c r="H1310" i="18"/>
  <c r="L1309" i="18"/>
  <c r="I1309" i="18"/>
  <c r="H1309" i="18"/>
  <c r="L1308" i="18"/>
  <c r="I1308" i="18"/>
  <c r="H1308" i="18"/>
  <c r="L1307" i="18"/>
  <c r="I1307" i="18"/>
  <c r="H1307" i="18"/>
  <c r="L1306" i="18"/>
  <c r="I1306" i="18"/>
  <c r="H1306" i="18"/>
  <c r="L1305" i="18"/>
  <c r="I1305" i="18"/>
  <c r="H1305" i="18"/>
  <c r="L1304" i="18"/>
  <c r="I1304" i="18"/>
  <c r="H1304" i="18"/>
  <c r="L1303" i="18"/>
  <c r="I1303" i="18"/>
  <c r="H1303" i="18"/>
  <c r="L1302" i="18"/>
  <c r="I1302" i="18"/>
  <c r="H1302" i="18"/>
  <c r="L1301" i="18"/>
  <c r="I1301" i="18"/>
  <c r="H1301" i="18"/>
  <c r="L1300" i="18"/>
  <c r="I1300" i="18"/>
  <c r="H1300" i="18"/>
  <c r="L1299" i="18"/>
  <c r="I1299" i="18"/>
  <c r="H1299" i="18"/>
  <c r="L1298" i="18"/>
  <c r="I1298" i="18"/>
  <c r="H1298" i="18"/>
  <c r="L1297" i="18"/>
  <c r="I1297" i="18"/>
  <c r="H1297" i="18"/>
  <c r="L1296" i="18"/>
  <c r="I1296" i="18"/>
  <c r="H1296" i="18"/>
  <c r="L1295" i="18"/>
  <c r="I1295" i="18"/>
  <c r="H1295" i="18"/>
  <c r="L1294" i="18"/>
  <c r="I1294" i="18"/>
  <c r="H1294" i="18"/>
  <c r="L1293" i="18"/>
  <c r="I1293" i="18"/>
  <c r="H1293" i="18"/>
  <c r="L1292" i="18"/>
  <c r="I1292" i="18"/>
  <c r="H1292" i="18"/>
  <c r="L1291" i="18"/>
  <c r="I1291" i="18"/>
  <c r="H1291" i="18"/>
  <c r="L1290" i="18"/>
  <c r="I1290" i="18"/>
  <c r="H1290" i="18"/>
  <c r="L1289" i="18"/>
  <c r="I1289" i="18"/>
  <c r="H1289" i="18"/>
  <c r="L1288" i="18"/>
  <c r="I1288" i="18"/>
  <c r="H1288" i="18"/>
  <c r="L1287" i="18"/>
  <c r="I1287" i="18"/>
  <c r="H1287" i="18"/>
  <c r="L1286" i="18"/>
  <c r="I1286" i="18"/>
  <c r="H1286" i="18"/>
  <c r="L1285" i="18"/>
  <c r="I1285" i="18"/>
  <c r="H1285" i="18"/>
  <c r="L1284" i="18"/>
  <c r="I1284" i="18"/>
  <c r="H1284" i="18"/>
  <c r="L1283" i="18"/>
  <c r="I1283" i="18"/>
  <c r="H1283" i="18"/>
  <c r="L1282" i="18"/>
  <c r="I1282" i="18"/>
  <c r="H1282" i="18"/>
  <c r="L1281" i="18"/>
  <c r="I1281" i="18"/>
  <c r="H1281" i="18"/>
  <c r="L1280" i="18"/>
  <c r="I1280" i="18"/>
  <c r="H1280" i="18"/>
  <c r="L1279" i="18"/>
  <c r="I1279" i="18"/>
  <c r="H1279" i="18"/>
  <c r="L1278" i="18"/>
  <c r="I1278" i="18"/>
  <c r="H1278" i="18"/>
  <c r="L1277" i="18"/>
  <c r="I1277" i="18"/>
  <c r="H1277" i="18"/>
  <c r="L1276" i="18"/>
  <c r="I1276" i="18"/>
  <c r="H1276" i="18"/>
  <c r="L1275" i="18"/>
  <c r="I1275" i="18"/>
  <c r="H1275" i="18"/>
  <c r="L1274" i="18"/>
  <c r="I1274" i="18"/>
  <c r="H1274" i="18"/>
  <c r="L1273" i="18"/>
  <c r="I1273" i="18"/>
  <c r="H1273" i="18"/>
  <c r="L1272" i="18"/>
  <c r="I1272" i="18"/>
  <c r="H1272" i="18"/>
  <c r="L1271" i="18"/>
  <c r="I1271" i="18"/>
  <c r="H1271" i="18"/>
  <c r="L1270" i="18"/>
  <c r="I1270" i="18"/>
  <c r="H1270" i="18"/>
  <c r="L1269" i="18"/>
  <c r="I1269" i="18"/>
  <c r="H1269" i="18"/>
  <c r="L1268" i="18"/>
  <c r="I1268" i="18"/>
  <c r="H1268" i="18"/>
  <c r="L1267" i="18"/>
  <c r="I1267" i="18"/>
  <c r="H1267" i="18"/>
  <c r="L1266" i="18"/>
  <c r="I1266" i="18"/>
  <c r="H1266" i="18"/>
  <c r="L1265" i="18"/>
  <c r="I1265" i="18"/>
  <c r="H1265" i="18"/>
  <c r="L1264" i="18"/>
  <c r="I1264" i="18"/>
  <c r="H1264" i="18"/>
  <c r="L1263" i="18"/>
  <c r="I1263" i="18"/>
  <c r="H1263" i="18"/>
  <c r="L1262" i="18"/>
  <c r="I1262" i="18"/>
  <c r="H1262" i="18"/>
  <c r="L1261" i="18"/>
  <c r="I1261" i="18"/>
  <c r="H1261" i="18"/>
  <c r="L1260" i="18"/>
  <c r="I1260" i="18"/>
  <c r="H1260" i="18"/>
  <c r="L1259" i="18"/>
  <c r="I1259" i="18"/>
  <c r="H1259" i="18"/>
  <c r="L1258" i="18"/>
  <c r="I1258" i="18"/>
  <c r="H1258" i="18"/>
  <c r="L1257" i="18"/>
  <c r="I1257" i="18"/>
  <c r="H1257" i="18"/>
  <c r="L1256" i="18"/>
  <c r="I1256" i="18"/>
  <c r="H1256" i="18"/>
  <c r="L1255" i="18"/>
  <c r="I1255" i="18"/>
  <c r="H1255" i="18"/>
  <c r="L1254" i="18"/>
  <c r="I1254" i="18"/>
  <c r="H1254" i="18"/>
  <c r="L1253" i="18"/>
  <c r="I1253" i="18"/>
  <c r="H1253" i="18"/>
  <c r="L1252" i="18"/>
  <c r="I1252" i="18"/>
  <c r="H1252" i="18"/>
  <c r="L1251" i="18"/>
  <c r="I1251" i="18"/>
  <c r="H1251" i="18"/>
  <c r="L1250" i="18"/>
  <c r="I1250" i="18"/>
  <c r="H1250" i="18"/>
  <c r="L1249" i="18"/>
  <c r="I1249" i="18"/>
  <c r="H1249" i="18"/>
  <c r="L1248" i="18"/>
  <c r="I1248" i="18"/>
  <c r="H1248" i="18"/>
  <c r="L1247" i="18"/>
  <c r="I1247" i="18"/>
  <c r="H1247" i="18"/>
  <c r="L1246" i="18"/>
  <c r="I1246" i="18"/>
  <c r="H1246" i="18"/>
  <c r="L1245" i="18"/>
  <c r="I1245" i="18"/>
  <c r="H1245" i="18"/>
  <c r="L1244" i="18"/>
  <c r="I1244" i="18"/>
  <c r="H1244" i="18"/>
  <c r="L1243" i="18"/>
  <c r="I1243" i="18"/>
  <c r="H1243" i="18"/>
  <c r="L1242" i="18"/>
  <c r="I1242" i="18"/>
  <c r="H1242" i="18"/>
  <c r="L1241" i="18"/>
  <c r="I1241" i="18"/>
  <c r="H1241" i="18"/>
  <c r="L1240" i="18"/>
  <c r="I1240" i="18"/>
  <c r="H1240" i="18"/>
  <c r="L1239" i="18"/>
  <c r="I1239" i="18"/>
  <c r="H1239" i="18"/>
  <c r="L1238" i="18"/>
  <c r="I1238" i="18"/>
  <c r="H1238" i="18"/>
  <c r="L1237" i="18"/>
  <c r="I1237" i="18"/>
  <c r="H1237" i="18"/>
  <c r="L1236" i="18"/>
  <c r="I1236" i="18"/>
  <c r="H1236" i="18"/>
  <c r="L1235" i="18"/>
  <c r="I1235" i="18"/>
  <c r="H1235" i="18"/>
  <c r="L1234" i="18"/>
  <c r="I1234" i="18"/>
  <c r="H1234" i="18"/>
  <c r="L1233" i="18"/>
  <c r="I1233" i="18"/>
  <c r="H1233" i="18"/>
  <c r="L1232" i="18"/>
  <c r="I1232" i="18"/>
  <c r="H1232" i="18"/>
  <c r="L1231" i="18"/>
  <c r="I1231" i="18"/>
  <c r="H1231" i="18"/>
  <c r="L1230" i="18"/>
  <c r="I1230" i="18"/>
  <c r="H1230" i="18"/>
  <c r="L1229" i="18"/>
  <c r="I1229" i="18"/>
  <c r="H1229" i="18"/>
  <c r="L1228" i="18"/>
  <c r="I1228" i="18"/>
  <c r="H1228" i="18"/>
  <c r="L1227" i="18"/>
  <c r="I1227" i="18"/>
  <c r="H1227" i="18"/>
  <c r="L1226" i="18"/>
  <c r="I1226" i="18"/>
  <c r="H1226" i="18"/>
  <c r="L1225" i="18"/>
  <c r="I1225" i="18"/>
  <c r="H1225" i="18"/>
  <c r="L1224" i="18"/>
  <c r="I1224" i="18"/>
  <c r="H1224" i="18"/>
  <c r="L1223" i="18"/>
  <c r="I1223" i="18"/>
  <c r="H1223" i="18"/>
  <c r="L1222" i="18"/>
  <c r="I1222" i="18"/>
  <c r="H1222" i="18"/>
  <c r="L1221" i="18"/>
  <c r="I1221" i="18"/>
  <c r="H1221" i="18"/>
  <c r="L1220" i="18"/>
  <c r="I1220" i="18"/>
  <c r="H1220" i="18"/>
  <c r="L1219" i="18"/>
  <c r="I1219" i="18"/>
  <c r="H1219" i="18"/>
  <c r="L1218" i="18"/>
  <c r="I1218" i="18"/>
  <c r="H1218" i="18"/>
  <c r="L1217" i="18"/>
  <c r="I1217" i="18"/>
  <c r="H1217" i="18"/>
  <c r="L1216" i="18"/>
  <c r="I1216" i="18"/>
  <c r="H1216" i="18"/>
  <c r="L1215" i="18"/>
  <c r="I1215" i="18"/>
  <c r="H1215" i="18"/>
  <c r="L1214" i="18"/>
  <c r="I1214" i="18"/>
  <c r="H1214" i="18"/>
  <c r="L1213" i="18"/>
  <c r="I1213" i="18"/>
  <c r="H1213" i="18"/>
  <c r="L1212" i="18"/>
  <c r="I1212" i="18"/>
  <c r="H1212" i="18"/>
  <c r="L1211" i="18"/>
  <c r="I1211" i="18"/>
  <c r="H1211" i="18"/>
  <c r="L1210" i="18"/>
  <c r="I1210" i="18"/>
  <c r="H1210" i="18"/>
  <c r="L1209" i="18"/>
  <c r="I1209" i="18"/>
  <c r="H1209" i="18"/>
  <c r="L1208" i="18"/>
  <c r="I1208" i="18"/>
  <c r="H1208" i="18"/>
  <c r="L1207" i="18"/>
  <c r="I1207" i="18"/>
  <c r="H1207" i="18"/>
  <c r="L1206" i="18"/>
  <c r="I1206" i="18"/>
  <c r="H1206" i="18"/>
  <c r="L1205" i="18"/>
  <c r="I1205" i="18"/>
  <c r="H1205" i="18"/>
  <c r="L1204" i="18"/>
  <c r="I1204" i="18"/>
  <c r="H1204" i="18"/>
  <c r="L1203" i="18"/>
  <c r="I1203" i="18"/>
  <c r="H1203" i="18"/>
  <c r="L1202" i="18"/>
  <c r="I1202" i="18"/>
  <c r="H1202" i="18"/>
  <c r="L1201" i="18"/>
  <c r="I1201" i="18"/>
  <c r="H1201" i="18"/>
  <c r="L1200" i="18"/>
  <c r="I1200" i="18"/>
  <c r="H1200" i="18"/>
  <c r="L1199" i="18"/>
  <c r="I1199" i="18"/>
  <c r="H1199" i="18"/>
  <c r="L1198" i="18"/>
  <c r="I1198" i="18"/>
  <c r="H1198" i="18"/>
  <c r="L1197" i="18"/>
  <c r="I1197" i="18"/>
  <c r="H1197" i="18"/>
  <c r="L1196" i="18"/>
  <c r="I1196" i="18"/>
  <c r="H1196" i="18"/>
  <c r="L1195" i="18"/>
  <c r="I1195" i="18"/>
  <c r="H1195" i="18"/>
  <c r="L1194" i="18"/>
  <c r="I1194" i="18"/>
  <c r="H1194" i="18"/>
  <c r="L1193" i="18"/>
  <c r="I1193" i="18"/>
  <c r="H1193" i="18"/>
  <c r="L1192" i="18"/>
  <c r="I1192" i="18"/>
  <c r="H1192" i="18"/>
  <c r="L1191" i="18"/>
  <c r="I1191" i="18"/>
  <c r="H1191" i="18"/>
  <c r="L1190" i="18"/>
  <c r="I1190" i="18"/>
  <c r="H1190" i="18"/>
  <c r="L1189" i="18"/>
  <c r="I1189" i="18"/>
  <c r="H1189" i="18"/>
  <c r="L1188" i="18"/>
  <c r="I1188" i="18"/>
  <c r="H1188" i="18"/>
  <c r="L1187" i="18"/>
  <c r="I1187" i="18"/>
  <c r="H1187" i="18"/>
  <c r="L1186" i="18"/>
  <c r="I1186" i="18"/>
  <c r="H1186" i="18"/>
  <c r="L1185" i="18"/>
  <c r="I1185" i="18"/>
  <c r="H1185" i="18"/>
  <c r="L1184" i="18"/>
  <c r="I1184" i="18"/>
  <c r="H1184" i="18"/>
  <c r="L1183" i="18"/>
  <c r="I1183" i="18"/>
  <c r="H1183" i="18"/>
  <c r="L1182" i="18"/>
  <c r="I1182" i="18"/>
  <c r="H1182" i="18"/>
  <c r="L1181" i="18"/>
  <c r="I1181" i="18"/>
  <c r="H1181" i="18"/>
  <c r="L1180" i="18"/>
  <c r="I1180" i="18"/>
  <c r="H1180" i="18"/>
  <c r="L1179" i="18"/>
  <c r="I1179" i="18"/>
  <c r="H1179" i="18"/>
  <c r="L1178" i="18"/>
  <c r="I1178" i="18"/>
  <c r="H1178" i="18"/>
  <c r="M1177" i="18"/>
  <c r="L1177" i="18"/>
  <c r="I1177" i="18"/>
  <c r="H1177" i="18"/>
  <c r="L1176" i="18"/>
  <c r="I1176" i="18"/>
  <c r="H1176" i="18"/>
  <c r="L1175" i="18"/>
  <c r="I1175" i="18"/>
  <c r="H1175" i="18"/>
  <c r="L1174" i="18"/>
  <c r="I1174" i="18"/>
  <c r="H1174" i="18"/>
  <c r="L1173" i="18"/>
  <c r="I1173" i="18"/>
  <c r="H1173" i="18"/>
  <c r="L1172" i="18"/>
  <c r="I1172" i="18"/>
  <c r="H1172" i="18"/>
  <c r="L1171" i="18"/>
  <c r="I1171" i="18"/>
  <c r="H1171" i="18"/>
  <c r="L1170" i="18"/>
  <c r="I1170" i="18"/>
  <c r="H1170" i="18"/>
  <c r="L1169" i="18"/>
  <c r="I1169" i="18"/>
  <c r="H1169" i="18"/>
  <c r="L1168" i="18"/>
  <c r="I1168" i="18"/>
  <c r="H1168" i="18"/>
  <c r="L1167" i="18"/>
  <c r="I1167" i="18"/>
  <c r="H1167" i="18"/>
  <c r="L1166" i="18"/>
  <c r="I1166" i="18"/>
  <c r="H1166" i="18"/>
  <c r="L1165" i="18"/>
  <c r="I1165" i="18"/>
  <c r="H1165" i="18"/>
  <c r="L1164" i="18"/>
  <c r="I1164" i="18"/>
  <c r="H1164" i="18"/>
  <c r="L1163" i="18"/>
  <c r="I1163" i="18"/>
  <c r="H1163" i="18"/>
  <c r="L1162" i="18"/>
  <c r="I1162" i="18"/>
  <c r="H1162" i="18"/>
  <c r="L1161" i="18"/>
  <c r="I1161" i="18"/>
  <c r="H1161" i="18"/>
  <c r="L1160" i="18"/>
  <c r="I1160" i="18"/>
  <c r="H1160" i="18"/>
  <c r="L1159" i="18"/>
  <c r="I1159" i="18"/>
  <c r="H1159" i="18"/>
  <c r="L1158" i="18"/>
  <c r="I1158" i="18"/>
  <c r="H1158" i="18"/>
  <c r="L1157" i="18"/>
  <c r="I1157" i="18"/>
  <c r="H1157" i="18"/>
  <c r="L1156" i="18"/>
  <c r="I1156" i="18"/>
  <c r="H1156" i="18"/>
  <c r="L1155" i="18"/>
  <c r="I1155" i="18"/>
  <c r="H1155" i="18"/>
  <c r="L1154" i="18"/>
  <c r="I1154" i="18"/>
  <c r="H1154" i="18"/>
  <c r="L1153" i="18"/>
  <c r="I1153" i="18"/>
  <c r="H1153" i="18"/>
  <c r="L1152" i="18"/>
  <c r="I1152" i="18"/>
  <c r="H1152" i="18"/>
  <c r="L1151" i="18"/>
  <c r="I1151" i="18"/>
  <c r="H1151" i="18"/>
  <c r="L1150" i="18"/>
  <c r="I1150" i="18"/>
  <c r="H1150" i="18"/>
  <c r="L1149" i="18"/>
  <c r="I1149" i="18"/>
  <c r="H1149" i="18"/>
  <c r="L1148" i="18"/>
  <c r="I1148" i="18"/>
  <c r="H1148" i="18"/>
  <c r="L1147" i="18"/>
  <c r="I1147" i="18"/>
  <c r="H1147" i="18"/>
  <c r="L1146" i="18"/>
  <c r="I1146" i="18"/>
  <c r="H1146" i="18"/>
  <c r="L1145" i="18"/>
  <c r="I1145" i="18"/>
  <c r="H1145" i="18"/>
  <c r="L1144" i="18"/>
  <c r="I1144" i="18"/>
  <c r="H1144" i="18"/>
  <c r="L1143" i="18"/>
  <c r="I1143" i="18"/>
  <c r="H1143" i="18"/>
  <c r="L1142" i="18"/>
  <c r="I1142" i="18"/>
  <c r="H1142" i="18"/>
  <c r="L1141" i="18"/>
  <c r="I1141" i="18"/>
  <c r="H1141" i="18"/>
  <c r="L1140" i="18"/>
  <c r="I1140" i="18"/>
  <c r="H1140" i="18"/>
  <c r="L1139" i="18"/>
  <c r="I1139" i="18"/>
  <c r="H1139" i="18"/>
  <c r="L1138" i="18"/>
  <c r="I1138" i="18"/>
  <c r="H1138" i="18"/>
  <c r="L1137" i="18"/>
  <c r="I1137" i="18"/>
  <c r="H1137" i="18"/>
  <c r="L1136" i="18"/>
  <c r="I1136" i="18"/>
  <c r="H1136" i="18"/>
  <c r="L1135" i="18"/>
  <c r="I1135" i="18"/>
  <c r="H1135" i="18"/>
  <c r="L1134" i="18"/>
  <c r="I1134" i="18"/>
  <c r="H1134" i="18"/>
  <c r="L1133" i="18"/>
  <c r="I1133" i="18"/>
  <c r="H1133" i="18"/>
  <c r="L1132" i="18"/>
  <c r="I1132" i="18"/>
  <c r="H1132" i="18"/>
  <c r="L1131" i="18"/>
  <c r="I1131" i="18"/>
  <c r="H1131" i="18"/>
  <c r="L1130" i="18"/>
  <c r="I1130" i="18"/>
  <c r="H1130" i="18"/>
  <c r="L1129" i="18"/>
  <c r="I1129" i="18"/>
  <c r="H1129" i="18"/>
  <c r="L1128" i="18"/>
  <c r="I1128" i="18"/>
  <c r="H1128" i="18"/>
  <c r="L1127" i="18"/>
  <c r="I1127" i="18"/>
  <c r="H1127" i="18"/>
  <c r="L1126" i="18"/>
  <c r="I1126" i="18"/>
  <c r="H1126" i="18"/>
  <c r="L1125" i="18"/>
  <c r="I1125" i="18"/>
  <c r="H1125" i="18"/>
  <c r="L1124" i="18"/>
  <c r="I1124" i="18"/>
  <c r="H1124" i="18"/>
  <c r="L1123" i="18"/>
  <c r="I1123" i="18"/>
  <c r="H1123" i="18"/>
  <c r="L1122" i="18"/>
  <c r="I1122" i="18"/>
  <c r="H1122" i="18"/>
  <c r="L1121" i="18"/>
  <c r="I1121" i="18"/>
  <c r="H1121" i="18"/>
  <c r="L1120" i="18"/>
  <c r="I1120" i="18"/>
  <c r="H1120" i="18"/>
  <c r="L1119" i="18"/>
  <c r="I1119" i="18"/>
  <c r="H1119" i="18"/>
  <c r="L1118" i="18"/>
  <c r="I1118" i="18"/>
  <c r="H1118" i="18"/>
  <c r="L1117" i="18"/>
  <c r="I1117" i="18"/>
  <c r="H1117" i="18"/>
  <c r="L1116" i="18"/>
  <c r="I1116" i="18"/>
  <c r="H1116" i="18"/>
  <c r="L1115" i="18"/>
  <c r="I1115" i="18"/>
  <c r="H1115" i="18"/>
  <c r="L1114" i="18"/>
  <c r="I1114" i="18"/>
  <c r="H1114" i="18"/>
  <c r="L1113" i="18"/>
  <c r="I1113" i="18"/>
  <c r="H1113" i="18"/>
  <c r="L1112" i="18"/>
  <c r="I1112" i="18"/>
  <c r="H1112" i="18"/>
  <c r="L1111" i="18"/>
  <c r="I1111" i="18"/>
  <c r="H1111" i="18"/>
  <c r="L1110" i="18"/>
  <c r="I1110" i="18"/>
  <c r="H1110" i="18"/>
  <c r="L1109" i="18"/>
  <c r="I1109" i="18"/>
  <c r="H1109" i="18"/>
  <c r="L1108" i="18"/>
  <c r="I1108" i="18"/>
  <c r="H1108" i="18"/>
  <c r="L1107" i="18"/>
  <c r="I1107" i="18"/>
  <c r="H1107" i="18"/>
  <c r="L1106" i="18"/>
  <c r="I1106" i="18"/>
  <c r="H1106" i="18"/>
  <c r="L1105" i="18"/>
  <c r="I1105" i="18"/>
  <c r="H1105" i="18"/>
  <c r="L1104" i="18"/>
  <c r="I1104" i="18"/>
  <c r="H1104" i="18"/>
  <c r="L1103" i="18"/>
  <c r="I1103" i="18"/>
  <c r="H1103" i="18"/>
  <c r="L1102" i="18"/>
  <c r="I1102" i="18"/>
  <c r="H1102" i="18"/>
  <c r="L1101" i="18"/>
  <c r="I1101" i="18"/>
  <c r="H1101" i="18"/>
  <c r="L1100" i="18"/>
  <c r="I1100" i="18"/>
  <c r="H1100" i="18"/>
  <c r="L1099" i="18"/>
  <c r="I1099" i="18"/>
  <c r="H1099" i="18"/>
  <c r="L1098" i="18"/>
  <c r="I1098" i="18"/>
  <c r="H1098" i="18"/>
  <c r="L1097" i="18"/>
  <c r="I1097" i="18"/>
  <c r="H1097" i="18"/>
  <c r="L1096" i="18"/>
  <c r="I1096" i="18"/>
  <c r="H1096" i="18"/>
  <c r="L1095" i="18"/>
  <c r="I1095" i="18"/>
  <c r="H1095" i="18"/>
  <c r="L1094" i="18"/>
  <c r="I1094" i="18"/>
  <c r="H1094" i="18"/>
  <c r="L1093" i="18"/>
  <c r="I1093" i="18"/>
  <c r="H1093" i="18"/>
  <c r="L1092" i="18"/>
  <c r="I1092" i="18"/>
  <c r="H1092" i="18"/>
  <c r="L1091" i="18"/>
  <c r="I1091" i="18"/>
  <c r="H1091" i="18"/>
  <c r="L1090" i="18"/>
  <c r="I1090" i="18"/>
  <c r="H1090" i="18"/>
  <c r="L1089" i="18"/>
  <c r="I1089" i="18"/>
  <c r="H1089" i="18"/>
  <c r="L1088" i="18"/>
  <c r="I1088" i="18"/>
  <c r="H1088" i="18"/>
  <c r="L1087" i="18"/>
  <c r="I1087" i="18"/>
  <c r="H1087" i="18"/>
  <c r="L1086" i="18"/>
  <c r="I1086" i="18"/>
  <c r="H1086" i="18"/>
  <c r="L1085" i="18"/>
  <c r="I1085" i="18"/>
  <c r="H1085" i="18"/>
  <c r="L1084" i="18"/>
  <c r="I1084" i="18"/>
  <c r="H1084" i="18"/>
  <c r="L1083" i="18"/>
  <c r="I1083" i="18"/>
  <c r="H1083" i="18"/>
  <c r="L1082" i="18"/>
  <c r="I1082" i="18"/>
  <c r="H1082" i="18"/>
  <c r="L1081" i="18"/>
  <c r="I1081" i="18"/>
  <c r="H1081" i="18"/>
  <c r="L1080" i="18"/>
  <c r="I1080" i="18"/>
  <c r="H1080" i="18"/>
  <c r="L1079" i="18"/>
  <c r="I1079" i="18"/>
  <c r="H1079" i="18"/>
  <c r="L1078" i="18"/>
  <c r="I1078" i="18"/>
  <c r="H1078" i="18"/>
  <c r="L1077" i="18"/>
  <c r="I1077" i="18"/>
  <c r="H1077" i="18"/>
  <c r="L1076" i="18"/>
  <c r="I1076" i="18"/>
  <c r="H1076" i="18"/>
  <c r="L1075" i="18"/>
  <c r="I1075" i="18"/>
  <c r="H1075" i="18"/>
  <c r="L1074" i="18"/>
  <c r="I1074" i="18"/>
  <c r="H1074" i="18"/>
  <c r="L1073" i="18"/>
  <c r="I1073" i="18"/>
  <c r="H1073" i="18"/>
  <c r="L1072" i="18"/>
  <c r="I1072" i="18"/>
  <c r="H1072" i="18"/>
  <c r="L1071" i="18"/>
  <c r="I1071" i="18"/>
  <c r="H1071" i="18"/>
  <c r="L1070" i="18"/>
  <c r="I1070" i="18"/>
  <c r="H1070" i="18"/>
  <c r="L1069" i="18"/>
  <c r="I1069" i="18"/>
  <c r="H1069" i="18"/>
  <c r="L1068" i="18"/>
  <c r="I1068" i="18"/>
  <c r="H1068" i="18"/>
  <c r="L1067" i="18"/>
  <c r="I1067" i="18"/>
  <c r="H1067" i="18"/>
  <c r="L1066" i="18"/>
  <c r="I1066" i="18"/>
  <c r="H1066" i="18"/>
  <c r="L1065" i="18"/>
  <c r="I1065" i="18"/>
  <c r="H1065" i="18"/>
  <c r="L1064" i="18"/>
  <c r="I1064" i="18"/>
  <c r="H1064" i="18"/>
  <c r="L1063" i="18"/>
  <c r="I1063" i="18"/>
  <c r="H1063" i="18"/>
  <c r="L1062" i="18"/>
  <c r="I1062" i="18"/>
  <c r="H1062" i="18"/>
  <c r="L1061" i="18"/>
  <c r="I1061" i="18"/>
  <c r="H1061" i="18"/>
  <c r="L1060" i="18"/>
  <c r="I1060" i="18"/>
  <c r="H1060" i="18"/>
  <c r="L1059" i="18"/>
  <c r="I1059" i="18"/>
  <c r="H1059" i="18"/>
  <c r="L1058" i="18"/>
  <c r="I1058" i="18"/>
  <c r="H1058" i="18"/>
  <c r="L1057" i="18"/>
  <c r="I1057" i="18"/>
  <c r="H1057" i="18"/>
  <c r="L1056" i="18"/>
  <c r="I1056" i="18"/>
  <c r="H1056" i="18"/>
  <c r="L1055" i="18"/>
  <c r="I1055" i="18"/>
  <c r="H1055" i="18"/>
  <c r="L1054" i="18"/>
  <c r="I1054" i="18"/>
  <c r="H1054" i="18"/>
  <c r="L1053" i="18"/>
  <c r="I1053" i="18"/>
  <c r="H1053" i="18"/>
  <c r="L1052" i="18"/>
  <c r="I1052" i="18"/>
  <c r="H1052" i="18"/>
  <c r="L1051" i="18"/>
  <c r="I1051" i="18"/>
  <c r="H1051" i="18"/>
  <c r="L1050" i="18"/>
  <c r="I1050" i="18"/>
  <c r="H1050" i="18"/>
  <c r="L1049" i="18"/>
  <c r="I1049" i="18"/>
  <c r="H1049" i="18"/>
  <c r="L1048" i="18"/>
  <c r="I1048" i="18"/>
  <c r="H1048" i="18"/>
  <c r="L1047" i="18"/>
  <c r="I1047" i="18"/>
  <c r="H1047" i="18"/>
  <c r="L1046" i="18"/>
  <c r="I1046" i="18"/>
  <c r="H1046" i="18"/>
  <c r="L1045" i="18"/>
  <c r="I1045" i="18"/>
  <c r="H1045" i="18"/>
  <c r="L1044" i="18"/>
  <c r="I1044" i="18"/>
  <c r="H1044" i="18"/>
  <c r="L1043" i="18"/>
  <c r="I1043" i="18"/>
  <c r="H1043" i="18"/>
  <c r="L1042" i="18"/>
  <c r="I1042" i="18"/>
  <c r="H1042" i="18"/>
  <c r="L1041" i="18"/>
  <c r="I1041" i="18"/>
  <c r="H1041" i="18"/>
  <c r="L1040" i="18"/>
  <c r="I1040" i="18"/>
  <c r="H1040" i="18"/>
  <c r="L1039" i="18"/>
  <c r="I1039" i="18"/>
  <c r="H1039" i="18"/>
  <c r="L1038" i="18"/>
  <c r="I1038" i="18"/>
  <c r="H1038" i="18"/>
  <c r="L1037" i="18"/>
  <c r="I1037" i="18"/>
  <c r="H1037" i="18"/>
  <c r="L1036" i="18"/>
  <c r="I1036" i="18"/>
  <c r="H1036" i="18"/>
  <c r="L1035" i="18"/>
  <c r="I1035" i="18"/>
  <c r="H1035" i="18"/>
  <c r="L1034" i="18"/>
  <c r="I1034" i="18"/>
  <c r="H1034" i="18"/>
  <c r="L1033" i="18"/>
  <c r="I1033" i="18"/>
  <c r="H1033" i="18"/>
  <c r="L1032" i="18"/>
  <c r="I1032" i="18"/>
  <c r="H1032" i="18"/>
  <c r="L1031" i="18"/>
  <c r="I1031" i="18"/>
  <c r="H1031" i="18"/>
  <c r="L1030" i="18"/>
  <c r="I1030" i="18"/>
  <c r="H1030" i="18"/>
  <c r="L1029" i="18"/>
  <c r="I1029" i="18"/>
  <c r="H1029" i="18"/>
  <c r="L1028" i="18"/>
  <c r="I1028" i="18"/>
  <c r="H1028" i="18"/>
  <c r="L1027" i="18"/>
  <c r="I1027" i="18"/>
  <c r="H1027" i="18"/>
  <c r="L1026" i="18"/>
  <c r="I1026" i="18"/>
  <c r="H1026" i="18"/>
  <c r="L1025" i="18"/>
  <c r="I1025" i="18"/>
  <c r="H1025" i="18"/>
  <c r="L1024" i="18"/>
  <c r="I1024" i="18"/>
  <c r="H1024" i="18"/>
  <c r="L1023" i="18"/>
  <c r="I1023" i="18"/>
  <c r="H1023" i="18"/>
  <c r="L1022" i="18"/>
  <c r="I1022" i="18"/>
  <c r="H1022" i="18"/>
  <c r="L1021" i="18"/>
  <c r="I1021" i="18"/>
  <c r="H1021" i="18"/>
  <c r="L1020" i="18"/>
  <c r="I1020" i="18"/>
  <c r="H1020" i="18"/>
  <c r="L1019" i="18"/>
  <c r="I1019" i="18"/>
  <c r="H1019" i="18"/>
  <c r="L1018" i="18"/>
  <c r="I1018" i="18"/>
  <c r="H1018" i="18"/>
  <c r="L1017" i="18"/>
  <c r="I1017" i="18"/>
  <c r="H1017" i="18"/>
  <c r="L1016" i="18"/>
  <c r="I1016" i="18"/>
  <c r="H1016" i="18"/>
  <c r="L1015" i="18"/>
  <c r="I1015" i="18"/>
  <c r="H1015" i="18"/>
  <c r="L1014" i="18"/>
  <c r="I1014" i="18"/>
  <c r="H1014" i="18"/>
  <c r="L1013" i="18"/>
  <c r="I1013" i="18"/>
  <c r="H1013" i="18"/>
  <c r="L1012" i="18"/>
  <c r="I1012" i="18"/>
  <c r="H1012" i="18"/>
  <c r="L1011" i="18"/>
  <c r="I1011" i="18"/>
  <c r="H1011" i="18"/>
  <c r="L1010" i="18"/>
  <c r="I1010" i="18"/>
  <c r="H1010" i="18"/>
  <c r="L1009" i="18"/>
  <c r="I1009" i="18"/>
  <c r="H1009" i="18"/>
  <c r="L1008" i="18"/>
  <c r="I1008" i="18"/>
  <c r="H1008" i="18"/>
  <c r="L1007" i="18"/>
  <c r="I1007" i="18"/>
  <c r="H1007" i="18"/>
  <c r="L1006" i="18"/>
  <c r="I1006" i="18"/>
  <c r="H1006" i="18"/>
  <c r="L1005" i="18"/>
  <c r="I1005" i="18"/>
  <c r="H1005" i="18"/>
  <c r="L1004" i="18"/>
  <c r="I1004" i="18"/>
  <c r="H1004" i="18"/>
  <c r="L1003" i="18"/>
  <c r="I1003" i="18"/>
  <c r="H1003" i="18"/>
  <c r="L1002" i="18"/>
  <c r="I1002" i="18"/>
  <c r="H1002" i="18"/>
  <c r="L1001" i="18"/>
  <c r="I1001" i="18"/>
  <c r="H1001" i="18"/>
  <c r="L1000" i="18"/>
  <c r="I1000" i="18"/>
  <c r="H1000" i="18"/>
  <c r="L999" i="18"/>
  <c r="I999" i="18"/>
  <c r="H999" i="18"/>
  <c r="L998" i="18"/>
  <c r="I998" i="18"/>
  <c r="H998" i="18"/>
  <c r="L997" i="18"/>
  <c r="I997" i="18"/>
  <c r="H997" i="18"/>
  <c r="L996" i="18"/>
  <c r="I996" i="18"/>
  <c r="H996" i="18"/>
  <c r="L995" i="18"/>
  <c r="I995" i="18"/>
  <c r="H995" i="18"/>
  <c r="L994" i="18"/>
  <c r="I994" i="18"/>
  <c r="H994" i="18"/>
  <c r="L993" i="18"/>
  <c r="I993" i="18"/>
  <c r="H993" i="18"/>
  <c r="L992" i="18"/>
  <c r="I992" i="18"/>
  <c r="H992" i="18"/>
  <c r="L991" i="18"/>
  <c r="I991" i="18"/>
  <c r="H991" i="18"/>
  <c r="L990" i="18"/>
  <c r="I990" i="18"/>
  <c r="H990" i="18"/>
  <c r="L989" i="18"/>
  <c r="I989" i="18"/>
  <c r="H989" i="18"/>
  <c r="L988" i="18"/>
  <c r="I988" i="18"/>
  <c r="H988" i="18"/>
  <c r="L987" i="18"/>
  <c r="I987" i="18"/>
  <c r="H987" i="18"/>
  <c r="L986" i="18"/>
  <c r="I986" i="18"/>
  <c r="H986" i="18"/>
  <c r="L985" i="18"/>
  <c r="I985" i="18"/>
  <c r="H985" i="18"/>
  <c r="L984" i="18"/>
  <c r="I984" i="18"/>
  <c r="H984" i="18"/>
  <c r="L983" i="18"/>
  <c r="I983" i="18"/>
  <c r="H983" i="18"/>
  <c r="L982" i="18"/>
  <c r="I982" i="18"/>
  <c r="H982" i="18"/>
  <c r="L981" i="18"/>
  <c r="I981" i="18"/>
  <c r="H981" i="18"/>
  <c r="L980" i="18"/>
  <c r="I980" i="18"/>
  <c r="H980" i="18"/>
  <c r="L979" i="18"/>
  <c r="I979" i="18"/>
  <c r="H979" i="18"/>
  <c r="L978" i="18"/>
  <c r="I978" i="18"/>
  <c r="H978" i="18"/>
  <c r="L977" i="18"/>
  <c r="I977" i="18"/>
  <c r="H977" i="18"/>
  <c r="L976" i="18"/>
  <c r="I976" i="18"/>
  <c r="H976" i="18"/>
  <c r="L975" i="18"/>
  <c r="I975" i="18"/>
  <c r="H975" i="18"/>
  <c r="L974" i="18"/>
  <c r="I974" i="18"/>
  <c r="H974" i="18"/>
  <c r="L973" i="18"/>
  <c r="I973" i="18"/>
  <c r="H973" i="18"/>
  <c r="L972" i="18"/>
  <c r="I972" i="18"/>
  <c r="H972" i="18"/>
  <c r="L971" i="18"/>
  <c r="I971" i="18"/>
  <c r="H971" i="18"/>
  <c r="L970" i="18"/>
  <c r="I970" i="18"/>
  <c r="H970" i="18"/>
  <c r="L969" i="18"/>
  <c r="I969" i="18"/>
  <c r="H969" i="18"/>
  <c r="L968" i="18"/>
  <c r="I968" i="18"/>
  <c r="H968" i="18"/>
  <c r="L967" i="18"/>
  <c r="I967" i="18"/>
  <c r="H967" i="18"/>
  <c r="L966" i="18"/>
  <c r="I966" i="18"/>
  <c r="H966" i="18"/>
  <c r="L965" i="18"/>
  <c r="I965" i="18"/>
  <c r="H965" i="18"/>
  <c r="L964" i="18"/>
  <c r="I964" i="18"/>
  <c r="H964" i="18"/>
  <c r="L963" i="18"/>
  <c r="I963" i="18"/>
  <c r="H963" i="18"/>
  <c r="L962" i="18"/>
  <c r="I962" i="18"/>
  <c r="H962" i="18"/>
  <c r="L961" i="18"/>
  <c r="I961" i="18"/>
  <c r="H961" i="18"/>
  <c r="L960" i="18"/>
  <c r="I960" i="18"/>
  <c r="H960" i="18"/>
  <c r="L959" i="18"/>
  <c r="I959" i="18"/>
  <c r="H959" i="18"/>
  <c r="L958" i="18"/>
  <c r="I958" i="18"/>
  <c r="H958" i="18"/>
  <c r="L957" i="18"/>
  <c r="I957" i="18"/>
  <c r="H957" i="18"/>
  <c r="L956" i="18"/>
  <c r="I956" i="18"/>
  <c r="H956" i="18"/>
  <c r="L955" i="18"/>
  <c r="I955" i="18"/>
  <c r="H955" i="18"/>
  <c r="L954" i="18"/>
  <c r="I954" i="18"/>
  <c r="H954" i="18"/>
  <c r="L953" i="18"/>
  <c r="I953" i="18"/>
  <c r="H953" i="18"/>
  <c r="L952" i="18"/>
  <c r="I952" i="18"/>
  <c r="H952" i="18"/>
  <c r="L951" i="18"/>
  <c r="I951" i="18"/>
  <c r="H951" i="18"/>
  <c r="L950" i="18"/>
  <c r="I950" i="18"/>
  <c r="H950" i="18"/>
  <c r="L949" i="18"/>
  <c r="I949" i="18"/>
  <c r="H949" i="18"/>
  <c r="L948" i="18"/>
  <c r="I948" i="18"/>
  <c r="H948" i="18"/>
  <c r="L947" i="18"/>
  <c r="I947" i="18"/>
  <c r="H947" i="18"/>
  <c r="L946" i="18"/>
  <c r="I946" i="18"/>
  <c r="H946" i="18"/>
  <c r="L945" i="18"/>
  <c r="I945" i="18"/>
  <c r="H945" i="18"/>
  <c r="L944" i="18"/>
  <c r="I944" i="18"/>
  <c r="H944" i="18"/>
  <c r="L943" i="18"/>
  <c r="I943" i="18"/>
  <c r="H943" i="18"/>
  <c r="L942" i="18"/>
  <c r="I942" i="18"/>
  <c r="H942" i="18"/>
  <c r="L941" i="18"/>
  <c r="I941" i="18"/>
  <c r="H941" i="18"/>
  <c r="L940" i="18"/>
  <c r="I940" i="18"/>
  <c r="H940" i="18"/>
  <c r="L939" i="18"/>
  <c r="I939" i="18"/>
  <c r="H939" i="18"/>
  <c r="L938" i="18"/>
  <c r="I938" i="18"/>
  <c r="H938" i="18"/>
  <c r="L937" i="18"/>
  <c r="I937" i="18"/>
  <c r="H937" i="18"/>
  <c r="L936" i="18"/>
  <c r="I936" i="18"/>
  <c r="H936" i="18"/>
  <c r="L935" i="18"/>
  <c r="I935" i="18"/>
  <c r="H935" i="18"/>
  <c r="L934" i="18"/>
  <c r="I934" i="18"/>
  <c r="H934" i="18"/>
  <c r="L933" i="18"/>
  <c r="I933" i="18"/>
  <c r="H933" i="18"/>
  <c r="L932" i="18"/>
  <c r="I932" i="18"/>
  <c r="H932" i="18"/>
  <c r="L931" i="18"/>
  <c r="I931" i="18"/>
  <c r="H931" i="18"/>
  <c r="L930" i="18"/>
  <c r="I930" i="18"/>
  <c r="H930" i="18"/>
  <c r="L929" i="18"/>
  <c r="I929" i="18"/>
  <c r="H929" i="18"/>
  <c r="L928" i="18"/>
  <c r="I928" i="18"/>
  <c r="H928" i="18"/>
  <c r="L927" i="18"/>
  <c r="I927" i="18"/>
  <c r="H927" i="18"/>
  <c r="L926" i="18"/>
  <c r="I926" i="18"/>
  <c r="H926" i="18"/>
  <c r="L925" i="18"/>
  <c r="I925" i="18"/>
  <c r="H925" i="18"/>
  <c r="L924" i="18"/>
  <c r="I924" i="18"/>
  <c r="H924" i="18"/>
  <c r="L923" i="18"/>
  <c r="I923" i="18"/>
  <c r="H923" i="18"/>
  <c r="L922" i="18"/>
  <c r="I922" i="18"/>
  <c r="H922" i="18"/>
  <c r="L921" i="18"/>
  <c r="I921" i="18"/>
  <c r="H921" i="18"/>
  <c r="L920" i="18"/>
  <c r="I920" i="18"/>
  <c r="H920" i="18"/>
  <c r="L919" i="18"/>
  <c r="I919" i="18"/>
  <c r="H919" i="18"/>
  <c r="L918" i="18"/>
  <c r="I918" i="18"/>
  <c r="H918" i="18"/>
  <c r="L917" i="18"/>
  <c r="I917" i="18"/>
  <c r="H917" i="18"/>
  <c r="L916" i="18"/>
  <c r="I916" i="18"/>
  <c r="H916" i="18"/>
  <c r="L915" i="18"/>
  <c r="I915" i="18"/>
  <c r="H915" i="18"/>
  <c r="L914" i="18"/>
  <c r="I914" i="18"/>
  <c r="H914" i="18"/>
  <c r="L913" i="18"/>
  <c r="I913" i="18"/>
  <c r="H913" i="18"/>
  <c r="L912" i="18"/>
  <c r="I912" i="18"/>
  <c r="H912" i="18"/>
  <c r="L911" i="18"/>
  <c r="I911" i="18"/>
  <c r="H911" i="18"/>
  <c r="L910" i="18"/>
  <c r="I910" i="18"/>
  <c r="H910" i="18"/>
  <c r="L909" i="18"/>
  <c r="I909" i="18"/>
  <c r="H909" i="18"/>
  <c r="L908" i="18"/>
  <c r="I908" i="18"/>
  <c r="H908" i="18"/>
  <c r="L907" i="18"/>
  <c r="I907" i="18"/>
  <c r="H907" i="18"/>
  <c r="L906" i="18"/>
  <c r="I906" i="18"/>
  <c r="H906" i="18"/>
  <c r="L905" i="18"/>
  <c r="I905" i="18"/>
  <c r="H905" i="18"/>
  <c r="L904" i="18"/>
  <c r="I904" i="18"/>
  <c r="H904" i="18"/>
  <c r="L903" i="18"/>
  <c r="I903" i="18"/>
  <c r="H903" i="18"/>
  <c r="L902" i="18"/>
  <c r="I902" i="18"/>
  <c r="H902" i="18"/>
  <c r="L901" i="18"/>
  <c r="I901" i="18"/>
  <c r="H901" i="18"/>
  <c r="L900" i="18"/>
  <c r="I900" i="18"/>
  <c r="H900" i="18"/>
  <c r="L899" i="18"/>
  <c r="I899" i="18"/>
  <c r="H899" i="18"/>
  <c r="L898" i="18"/>
  <c r="I898" i="18"/>
  <c r="H898" i="18"/>
  <c r="L897" i="18"/>
  <c r="I897" i="18"/>
  <c r="H897" i="18"/>
  <c r="L896" i="18"/>
  <c r="I896" i="18"/>
  <c r="H896" i="18"/>
  <c r="L895" i="18"/>
  <c r="I895" i="18"/>
  <c r="H895" i="18"/>
  <c r="L894" i="18"/>
  <c r="I894" i="18"/>
  <c r="H894" i="18"/>
  <c r="L893" i="18"/>
  <c r="I893" i="18"/>
  <c r="H893" i="18"/>
  <c r="L892" i="18"/>
  <c r="I892" i="18"/>
  <c r="H892" i="18"/>
  <c r="L891" i="18"/>
  <c r="I891" i="18"/>
  <c r="H891" i="18"/>
  <c r="L890" i="18"/>
  <c r="I890" i="18"/>
  <c r="H890" i="18"/>
  <c r="L889" i="18"/>
  <c r="I889" i="18"/>
  <c r="H889" i="18"/>
  <c r="L888" i="18"/>
  <c r="I888" i="18"/>
  <c r="H888" i="18"/>
  <c r="L887" i="18"/>
  <c r="I887" i="18"/>
  <c r="H887" i="18"/>
  <c r="L886" i="18"/>
  <c r="I886" i="18"/>
  <c r="H886" i="18"/>
  <c r="L885" i="18"/>
  <c r="I885" i="18"/>
  <c r="H885" i="18"/>
  <c r="L884" i="18"/>
  <c r="I884" i="18"/>
  <c r="H884" i="18"/>
  <c r="L883" i="18"/>
  <c r="I883" i="18"/>
  <c r="H883" i="18"/>
  <c r="L882" i="18"/>
  <c r="I882" i="18"/>
  <c r="H882" i="18"/>
  <c r="L881" i="18"/>
  <c r="I881" i="18"/>
  <c r="H881" i="18"/>
  <c r="L880" i="18"/>
  <c r="I880" i="18"/>
  <c r="H880" i="18"/>
  <c r="L879" i="18"/>
  <c r="I879" i="18"/>
  <c r="H879" i="18"/>
  <c r="L878" i="18"/>
  <c r="I878" i="18"/>
  <c r="H878" i="18"/>
  <c r="L877" i="18"/>
  <c r="I877" i="18"/>
  <c r="H877" i="18"/>
  <c r="L876" i="18"/>
  <c r="I876" i="18"/>
  <c r="H876" i="18"/>
  <c r="L875" i="18"/>
  <c r="I875" i="18"/>
  <c r="H875" i="18"/>
  <c r="L874" i="18"/>
  <c r="I874" i="18"/>
  <c r="H874" i="18"/>
  <c r="L873" i="18"/>
  <c r="I873" i="18"/>
  <c r="H873" i="18"/>
  <c r="L872" i="18"/>
  <c r="I872" i="18"/>
  <c r="H872" i="18"/>
  <c r="L871" i="18"/>
  <c r="I871" i="18"/>
  <c r="H871" i="18"/>
  <c r="L870" i="18"/>
  <c r="I870" i="18"/>
  <c r="H870" i="18"/>
  <c r="L869" i="18"/>
  <c r="I869" i="18"/>
  <c r="H869" i="18"/>
  <c r="L868" i="18"/>
  <c r="I868" i="18"/>
  <c r="H868" i="18"/>
  <c r="L867" i="18"/>
  <c r="I867" i="18"/>
  <c r="H867" i="18"/>
  <c r="L866" i="18"/>
  <c r="I866" i="18"/>
  <c r="H866" i="18"/>
  <c r="L865" i="18"/>
  <c r="I865" i="18"/>
  <c r="H865" i="18"/>
  <c r="L864" i="18"/>
  <c r="I864" i="18"/>
  <c r="H864" i="18"/>
  <c r="L863" i="18"/>
  <c r="I863" i="18"/>
  <c r="H863" i="18"/>
  <c r="L862" i="18"/>
  <c r="I862" i="18"/>
  <c r="H862" i="18"/>
  <c r="L861" i="18"/>
  <c r="I861" i="18"/>
  <c r="H861" i="18"/>
  <c r="L860" i="18"/>
  <c r="I860" i="18"/>
  <c r="H860" i="18"/>
  <c r="L859" i="18"/>
  <c r="I859" i="18"/>
  <c r="H859" i="18"/>
  <c r="L858" i="18"/>
  <c r="I858" i="18"/>
  <c r="H858" i="18"/>
  <c r="L857" i="18"/>
  <c r="I857" i="18"/>
  <c r="H857" i="18"/>
  <c r="L856" i="18"/>
  <c r="I856" i="18"/>
  <c r="H856" i="18"/>
  <c r="L855" i="18"/>
  <c r="I855" i="18"/>
  <c r="H855" i="18"/>
  <c r="L854" i="18"/>
  <c r="I854" i="18"/>
  <c r="H854" i="18"/>
  <c r="L853" i="18"/>
  <c r="I853" i="18"/>
  <c r="H853" i="18"/>
  <c r="L852" i="18"/>
  <c r="I852" i="18"/>
  <c r="H852" i="18"/>
  <c r="L851" i="18"/>
  <c r="I851" i="18"/>
  <c r="H851" i="18"/>
  <c r="L850" i="18"/>
  <c r="I850" i="18"/>
  <c r="H850" i="18"/>
  <c r="L849" i="18"/>
  <c r="I849" i="18"/>
  <c r="H849" i="18"/>
  <c r="L848" i="18"/>
  <c r="I848" i="18"/>
  <c r="H848" i="18"/>
  <c r="L847" i="18"/>
  <c r="I847" i="18"/>
  <c r="H847" i="18"/>
  <c r="L846" i="18"/>
  <c r="I846" i="18"/>
  <c r="H846" i="18"/>
  <c r="L845" i="18"/>
  <c r="I845" i="18"/>
  <c r="H845" i="18"/>
  <c r="L844" i="18"/>
  <c r="I844" i="18"/>
  <c r="H844" i="18"/>
  <c r="L843" i="18"/>
  <c r="I843" i="18"/>
  <c r="H843" i="18"/>
  <c r="L842" i="18"/>
  <c r="I842" i="18"/>
  <c r="H842" i="18"/>
  <c r="L841" i="18"/>
  <c r="I841" i="18"/>
  <c r="H841" i="18"/>
  <c r="L840" i="18"/>
  <c r="I840" i="18"/>
  <c r="H840" i="18"/>
  <c r="L839" i="18"/>
  <c r="I839" i="18"/>
  <c r="H839" i="18"/>
  <c r="L838" i="18"/>
  <c r="I838" i="18"/>
  <c r="H838" i="18"/>
  <c r="L837" i="18"/>
  <c r="I837" i="18"/>
  <c r="H837" i="18"/>
  <c r="L836" i="18"/>
  <c r="I836" i="18"/>
  <c r="H836" i="18"/>
  <c r="L835" i="18"/>
  <c r="I835" i="18"/>
  <c r="H835" i="18"/>
  <c r="L834" i="18"/>
  <c r="I834" i="18"/>
  <c r="H834" i="18"/>
  <c r="L833" i="18"/>
  <c r="I833" i="18"/>
  <c r="H833" i="18"/>
  <c r="L832" i="18"/>
  <c r="I832" i="18"/>
  <c r="H832" i="18"/>
  <c r="L831" i="18"/>
  <c r="I831" i="18"/>
  <c r="H831" i="18"/>
  <c r="L830" i="18"/>
  <c r="I830" i="18"/>
  <c r="H830" i="18"/>
  <c r="L829" i="18"/>
  <c r="I829" i="18"/>
  <c r="H829" i="18"/>
  <c r="L828" i="18"/>
  <c r="I828" i="18"/>
  <c r="H828" i="18"/>
  <c r="L827" i="18"/>
  <c r="I827" i="18"/>
  <c r="H827" i="18"/>
  <c r="L826" i="18"/>
  <c r="I826" i="18"/>
  <c r="H826" i="18"/>
  <c r="L825" i="18"/>
  <c r="I825" i="18"/>
  <c r="H825" i="18"/>
  <c r="L824" i="18"/>
  <c r="I824" i="18"/>
  <c r="H824" i="18"/>
  <c r="L823" i="18"/>
  <c r="I823" i="18"/>
  <c r="H823" i="18"/>
  <c r="L822" i="18"/>
  <c r="I822" i="18"/>
  <c r="H822" i="18"/>
  <c r="L821" i="18"/>
  <c r="I821" i="18"/>
  <c r="H821" i="18"/>
  <c r="L820" i="18"/>
  <c r="I820" i="18"/>
  <c r="H820" i="18"/>
  <c r="L819" i="18"/>
  <c r="I819" i="18"/>
  <c r="H819" i="18"/>
  <c r="L818" i="18"/>
  <c r="I818" i="18"/>
  <c r="H818" i="18"/>
  <c r="L817" i="18"/>
  <c r="I817" i="18"/>
  <c r="H817" i="18"/>
  <c r="L816" i="18"/>
  <c r="I816" i="18"/>
  <c r="H816" i="18"/>
  <c r="L815" i="18"/>
  <c r="I815" i="18"/>
  <c r="H815" i="18"/>
  <c r="L814" i="18"/>
  <c r="I814" i="18"/>
  <c r="H814" i="18"/>
  <c r="L813" i="18"/>
  <c r="I813" i="18"/>
  <c r="H813" i="18"/>
  <c r="L812" i="18"/>
  <c r="I812" i="18"/>
  <c r="H812" i="18"/>
  <c r="L811" i="18"/>
  <c r="I811" i="18"/>
  <c r="H811" i="18"/>
  <c r="L810" i="18"/>
  <c r="I810" i="18"/>
  <c r="H810" i="18"/>
  <c r="L809" i="18"/>
  <c r="I809" i="18"/>
  <c r="H809" i="18"/>
  <c r="L808" i="18"/>
  <c r="I808" i="18"/>
  <c r="H808" i="18"/>
  <c r="L807" i="18"/>
  <c r="I807" i="18"/>
  <c r="H807" i="18"/>
  <c r="L806" i="18"/>
  <c r="I806" i="18"/>
  <c r="H806" i="18"/>
  <c r="L805" i="18"/>
  <c r="I805" i="18"/>
  <c r="H805" i="18"/>
  <c r="L804" i="18"/>
  <c r="I804" i="18"/>
  <c r="H804" i="18"/>
  <c r="L803" i="18"/>
  <c r="I803" i="18"/>
  <c r="H803" i="18"/>
  <c r="L802" i="18"/>
  <c r="I802" i="18"/>
  <c r="H802" i="18"/>
  <c r="L801" i="18"/>
  <c r="I801" i="18"/>
  <c r="H801" i="18"/>
  <c r="L800" i="18"/>
  <c r="I800" i="18"/>
  <c r="H800" i="18"/>
  <c r="L799" i="18"/>
  <c r="I799" i="18"/>
  <c r="H799" i="18"/>
  <c r="L798" i="18"/>
  <c r="I798" i="18"/>
  <c r="H798" i="18"/>
  <c r="L797" i="18"/>
  <c r="I797" i="18"/>
  <c r="H797" i="18"/>
  <c r="L796" i="18"/>
  <c r="I796" i="18"/>
  <c r="H796" i="18"/>
  <c r="L795" i="18"/>
  <c r="I795" i="18"/>
  <c r="H795" i="18"/>
  <c r="L794" i="18"/>
  <c r="I794" i="18"/>
  <c r="H794" i="18"/>
  <c r="L793" i="18"/>
  <c r="I793" i="18"/>
  <c r="H793" i="18"/>
  <c r="L792" i="18"/>
  <c r="I792" i="18"/>
  <c r="H792" i="18"/>
  <c r="L791" i="18"/>
  <c r="I791" i="18"/>
  <c r="H791" i="18"/>
  <c r="L790" i="18"/>
  <c r="I790" i="18"/>
  <c r="H790" i="18"/>
  <c r="L789" i="18"/>
  <c r="I789" i="18"/>
  <c r="H789" i="18"/>
  <c r="L788" i="18"/>
  <c r="I788" i="18"/>
  <c r="H788" i="18"/>
  <c r="L787" i="18"/>
  <c r="I787" i="18"/>
  <c r="H787" i="18"/>
  <c r="L786" i="18"/>
  <c r="I786" i="18"/>
  <c r="H786" i="18"/>
  <c r="L785" i="18"/>
  <c r="I785" i="18"/>
  <c r="H785" i="18"/>
  <c r="L784" i="18"/>
  <c r="I784" i="18"/>
  <c r="H784" i="18"/>
  <c r="L783" i="18"/>
  <c r="I783" i="18"/>
  <c r="H783" i="18"/>
  <c r="L782" i="18"/>
  <c r="I782" i="18"/>
  <c r="H782" i="18"/>
  <c r="L781" i="18"/>
  <c r="I781" i="18"/>
  <c r="H781" i="18"/>
  <c r="L780" i="18"/>
  <c r="I780" i="18"/>
  <c r="H780" i="18"/>
  <c r="L779" i="18"/>
  <c r="I779" i="18"/>
  <c r="H779" i="18"/>
  <c r="L778" i="18"/>
  <c r="I778" i="18"/>
  <c r="H778" i="18"/>
  <c r="L777" i="18"/>
  <c r="I777" i="18"/>
  <c r="H777" i="18"/>
  <c r="L776" i="18"/>
  <c r="I776" i="18"/>
  <c r="H776" i="18"/>
  <c r="L775" i="18"/>
  <c r="I775" i="18"/>
  <c r="H775" i="18"/>
  <c r="L774" i="18"/>
  <c r="I774" i="18"/>
  <c r="H774" i="18"/>
  <c r="L773" i="18"/>
  <c r="I773" i="18"/>
  <c r="H773" i="18"/>
  <c r="L772" i="18"/>
  <c r="I772" i="18"/>
  <c r="H772" i="18"/>
  <c r="L771" i="18"/>
  <c r="I771" i="18"/>
  <c r="H771" i="18"/>
  <c r="L770" i="18"/>
  <c r="I770" i="18"/>
  <c r="H770" i="18"/>
  <c r="L769" i="18"/>
  <c r="I769" i="18"/>
  <c r="H769" i="18"/>
  <c r="L768" i="18"/>
  <c r="I768" i="18"/>
  <c r="H768" i="18"/>
  <c r="L767" i="18"/>
  <c r="I767" i="18"/>
  <c r="H767" i="18"/>
  <c r="L766" i="18"/>
  <c r="I766" i="18"/>
  <c r="H766" i="18"/>
  <c r="L765" i="18"/>
  <c r="I765" i="18"/>
  <c r="H765" i="18"/>
  <c r="L764" i="18"/>
  <c r="I764" i="18"/>
  <c r="H764" i="18"/>
  <c r="L763" i="18"/>
  <c r="I763" i="18"/>
  <c r="H763" i="18"/>
  <c r="L762" i="18"/>
  <c r="I762" i="18"/>
  <c r="H762" i="18"/>
  <c r="L761" i="18"/>
  <c r="I761" i="18"/>
  <c r="H761" i="18"/>
  <c r="L760" i="18"/>
  <c r="I760" i="18"/>
  <c r="H760" i="18"/>
  <c r="L759" i="18"/>
  <c r="I759" i="18"/>
  <c r="H759" i="18"/>
  <c r="L758" i="18"/>
  <c r="I758" i="18"/>
  <c r="H758" i="18"/>
  <c r="L757" i="18"/>
  <c r="I757" i="18"/>
  <c r="H757" i="18"/>
  <c r="L756" i="18"/>
  <c r="I756" i="18"/>
  <c r="H756" i="18"/>
  <c r="L755" i="18"/>
  <c r="I755" i="18"/>
  <c r="H755" i="18"/>
  <c r="L754" i="18"/>
  <c r="I754" i="18"/>
  <c r="H754" i="18"/>
  <c r="L753" i="18"/>
  <c r="I753" i="18"/>
  <c r="H753" i="18"/>
  <c r="L752" i="18"/>
  <c r="I752" i="18"/>
  <c r="H752" i="18"/>
  <c r="L751" i="18"/>
  <c r="I751" i="18"/>
  <c r="H751" i="18"/>
  <c r="L750" i="18"/>
  <c r="I750" i="18"/>
  <c r="H750" i="18"/>
  <c r="L749" i="18"/>
  <c r="I749" i="18"/>
  <c r="H749" i="18"/>
  <c r="L748" i="18"/>
  <c r="I748" i="18"/>
  <c r="H748" i="18"/>
  <c r="L747" i="18"/>
  <c r="I747" i="18"/>
  <c r="H747" i="18"/>
  <c r="L746" i="18"/>
  <c r="I746" i="18"/>
  <c r="H746" i="18"/>
  <c r="L745" i="18"/>
  <c r="I745" i="18"/>
  <c r="H745" i="18"/>
  <c r="L744" i="18"/>
  <c r="I744" i="18"/>
  <c r="H744" i="18"/>
  <c r="L743" i="18"/>
  <c r="I743" i="18"/>
  <c r="H743" i="18"/>
  <c r="L742" i="18"/>
  <c r="I742" i="18"/>
  <c r="H742" i="18"/>
  <c r="L741" i="18"/>
  <c r="I741" i="18"/>
  <c r="H741" i="18"/>
  <c r="L740" i="18"/>
  <c r="I740" i="18"/>
  <c r="H740" i="18"/>
  <c r="L739" i="18"/>
  <c r="I739" i="18"/>
  <c r="H739" i="18"/>
  <c r="L738" i="18"/>
  <c r="I738" i="18"/>
  <c r="H738" i="18"/>
  <c r="L737" i="18"/>
  <c r="I737" i="18"/>
  <c r="H737" i="18"/>
  <c r="L736" i="18"/>
  <c r="I736" i="18"/>
  <c r="H736" i="18"/>
  <c r="L735" i="18"/>
  <c r="I735" i="18"/>
  <c r="H735" i="18"/>
  <c r="L734" i="18"/>
  <c r="I734" i="18"/>
  <c r="H734" i="18"/>
  <c r="L733" i="18"/>
  <c r="I733" i="18"/>
  <c r="H733" i="18"/>
  <c r="L732" i="18"/>
  <c r="I732" i="18"/>
  <c r="H732" i="18"/>
  <c r="L731" i="18"/>
  <c r="I731" i="18"/>
  <c r="H731" i="18"/>
  <c r="L730" i="18"/>
  <c r="I730" i="18"/>
  <c r="H730" i="18"/>
  <c r="L729" i="18"/>
  <c r="I729" i="18"/>
  <c r="H729" i="18"/>
  <c r="L728" i="18"/>
  <c r="I728" i="18"/>
  <c r="H728" i="18"/>
  <c r="L727" i="18"/>
  <c r="I727" i="18"/>
  <c r="H727" i="18"/>
  <c r="L726" i="18"/>
  <c r="I726" i="18"/>
  <c r="H726" i="18"/>
  <c r="L725" i="18"/>
  <c r="I725" i="18"/>
  <c r="H725" i="18"/>
  <c r="L724" i="18"/>
  <c r="I724" i="18"/>
  <c r="H724" i="18"/>
  <c r="L723" i="18"/>
  <c r="I723" i="18"/>
  <c r="H723" i="18"/>
  <c r="L722" i="18"/>
  <c r="I722" i="18"/>
  <c r="H722" i="18"/>
  <c r="L721" i="18"/>
  <c r="I721" i="18"/>
  <c r="H721" i="18"/>
  <c r="L720" i="18"/>
  <c r="I720" i="18"/>
  <c r="H720" i="18"/>
  <c r="L719" i="18"/>
  <c r="I719" i="18"/>
  <c r="H719" i="18"/>
  <c r="L718" i="18"/>
  <c r="I718" i="18"/>
  <c r="H718" i="18"/>
  <c r="L717" i="18"/>
  <c r="I717" i="18"/>
  <c r="H717" i="18"/>
  <c r="L716" i="18"/>
  <c r="I716" i="18"/>
  <c r="H716" i="18"/>
  <c r="L715" i="18"/>
  <c r="I715" i="18"/>
  <c r="H715" i="18"/>
  <c r="L714" i="18"/>
  <c r="I714" i="18"/>
  <c r="H714" i="18"/>
  <c r="L713" i="18"/>
  <c r="I713" i="18"/>
  <c r="H713" i="18"/>
  <c r="L712" i="18"/>
  <c r="I712" i="18"/>
  <c r="H712" i="18"/>
  <c r="L711" i="18"/>
  <c r="I711" i="18"/>
  <c r="H711" i="18"/>
  <c r="L710" i="18"/>
  <c r="I710" i="18"/>
  <c r="H710" i="18"/>
  <c r="L709" i="18"/>
  <c r="I709" i="18"/>
  <c r="H709" i="18"/>
  <c r="L708" i="18"/>
  <c r="I708" i="18"/>
  <c r="H708" i="18"/>
  <c r="L707" i="18"/>
  <c r="I707" i="18"/>
  <c r="H707" i="18"/>
  <c r="L706" i="18"/>
  <c r="I706" i="18"/>
  <c r="H706" i="18"/>
  <c r="L705" i="18"/>
  <c r="I705" i="18"/>
  <c r="H705" i="18"/>
  <c r="M704" i="18"/>
  <c r="L704" i="18"/>
  <c r="I704" i="18"/>
  <c r="H704" i="18"/>
  <c r="L703" i="18"/>
  <c r="I703" i="18"/>
  <c r="H703" i="18"/>
  <c r="L702" i="18"/>
  <c r="I702" i="18"/>
  <c r="H702" i="18"/>
  <c r="M701" i="18"/>
  <c r="L701" i="18"/>
  <c r="I701" i="18"/>
  <c r="H701" i="18"/>
  <c r="L700" i="18"/>
  <c r="I700" i="18"/>
  <c r="H700" i="18"/>
  <c r="L699" i="18"/>
  <c r="I699" i="18"/>
  <c r="H699" i="18"/>
  <c r="L698" i="18"/>
  <c r="I698" i="18"/>
  <c r="H698" i="18"/>
  <c r="L697" i="18"/>
  <c r="I697" i="18"/>
  <c r="H697" i="18"/>
  <c r="L696" i="18"/>
  <c r="I696" i="18"/>
  <c r="H696" i="18"/>
  <c r="L695" i="18"/>
  <c r="I695" i="18"/>
  <c r="H695" i="18"/>
  <c r="L694" i="18"/>
  <c r="I694" i="18"/>
  <c r="H694" i="18"/>
  <c r="L693" i="18"/>
  <c r="I693" i="18"/>
  <c r="H693" i="18"/>
  <c r="L692" i="18"/>
  <c r="I692" i="18"/>
  <c r="H692" i="18"/>
  <c r="L691" i="18"/>
  <c r="I691" i="18"/>
  <c r="H691" i="18"/>
  <c r="L690" i="18"/>
  <c r="I690" i="18"/>
  <c r="H690" i="18"/>
  <c r="L689" i="18"/>
  <c r="I689" i="18"/>
  <c r="H689" i="18"/>
  <c r="L688" i="18"/>
  <c r="I688" i="18"/>
  <c r="H688" i="18"/>
  <c r="L687" i="18"/>
  <c r="I687" i="18"/>
  <c r="H687" i="18"/>
  <c r="L686" i="18"/>
  <c r="I686" i="18"/>
  <c r="H686" i="18"/>
  <c r="L685" i="18"/>
  <c r="I685" i="18"/>
  <c r="H685" i="18"/>
  <c r="L684" i="18"/>
  <c r="I684" i="18"/>
  <c r="H684" i="18"/>
  <c r="L683" i="18"/>
  <c r="I683" i="18"/>
  <c r="H683" i="18"/>
  <c r="L682" i="18"/>
  <c r="I682" i="18"/>
  <c r="H682" i="18"/>
  <c r="L681" i="18"/>
  <c r="I681" i="18"/>
  <c r="H681" i="18"/>
  <c r="L680" i="18"/>
  <c r="I680" i="18"/>
  <c r="H680" i="18"/>
  <c r="L679" i="18"/>
  <c r="I679" i="18"/>
  <c r="H679" i="18"/>
  <c r="L678" i="18"/>
  <c r="I678" i="18"/>
  <c r="H678" i="18"/>
  <c r="L677" i="18"/>
  <c r="I677" i="18"/>
  <c r="H677" i="18"/>
  <c r="L676" i="18"/>
  <c r="I676" i="18"/>
  <c r="H676" i="18"/>
  <c r="L675" i="18"/>
  <c r="I675" i="18"/>
  <c r="H675" i="18"/>
  <c r="L674" i="18"/>
  <c r="I674" i="18"/>
  <c r="H674" i="18"/>
  <c r="L673" i="18"/>
  <c r="I673" i="18"/>
  <c r="H673" i="18"/>
  <c r="L672" i="18"/>
  <c r="I672" i="18"/>
  <c r="H672" i="18"/>
  <c r="L671" i="18"/>
  <c r="I671" i="18"/>
  <c r="H671" i="18"/>
  <c r="L670" i="18"/>
  <c r="I670" i="18"/>
  <c r="H670" i="18"/>
  <c r="L669" i="18"/>
  <c r="I669" i="18"/>
  <c r="H669" i="18"/>
  <c r="L668" i="18"/>
  <c r="I668" i="18"/>
  <c r="H668" i="18"/>
  <c r="L667" i="18"/>
  <c r="I667" i="18"/>
  <c r="H667" i="18"/>
  <c r="L666" i="18"/>
  <c r="I666" i="18"/>
  <c r="H666" i="18"/>
  <c r="L665" i="18"/>
  <c r="I665" i="18"/>
  <c r="H665" i="18"/>
  <c r="L664" i="18"/>
  <c r="I664" i="18"/>
  <c r="H664" i="18"/>
  <c r="L663" i="18"/>
  <c r="I663" i="18"/>
  <c r="H663" i="18"/>
  <c r="L662" i="18"/>
  <c r="I662" i="18"/>
  <c r="H662" i="18"/>
  <c r="L661" i="18"/>
  <c r="I661" i="18"/>
  <c r="H661" i="18"/>
  <c r="L660" i="18"/>
  <c r="I660" i="18"/>
  <c r="H660" i="18"/>
  <c r="L659" i="18"/>
  <c r="I659" i="18"/>
  <c r="H659" i="18"/>
  <c r="L658" i="18"/>
  <c r="I658" i="18"/>
  <c r="H658" i="18"/>
  <c r="L657" i="18"/>
  <c r="I657" i="18"/>
  <c r="H657" i="18"/>
  <c r="L656" i="18"/>
  <c r="I656" i="18"/>
  <c r="H656" i="18"/>
  <c r="L655" i="18"/>
  <c r="I655" i="18"/>
  <c r="H655" i="18"/>
  <c r="L654" i="18"/>
  <c r="I654" i="18"/>
  <c r="H654" i="18"/>
  <c r="L653" i="18"/>
  <c r="I653" i="18"/>
  <c r="H653" i="18"/>
  <c r="L652" i="18"/>
  <c r="I652" i="18"/>
  <c r="H652" i="18"/>
  <c r="L651" i="18"/>
  <c r="I651" i="18"/>
  <c r="H651" i="18"/>
  <c r="L650" i="18"/>
  <c r="I650" i="18"/>
  <c r="H650" i="18"/>
  <c r="L649" i="18"/>
  <c r="I649" i="18"/>
  <c r="H649" i="18"/>
  <c r="L648" i="18"/>
  <c r="I648" i="18"/>
  <c r="H648" i="18"/>
  <c r="L647" i="18"/>
  <c r="I647" i="18"/>
  <c r="H647" i="18"/>
  <c r="L646" i="18"/>
  <c r="I646" i="18"/>
  <c r="H646" i="18"/>
  <c r="L645" i="18"/>
  <c r="I645" i="18"/>
  <c r="H645" i="18"/>
  <c r="L644" i="18"/>
  <c r="I644" i="18"/>
  <c r="H644" i="18"/>
  <c r="L643" i="18"/>
  <c r="I643" i="18"/>
  <c r="H643" i="18"/>
  <c r="L642" i="18"/>
  <c r="I642" i="18"/>
  <c r="H642" i="18"/>
  <c r="L641" i="18"/>
  <c r="I641" i="18"/>
  <c r="H641" i="18"/>
  <c r="L640" i="18"/>
  <c r="I640" i="18"/>
  <c r="H640" i="18"/>
  <c r="L639" i="18"/>
  <c r="I639" i="18"/>
  <c r="H639" i="18"/>
  <c r="L638" i="18"/>
  <c r="I638" i="18"/>
  <c r="H638" i="18"/>
  <c r="L637" i="18"/>
  <c r="I637" i="18"/>
  <c r="H637" i="18"/>
  <c r="L636" i="18"/>
  <c r="I636" i="18"/>
  <c r="H636" i="18"/>
  <c r="L635" i="18"/>
  <c r="I635" i="18"/>
  <c r="H635" i="18"/>
  <c r="L634" i="18"/>
  <c r="I634" i="18"/>
  <c r="H634" i="18"/>
  <c r="L633" i="18"/>
  <c r="I633" i="18"/>
  <c r="H633" i="18"/>
  <c r="L632" i="18"/>
  <c r="I632" i="18"/>
  <c r="H632" i="18"/>
  <c r="L631" i="18"/>
  <c r="I631" i="18"/>
  <c r="H631" i="18"/>
  <c r="L630" i="18"/>
  <c r="I630" i="18"/>
  <c r="H630" i="18"/>
  <c r="L629" i="18"/>
  <c r="I629" i="18"/>
  <c r="H629" i="18"/>
  <c r="L628" i="18"/>
  <c r="I628" i="18"/>
  <c r="H628" i="18"/>
  <c r="L627" i="18"/>
  <c r="I627" i="18"/>
  <c r="H627" i="18"/>
  <c r="L626" i="18"/>
  <c r="I626" i="18"/>
  <c r="H626" i="18"/>
  <c r="L625" i="18"/>
  <c r="I625" i="18"/>
  <c r="H625" i="18"/>
  <c r="L624" i="18"/>
  <c r="I624" i="18"/>
  <c r="H624" i="18"/>
  <c r="L623" i="18"/>
  <c r="I623" i="18"/>
  <c r="H623" i="18"/>
  <c r="L622" i="18"/>
  <c r="I622" i="18"/>
  <c r="H622" i="18"/>
  <c r="L621" i="18"/>
  <c r="I621" i="18"/>
  <c r="H621" i="18"/>
  <c r="L620" i="18"/>
  <c r="I620" i="18"/>
  <c r="H620" i="18"/>
  <c r="L619" i="18"/>
  <c r="I619" i="18"/>
  <c r="H619" i="18"/>
  <c r="L618" i="18"/>
  <c r="I618" i="18"/>
  <c r="H618" i="18"/>
  <c r="L617" i="18"/>
  <c r="I617" i="18"/>
  <c r="H617" i="18"/>
  <c r="L616" i="18"/>
  <c r="I616" i="18"/>
  <c r="H616" i="18"/>
  <c r="L615" i="18"/>
  <c r="I615" i="18"/>
  <c r="H615" i="18"/>
  <c r="L614" i="18"/>
  <c r="I614" i="18"/>
  <c r="H614" i="18"/>
  <c r="L613" i="18"/>
  <c r="I613" i="18"/>
  <c r="H613" i="18"/>
  <c r="L612" i="18"/>
  <c r="I612" i="18"/>
  <c r="H612" i="18"/>
  <c r="L611" i="18"/>
  <c r="I611" i="18"/>
  <c r="H611" i="18"/>
  <c r="L610" i="18"/>
  <c r="I610" i="18"/>
  <c r="H610" i="18"/>
  <c r="L609" i="18"/>
  <c r="I609" i="18"/>
  <c r="H609" i="18"/>
  <c r="L608" i="18"/>
  <c r="I608" i="18"/>
  <c r="H608" i="18"/>
  <c r="L607" i="18"/>
  <c r="I607" i="18"/>
  <c r="H607" i="18"/>
  <c r="L606" i="18"/>
  <c r="I606" i="18"/>
  <c r="H606" i="18"/>
  <c r="L605" i="18"/>
  <c r="I605" i="18"/>
  <c r="H605" i="18"/>
  <c r="L604" i="18"/>
  <c r="I604" i="18"/>
  <c r="H604" i="18"/>
  <c r="L603" i="18"/>
  <c r="I603" i="18"/>
  <c r="H603" i="18"/>
  <c r="L602" i="18"/>
  <c r="I602" i="18"/>
  <c r="H602" i="18"/>
  <c r="L601" i="18"/>
  <c r="I601" i="18"/>
  <c r="H601" i="18"/>
  <c r="L600" i="18"/>
  <c r="I600" i="18"/>
  <c r="H600" i="18"/>
  <c r="L599" i="18"/>
  <c r="I599" i="18"/>
  <c r="H599" i="18"/>
  <c r="L598" i="18"/>
  <c r="I598" i="18"/>
  <c r="H598" i="18"/>
  <c r="L597" i="18"/>
  <c r="I597" i="18"/>
  <c r="H597" i="18"/>
  <c r="L596" i="18"/>
  <c r="I596" i="18"/>
  <c r="H596" i="18"/>
  <c r="L595" i="18"/>
  <c r="I595" i="18"/>
  <c r="H595" i="18"/>
  <c r="L594" i="18"/>
  <c r="I594" i="18"/>
  <c r="H594" i="18"/>
  <c r="L593" i="18"/>
  <c r="I593" i="18"/>
  <c r="H593" i="18"/>
  <c r="L592" i="18"/>
  <c r="I592" i="18"/>
  <c r="H592" i="18"/>
  <c r="L591" i="18"/>
  <c r="I591" i="18"/>
  <c r="H591" i="18"/>
  <c r="L590" i="18"/>
  <c r="I590" i="18"/>
  <c r="H590" i="18"/>
  <c r="L589" i="18"/>
  <c r="I589" i="18"/>
  <c r="H589" i="18"/>
  <c r="L588" i="18"/>
  <c r="I588" i="18"/>
  <c r="H588" i="18"/>
  <c r="L587" i="18"/>
  <c r="I587" i="18"/>
  <c r="H587" i="18"/>
  <c r="L586" i="18"/>
  <c r="I586" i="18"/>
  <c r="H586" i="18"/>
  <c r="L585" i="18"/>
  <c r="I585" i="18"/>
  <c r="H585" i="18"/>
  <c r="L584" i="18"/>
  <c r="I584" i="18"/>
  <c r="H584" i="18"/>
  <c r="L583" i="18"/>
  <c r="I583" i="18"/>
  <c r="H583" i="18"/>
  <c r="L582" i="18"/>
  <c r="I582" i="18"/>
  <c r="H582" i="18"/>
  <c r="L581" i="18"/>
  <c r="I581" i="18"/>
  <c r="H581" i="18"/>
  <c r="L580" i="18"/>
  <c r="I580" i="18"/>
  <c r="H580" i="18"/>
  <c r="L579" i="18"/>
  <c r="I579" i="18"/>
  <c r="H579" i="18"/>
  <c r="L578" i="18"/>
  <c r="I578" i="18"/>
  <c r="H578" i="18"/>
  <c r="L577" i="18"/>
  <c r="I577" i="18"/>
  <c r="H577" i="18"/>
  <c r="L576" i="18"/>
  <c r="I576" i="18"/>
  <c r="H576" i="18"/>
  <c r="L575" i="18"/>
  <c r="I575" i="18"/>
  <c r="H575" i="18"/>
  <c r="L574" i="18"/>
  <c r="I574" i="18"/>
  <c r="H574" i="18"/>
  <c r="L573" i="18"/>
  <c r="I573" i="18"/>
  <c r="H573" i="18"/>
  <c r="L572" i="18"/>
  <c r="I572" i="18"/>
  <c r="H572" i="18"/>
  <c r="L571" i="18"/>
  <c r="I571" i="18"/>
  <c r="H571" i="18"/>
  <c r="L570" i="18"/>
  <c r="I570" i="18"/>
  <c r="H570" i="18"/>
  <c r="L569" i="18"/>
  <c r="I569" i="18"/>
  <c r="H569" i="18"/>
  <c r="L568" i="18"/>
  <c r="I568" i="18"/>
  <c r="H568" i="18"/>
  <c r="L567" i="18"/>
  <c r="I567" i="18"/>
  <c r="H567" i="18"/>
  <c r="L566" i="18"/>
  <c r="I566" i="18"/>
  <c r="H566" i="18"/>
  <c r="L565" i="18"/>
  <c r="I565" i="18"/>
  <c r="H565" i="18"/>
  <c r="L564" i="18"/>
  <c r="I564" i="18"/>
  <c r="H564" i="18"/>
  <c r="L563" i="18"/>
  <c r="I563" i="18"/>
  <c r="H563" i="18"/>
  <c r="L562" i="18"/>
  <c r="I562" i="18"/>
  <c r="H562" i="18"/>
  <c r="L561" i="18"/>
  <c r="I561" i="18"/>
  <c r="H561" i="18"/>
  <c r="L560" i="18"/>
  <c r="I560" i="18"/>
  <c r="H560" i="18"/>
  <c r="L559" i="18"/>
  <c r="I559" i="18"/>
  <c r="H559" i="18"/>
  <c r="M558" i="18"/>
  <c r="L558" i="18"/>
  <c r="I558" i="18"/>
  <c r="H558" i="18"/>
  <c r="L557" i="18"/>
  <c r="I557" i="18"/>
  <c r="H557" i="18"/>
  <c r="L556" i="18"/>
  <c r="I556" i="18"/>
  <c r="H556" i="18"/>
  <c r="L555" i="18"/>
  <c r="I555" i="18"/>
  <c r="H555" i="18"/>
  <c r="L554" i="18"/>
  <c r="I554" i="18"/>
  <c r="H554" i="18"/>
  <c r="L553" i="18"/>
  <c r="I553" i="18"/>
  <c r="H553" i="18"/>
  <c r="L552" i="18"/>
  <c r="I552" i="18"/>
  <c r="H552" i="18"/>
  <c r="L551" i="18"/>
  <c r="I551" i="18"/>
  <c r="H551" i="18"/>
  <c r="L550" i="18"/>
  <c r="I550" i="18"/>
  <c r="H550" i="18"/>
  <c r="L549" i="18"/>
  <c r="I549" i="18"/>
  <c r="H549" i="18"/>
  <c r="L548" i="18"/>
  <c r="I548" i="18"/>
  <c r="H548" i="18"/>
  <c r="L547" i="18"/>
  <c r="I547" i="18"/>
  <c r="H547" i="18"/>
  <c r="L546" i="18"/>
  <c r="I546" i="18"/>
  <c r="H546" i="18"/>
  <c r="L545" i="18"/>
  <c r="I545" i="18"/>
  <c r="H545" i="18"/>
  <c r="L544" i="18"/>
  <c r="I544" i="18"/>
  <c r="H544" i="18"/>
  <c r="L543" i="18"/>
  <c r="I543" i="18"/>
  <c r="H543" i="18"/>
  <c r="L542" i="18"/>
  <c r="I542" i="18"/>
  <c r="H542" i="18"/>
  <c r="L541" i="18"/>
  <c r="I541" i="18"/>
  <c r="H541" i="18"/>
  <c r="L540" i="18"/>
  <c r="I540" i="18"/>
  <c r="H540" i="18"/>
  <c r="L539" i="18"/>
  <c r="I539" i="18"/>
  <c r="H539" i="18"/>
  <c r="L538" i="18"/>
  <c r="I538" i="18"/>
  <c r="H538" i="18"/>
  <c r="L537" i="18"/>
  <c r="I537" i="18"/>
  <c r="H537" i="18"/>
  <c r="L536" i="18"/>
  <c r="I536" i="18"/>
  <c r="H536" i="18"/>
  <c r="L535" i="18"/>
  <c r="I535" i="18"/>
  <c r="H535" i="18"/>
  <c r="L534" i="18"/>
  <c r="I534" i="18"/>
  <c r="H534" i="18"/>
  <c r="L533" i="18"/>
  <c r="I533" i="18"/>
  <c r="H533" i="18"/>
  <c r="L532" i="18"/>
  <c r="I532" i="18"/>
  <c r="H532" i="18"/>
  <c r="L531" i="18"/>
  <c r="I531" i="18"/>
  <c r="H531" i="18"/>
  <c r="L530" i="18"/>
  <c r="I530" i="18"/>
  <c r="H530" i="18"/>
  <c r="L529" i="18"/>
  <c r="I529" i="18"/>
  <c r="H529" i="18"/>
  <c r="L528" i="18"/>
  <c r="I528" i="18"/>
  <c r="H528" i="18"/>
  <c r="L527" i="18"/>
  <c r="I527" i="18"/>
  <c r="H527" i="18"/>
  <c r="L526" i="18"/>
  <c r="I526" i="18"/>
  <c r="H526" i="18"/>
  <c r="L525" i="18"/>
  <c r="I525" i="18"/>
  <c r="H525" i="18"/>
  <c r="L524" i="18"/>
  <c r="I524" i="18"/>
  <c r="H524" i="18"/>
  <c r="L523" i="18"/>
  <c r="I523" i="18"/>
  <c r="H523" i="18"/>
  <c r="L522" i="18"/>
  <c r="I522" i="18"/>
  <c r="H522" i="18"/>
  <c r="L521" i="18"/>
  <c r="I521" i="18"/>
  <c r="H521" i="18"/>
  <c r="L520" i="18"/>
  <c r="I520" i="18"/>
  <c r="H520" i="18"/>
  <c r="L519" i="18"/>
  <c r="I519" i="18"/>
  <c r="H519" i="18"/>
  <c r="L518" i="18"/>
  <c r="I518" i="18"/>
  <c r="H518" i="18"/>
  <c r="L517" i="18"/>
  <c r="I517" i="18"/>
  <c r="H517" i="18"/>
  <c r="L516" i="18"/>
  <c r="I516" i="18"/>
  <c r="H516" i="18"/>
  <c r="M515" i="18"/>
  <c r="L515" i="18"/>
  <c r="I515" i="18"/>
  <c r="H515" i="18"/>
  <c r="L514" i="18"/>
  <c r="I514" i="18"/>
  <c r="H514" i="18"/>
  <c r="L513" i="18"/>
  <c r="I513" i="18"/>
  <c r="H513" i="18"/>
  <c r="L512" i="18"/>
  <c r="I512" i="18"/>
  <c r="H512" i="18"/>
  <c r="L511" i="18"/>
  <c r="I511" i="18"/>
  <c r="H511" i="18"/>
  <c r="L510" i="18"/>
  <c r="I510" i="18"/>
  <c r="H510" i="18"/>
  <c r="L509" i="18"/>
  <c r="I509" i="18"/>
  <c r="H509" i="18"/>
  <c r="L508" i="18"/>
  <c r="I508" i="18"/>
  <c r="H508" i="18"/>
  <c r="L507" i="18"/>
  <c r="I507" i="18"/>
  <c r="H507" i="18"/>
  <c r="L506" i="18"/>
  <c r="I506" i="18"/>
  <c r="H506" i="18"/>
  <c r="L505" i="18"/>
  <c r="I505" i="18"/>
  <c r="H505" i="18"/>
  <c r="L504" i="18"/>
  <c r="I504" i="18"/>
  <c r="H504" i="18"/>
  <c r="L503" i="18"/>
  <c r="I503" i="18"/>
  <c r="H503" i="18"/>
  <c r="L502" i="18"/>
  <c r="I502" i="18"/>
  <c r="H502" i="18"/>
  <c r="L501" i="18"/>
  <c r="I501" i="18"/>
  <c r="H501" i="18"/>
  <c r="L500" i="18"/>
  <c r="I500" i="18"/>
  <c r="H500" i="18"/>
  <c r="L499" i="18"/>
  <c r="I499" i="18"/>
  <c r="H499" i="18"/>
  <c r="L498" i="18"/>
  <c r="I498" i="18"/>
  <c r="H498" i="18"/>
  <c r="L497" i="18"/>
  <c r="I497" i="18"/>
  <c r="H497" i="18"/>
  <c r="L496" i="18"/>
  <c r="I496" i="18"/>
  <c r="H496" i="18"/>
  <c r="L495" i="18"/>
  <c r="I495" i="18"/>
  <c r="H495" i="18"/>
  <c r="L494" i="18"/>
  <c r="I494" i="18"/>
  <c r="H494" i="18"/>
  <c r="L493" i="18"/>
  <c r="I493" i="18"/>
  <c r="H493" i="18"/>
  <c r="L492" i="18"/>
  <c r="I492" i="18"/>
  <c r="H492" i="18"/>
  <c r="L491" i="18"/>
  <c r="I491" i="18"/>
  <c r="H491" i="18"/>
  <c r="L490" i="18"/>
  <c r="I490" i="18"/>
  <c r="H490" i="18"/>
  <c r="L489" i="18"/>
  <c r="I489" i="18"/>
  <c r="H489" i="18"/>
  <c r="L488" i="18"/>
  <c r="I488" i="18"/>
  <c r="H488" i="18"/>
  <c r="L487" i="18"/>
  <c r="I487" i="18"/>
  <c r="H487" i="18"/>
  <c r="L486" i="18"/>
  <c r="I486" i="18"/>
  <c r="H486" i="18"/>
  <c r="L485" i="18"/>
  <c r="I485" i="18"/>
  <c r="H485" i="18"/>
  <c r="L484" i="18"/>
  <c r="I484" i="18"/>
  <c r="H484" i="18"/>
  <c r="L483" i="18"/>
  <c r="I483" i="18"/>
  <c r="H483" i="18"/>
  <c r="L482" i="18"/>
  <c r="I482" i="18"/>
  <c r="H482" i="18"/>
  <c r="L481" i="18"/>
  <c r="I481" i="18"/>
  <c r="H481" i="18"/>
  <c r="L480" i="18"/>
  <c r="I480" i="18"/>
  <c r="H480" i="18"/>
  <c r="L479" i="18"/>
  <c r="I479" i="18"/>
  <c r="H479" i="18"/>
  <c r="L478" i="18"/>
  <c r="I478" i="18"/>
  <c r="H478" i="18"/>
  <c r="L477" i="18"/>
  <c r="I477" i="18"/>
  <c r="H477" i="18"/>
  <c r="L476" i="18"/>
  <c r="I476" i="18"/>
  <c r="H476" i="18"/>
  <c r="L475" i="18"/>
  <c r="I475" i="18"/>
  <c r="H475" i="18"/>
  <c r="L474" i="18"/>
  <c r="I474" i="18"/>
  <c r="H474" i="18"/>
  <c r="L473" i="18"/>
  <c r="I473" i="18"/>
  <c r="H473" i="18"/>
  <c r="L472" i="18"/>
  <c r="I472" i="18"/>
  <c r="H472" i="18"/>
  <c r="L471" i="18"/>
  <c r="I471" i="18"/>
  <c r="H471" i="18"/>
  <c r="L470" i="18"/>
  <c r="I470" i="18"/>
  <c r="H470" i="18"/>
  <c r="L469" i="18"/>
  <c r="I469" i="18"/>
  <c r="H469" i="18"/>
  <c r="L468" i="18"/>
  <c r="I468" i="18"/>
  <c r="H468" i="18"/>
  <c r="L467" i="18"/>
  <c r="I467" i="18"/>
  <c r="H467" i="18"/>
  <c r="L466" i="18"/>
  <c r="I466" i="18"/>
  <c r="H466" i="18"/>
  <c r="L465" i="18"/>
  <c r="I465" i="18"/>
  <c r="H465" i="18"/>
  <c r="L464" i="18"/>
  <c r="I464" i="18"/>
  <c r="H464" i="18"/>
  <c r="L463" i="18"/>
  <c r="I463" i="18"/>
  <c r="H463" i="18"/>
  <c r="L462" i="18"/>
  <c r="I462" i="18"/>
  <c r="H462" i="18"/>
  <c r="L461" i="18"/>
  <c r="I461" i="18"/>
  <c r="H461" i="18"/>
  <c r="L460" i="18"/>
  <c r="I460" i="18"/>
  <c r="H460" i="18"/>
  <c r="L459" i="18"/>
  <c r="I459" i="18"/>
  <c r="H459" i="18"/>
  <c r="L458" i="18"/>
  <c r="I458" i="18"/>
  <c r="H458" i="18"/>
  <c r="L457" i="18"/>
  <c r="I457" i="18"/>
  <c r="H457" i="18"/>
  <c r="L456" i="18"/>
  <c r="I456" i="18"/>
  <c r="H456" i="18"/>
  <c r="L455" i="18"/>
  <c r="I455" i="18"/>
  <c r="H455" i="18"/>
  <c r="L454" i="18"/>
  <c r="I454" i="18"/>
  <c r="H454" i="18"/>
  <c r="L453" i="18"/>
  <c r="I453" i="18"/>
  <c r="H453" i="18"/>
  <c r="L452" i="18"/>
  <c r="I452" i="18"/>
  <c r="H452" i="18"/>
  <c r="L451" i="18"/>
  <c r="I451" i="18"/>
  <c r="H451" i="18"/>
  <c r="L450" i="18"/>
  <c r="I450" i="18"/>
  <c r="H450" i="18"/>
  <c r="L449" i="18"/>
  <c r="I449" i="18"/>
  <c r="H449" i="18"/>
  <c r="L448" i="18"/>
  <c r="I448" i="18"/>
  <c r="H448" i="18"/>
  <c r="L447" i="18"/>
  <c r="I447" i="18"/>
  <c r="H447" i="18"/>
  <c r="L446" i="18"/>
  <c r="I446" i="18"/>
  <c r="H446" i="18"/>
  <c r="L445" i="18"/>
  <c r="I445" i="18"/>
  <c r="H445" i="18"/>
  <c r="L444" i="18"/>
  <c r="I444" i="18"/>
  <c r="H444" i="18"/>
  <c r="L443" i="18"/>
  <c r="I443" i="18"/>
  <c r="H443" i="18"/>
  <c r="L442" i="18"/>
  <c r="I442" i="18"/>
  <c r="H442" i="18"/>
  <c r="L441" i="18"/>
  <c r="I441" i="18"/>
  <c r="H441" i="18"/>
  <c r="L440" i="18"/>
  <c r="I440" i="18"/>
  <c r="H440" i="18"/>
  <c r="L439" i="18"/>
  <c r="I439" i="18"/>
  <c r="H439" i="18"/>
  <c r="L438" i="18"/>
  <c r="I438" i="18"/>
  <c r="H438" i="18"/>
  <c r="L437" i="18"/>
  <c r="I437" i="18"/>
  <c r="H437" i="18"/>
  <c r="L436" i="18"/>
  <c r="I436" i="18"/>
  <c r="H436" i="18"/>
  <c r="L435" i="18"/>
  <c r="I435" i="18"/>
  <c r="H435" i="18"/>
  <c r="L434" i="18"/>
  <c r="I434" i="18"/>
  <c r="H434" i="18"/>
  <c r="L433" i="18"/>
  <c r="I433" i="18"/>
  <c r="H433" i="18"/>
  <c r="L432" i="18"/>
  <c r="I432" i="18"/>
  <c r="H432" i="18"/>
  <c r="L431" i="18"/>
  <c r="I431" i="18"/>
  <c r="H431" i="18"/>
  <c r="L430" i="18"/>
  <c r="I430" i="18"/>
  <c r="H430" i="18"/>
  <c r="L429" i="18"/>
  <c r="I429" i="18"/>
  <c r="H429" i="18"/>
  <c r="L428" i="18"/>
  <c r="I428" i="18"/>
  <c r="H428" i="18"/>
  <c r="L427" i="18"/>
  <c r="I427" i="18"/>
  <c r="H427" i="18"/>
  <c r="L426" i="18"/>
  <c r="I426" i="18"/>
  <c r="H426" i="18"/>
  <c r="L425" i="18"/>
  <c r="I425" i="18"/>
  <c r="H425" i="18"/>
  <c r="L424" i="18"/>
  <c r="I424" i="18"/>
  <c r="H424" i="18"/>
  <c r="L423" i="18"/>
  <c r="I423" i="18"/>
  <c r="H423" i="18"/>
  <c r="L422" i="18"/>
  <c r="I422" i="18"/>
  <c r="H422" i="18"/>
  <c r="L421" i="18"/>
  <c r="I421" i="18"/>
  <c r="H421" i="18"/>
  <c r="L420" i="18"/>
  <c r="I420" i="18"/>
  <c r="H420" i="18"/>
  <c r="L419" i="18"/>
  <c r="I419" i="18"/>
  <c r="H419" i="18"/>
  <c r="L418" i="18"/>
  <c r="I418" i="18"/>
  <c r="H418" i="18"/>
  <c r="L417" i="18"/>
  <c r="I417" i="18"/>
  <c r="H417" i="18"/>
  <c r="L416" i="18"/>
  <c r="I416" i="18"/>
  <c r="H416" i="18"/>
  <c r="L415" i="18"/>
  <c r="I415" i="18"/>
  <c r="H415" i="18"/>
  <c r="L414" i="18"/>
  <c r="I414" i="18"/>
  <c r="H414" i="18"/>
  <c r="L413" i="18"/>
  <c r="I413" i="18"/>
  <c r="H413" i="18"/>
  <c r="L412" i="18"/>
  <c r="I412" i="18"/>
  <c r="H412" i="18"/>
  <c r="L411" i="18"/>
  <c r="I411" i="18"/>
  <c r="H411" i="18"/>
  <c r="L410" i="18"/>
  <c r="I410" i="18"/>
  <c r="H410" i="18"/>
  <c r="L409" i="18"/>
  <c r="I409" i="18"/>
  <c r="H409" i="18"/>
  <c r="L408" i="18"/>
  <c r="I408" i="18"/>
  <c r="H408" i="18"/>
  <c r="L407" i="18"/>
  <c r="I407" i="18"/>
  <c r="H407" i="18"/>
  <c r="L406" i="18"/>
  <c r="I406" i="18"/>
  <c r="H406" i="18"/>
  <c r="L405" i="18"/>
  <c r="I405" i="18"/>
  <c r="H405" i="18"/>
  <c r="L404" i="18"/>
  <c r="I404" i="18"/>
  <c r="H404" i="18"/>
  <c r="L403" i="18"/>
  <c r="I403" i="18"/>
  <c r="H403" i="18"/>
  <c r="L402" i="18"/>
  <c r="I402" i="18"/>
  <c r="H402" i="18"/>
  <c r="L401" i="18"/>
  <c r="I401" i="18"/>
  <c r="H401" i="18"/>
  <c r="L400" i="18"/>
  <c r="I400" i="18"/>
  <c r="H400" i="18"/>
  <c r="L399" i="18"/>
  <c r="I399" i="18"/>
  <c r="H399" i="18"/>
  <c r="L398" i="18"/>
  <c r="I398" i="18"/>
  <c r="H398" i="18"/>
  <c r="L397" i="18"/>
  <c r="I397" i="18"/>
  <c r="H397" i="18"/>
  <c r="L396" i="18"/>
  <c r="I396" i="18"/>
  <c r="H396" i="18"/>
  <c r="L395" i="18"/>
  <c r="I395" i="18"/>
  <c r="H395" i="18"/>
  <c r="L394" i="18"/>
  <c r="I394" i="18"/>
  <c r="H394" i="18"/>
  <c r="L393" i="18"/>
  <c r="I393" i="18"/>
  <c r="H393" i="18"/>
  <c r="L392" i="18"/>
  <c r="I392" i="18"/>
  <c r="H392" i="18"/>
  <c r="L391" i="18"/>
  <c r="I391" i="18"/>
  <c r="H391" i="18"/>
  <c r="L390" i="18"/>
  <c r="I390" i="18"/>
  <c r="H390" i="18"/>
  <c r="L389" i="18"/>
  <c r="I389" i="18"/>
  <c r="H389" i="18"/>
  <c r="L388" i="18"/>
  <c r="I388" i="18"/>
  <c r="H388" i="18"/>
  <c r="L387" i="18"/>
  <c r="I387" i="18"/>
  <c r="H387" i="18"/>
  <c r="L386" i="18"/>
  <c r="I386" i="18"/>
  <c r="H386" i="18"/>
  <c r="L385" i="18"/>
  <c r="I385" i="18"/>
  <c r="H385" i="18"/>
  <c r="L384" i="18"/>
  <c r="I384" i="18"/>
  <c r="H384" i="18"/>
  <c r="L383" i="18"/>
  <c r="I383" i="18"/>
  <c r="H383" i="18"/>
  <c r="L382" i="18"/>
  <c r="I382" i="18"/>
  <c r="H382" i="18"/>
  <c r="L381" i="18"/>
  <c r="I381" i="18"/>
  <c r="H381" i="18"/>
  <c r="L380" i="18"/>
  <c r="I380" i="18"/>
  <c r="H380" i="18"/>
  <c r="L379" i="18"/>
  <c r="I379" i="18"/>
  <c r="H379" i="18"/>
  <c r="L378" i="18"/>
  <c r="I378" i="18"/>
  <c r="H378" i="18"/>
  <c r="L377" i="18"/>
  <c r="I377" i="18"/>
  <c r="H377" i="18"/>
  <c r="L376" i="18"/>
  <c r="I376" i="18"/>
  <c r="H376" i="18"/>
  <c r="L375" i="18"/>
  <c r="I375" i="18"/>
  <c r="H375" i="18"/>
  <c r="M374" i="18"/>
  <c r="L374" i="18"/>
  <c r="I374" i="18"/>
  <c r="H374" i="18"/>
  <c r="M373" i="18"/>
  <c r="L373" i="18"/>
  <c r="I373" i="18"/>
  <c r="H373" i="18"/>
  <c r="L372" i="18"/>
  <c r="I372" i="18"/>
  <c r="H372" i="18"/>
  <c r="L371" i="18"/>
  <c r="I371" i="18"/>
  <c r="H371" i="18"/>
  <c r="L370" i="18"/>
  <c r="I370" i="18"/>
  <c r="H370" i="18"/>
  <c r="L369" i="18"/>
  <c r="I369" i="18"/>
  <c r="H369" i="18"/>
  <c r="L368" i="18"/>
  <c r="I368" i="18"/>
  <c r="H368" i="18"/>
  <c r="L367" i="18"/>
  <c r="I367" i="18"/>
  <c r="H367" i="18"/>
  <c r="L366" i="18"/>
  <c r="I366" i="18"/>
  <c r="H366" i="18"/>
  <c r="L365" i="18"/>
  <c r="I365" i="18"/>
  <c r="H365" i="18"/>
  <c r="L364" i="18"/>
  <c r="I364" i="18"/>
  <c r="H364" i="18"/>
  <c r="L363" i="18"/>
  <c r="I363" i="18"/>
  <c r="H363" i="18"/>
  <c r="L362" i="18"/>
  <c r="I362" i="18"/>
  <c r="H362" i="18"/>
  <c r="L361" i="18"/>
  <c r="I361" i="18"/>
  <c r="H361" i="18"/>
  <c r="L360" i="18"/>
  <c r="I360" i="18"/>
  <c r="H360" i="18"/>
  <c r="L359" i="18"/>
  <c r="I359" i="18"/>
  <c r="H359" i="18"/>
  <c r="L358" i="18"/>
  <c r="I358" i="18"/>
  <c r="H358" i="18"/>
  <c r="L357" i="18"/>
  <c r="I357" i="18"/>
  <c r="H357" i="18"/>
  <c r="L356" i="18"/>
  <c r="I356" i="18"/>
  <c r="H356" i="18"/>
  <c r="L355" i="18"/>
  <c r="I355" i="18"/>
  <c r="H355" i="18"/>
  <c r="L354" i="18"/>
  <c r="I354" i="18"/>
  <c r="H354" i="18"/>
  <c r="L353" i="18"/>
  <c r="I353" i="18"/>
  <c r="H353" i="18"/>
  <c r="L352" i="18"/>
  <c r="I352" i="18"/>
  <c r="H352" i="18"/>
  <c r="L351" i="18"/>
  <c r="I351" i="18"/>
  <c r="H351" i="18"/>
  <c r="L350" i="18"/>
  <c r="I350" i="18"/>
  <c r="H350" i="18"/>
  <c r="L349" i="18"/>
  <c r="I349" i="18"/>
  <c r="H349" i="18"/>
  <c r="L348" i="18"/>
  <c r="I348" i="18"/>
  <c r="H348" i="18"/>
  <c r="L347" i="18"/>
  <c r="I347" i="18"/>
  <c r="H347" i="18"/>
  <c r="L346" i="18"/>
  <c r="I346" i="18"/>
  <c r="H346" i="18"/>
  <c r="L345" i="18"/>
  <c r="I345" i="18"/>
  <c r="H345" i="18"/>
  <c r="L344" i="18"/>
  <c r="I344" i="18"/>
  <c r="H344" i="18"/>
  <c r="L343" i="18"/>
  <c r="I343" i="18"/>
  <c r="H343" i="18"/>
  <c r="M342" i="18"/>
  <c r="L342" i="18"/>
  <c r="I342" i="18"/>
  <c r="H342" i="18"/>
  <c r="L341" i="18"/>
  <c r="I341" i="18"/>
  <c r="H341" i="18"/>
  <c r="L340" i="18"/>
  <c r="I340" i="18"/>
  <c r="H340" i="18"/>
  <c r="L339" i="18"/>
  <c r="I339" i="18"/>
  <c r="H339" i="18"/>
  <c r="L338" i="18"/>
  <c r="I338" i="18"/>
  <c r="H338" i="18"/>
  <c r="L337" i="18"/>
  <c r="I337" i="18"/>
  <c r="H337" i="18"/>
  <c r="L336" i="18"/>
  <c r="I336" i="18"/>
  <c r="H336" i="18"/>
  <c r="L335" i="18"/>
  <c r="I335" i="18"/>
  <c r="H335" i="18"/>
  <c r="L334" i="18"/>
  <c r="I334" i="18"/>
  <c r="H334" i="18"/>
  <c r="L333" i="18"/>
  <c r="I333" i="18"/>
  <c r="H333" i="18"/>
  <c r="L332" i="18"/>
  <c r="I332" i="18"/>
  <c r="H332" i="18"/>
  <c r="L331" i="18"/>
  <c r="I331" i="18"/>
  <c r="H331" i="18"/>
  <c r="L330" i="18"/>
  <c r="I330" i="18"/>
  <c r="H330" i="18"/>
  <c r="L329" i="18"/>
  <c r="I329" i="18"/>
  <c r="H329" i="18"/>
  <c r="L328" i="18"/>
  <c r="I328" i="18"/>
  <c r="H328" i="18"/>
  <c r="L327" i="18"/>
  <c r="I327" i="18"/>
  <c r="H327" i="18"/>
  <c r="L326" i="18"/>
  <c r="I326" i="18"/>
  <c r="H326" i="18"/>
  <c r="L325" i="18"/>
  <c r="I325" i="18"/>
  <c r="H325" i="18"/>
  <c r="L324" i="18"/>
  <c r="I324" i="18"/>
  <c r="H324" i="18"/>
  <c r="L323" i="18"/>
  <c r="I323" i="18"/>
  <c r="H323" i="18"/>
  <c r="L322" i="18"/>
  <c r="I322" i="18"/>
  <c r="H322" i="18"/>
  <c r="L321" i="18"/>
  <c r="I321" i="18"/>
  <c r="H321" i="18"/>
  <c r="L320" i="18"/>
  <c r="I320" i="18"/>
  <c r="H320" i="18"/>
  <c r="L319" i="18"/>
  <c r="I319" i="18"/>
  <c r="H319" i="18"/>
  <c r="L318" i="18"/>
  <c r="I318" i="18"/>
  <c r="H318" i="18"/>
  <c r="L317" i="18"/>
  <c r="I317" i="18"/>
  <c r="H317" i="18"/>
  <c r="L316" i="18"/>
  <c r="I316" i="18"/>
  <c r="H316" i="18"/>
  <c r="L315" i="18"/>
  <c r="I315" i="18"/>
  <c r="H315" i="18"/>
  <c r="L314" i="18"/>
  <c r="I314" i="18"/>
  <c r="H314" i="18"/>
  <c r="L313" i="18"/>
  <c r="I313" i="18"/>
  <c r="H313" i="18"/>
  <c r="L312" i="18"/>
  <c r="I312" i="18"/>
  <c r="H312" i="18"/>
  <c r="L311" i="18"/>
  <c r="I311" i="18"/>
  <c r="H311" i="18"/>
  <c r="L310" i="18"/>
  <c r="I310" i="18"/>
  <c r="H310" i="18"/>
  <c r="L309" i="18"/>
  <c r="I309" i="18"/>
  <c r="H309" i="18"/>
  <c r="L308" i="18"/>
  <c r="I308" i="18"/>
  <c r="H308" i="18"/>
  <c r="L307" i="18"/>
  <c r="I307" i="18"/>
  <c r="H307" i="18"/>
  <c r="L306" i="18"/>
  <c r="I306" i="18"/>
  <c r="H306" i="18"/>
  <c r="L305" i="18"/>
  <c r="I305" i="18"/>
  <c r="H305" i="18"/>
  <c r="L304" i="18"/>
  <c r="I304" i="18"/>
  <c r="H304" i="18"/>
  <c r="L303" i="18"/>
  <c r="I303" i="18"/>
  <c r="H303" i="18"/>
  <c r="L302" i="18"/>
  <c r="I302" i="18"/>
  <c r="H302" i="18"/>
  <c r="L301" i="18"/>
  <c r="I301" i="18"/>
  <c r="H301" i="18"/>
  <c r="L300" i="18"/>
  <c r="I300" i="18"/>
  <c r="H300" i="18"/>
  <c r="L299" i="18"/>
  <c r="I299" i="18"/>
  <c r="H299" i="18"/>
  <c r="L298" i="18"/>
  <c r="I298" i="18"/>
  <c r="H298" i="18"/>
  <c r="L297" i="18"/>
  <c r="I297" i="18"/>
  <c r="H297" i="18"/>
  <c r="L296" i="18"/>
  <c r="I296" i="18"/>
  <c r="H296" i="18"/>
  <c r="L295" i="18"/>
  <c r="I295" i="18"/>
  <c r="H295" i="18"/>
  <c r="L294" i="18"/>
  <c r="I294" i="18"/>
  <c r="H294" i="18"/>
  <c r="L293" i="18"/>
  <c r="I293" i="18"/>
  <c r="H293" i="18"/>
  <c r="L292" i="18"/>
  <c r="I292" i="18"/>
  <c r="H292" i="18"/>
  <c r="L291" i="18"/>
  <c r="I291" i="18"/>
  <c r="H291" i="18"/>
  <c r="L290" i="18"/>
  <c r="I290" i="18"/>
  <c r="H290" i="18"/>
  <c r="L289" i="18"/>
  <c r="I289" i="18"/>
  <c r="H289" i="18"/>
  <c r="L288" i="18"/>
  <c r="I288" i="18"/>
  <c r="H288" i="18"/>
  <c r="L287" i="18"/>
  <c r="I287" i="18"/>
  <c r="H287" i="18"/>
  <c r="L286" i="18"/>
  <c r="I286" i="18"/>
  <c r="H286" i="18"/>
  <c r="L285" i="18"/>
  <c r="I285" i="18"/>
  <c r="H285" i="18"/>
  <c r="L284" i="18"/>
  <c r="I284" i="18"/>
  <c r="H284" i="18"/>
  <c r="L283" i="18"/>
  <c r="I283" i="18"/>
  <c r="H283" i="18"/>
  <c r="L282" i="18"/>
  <c r="I282" i="18"/>
  <c r="H282" i="18"/>
  <c r="L281" i="18"/>
  <c r="I281" i="18"/>
  <c r="H281" i="18"/>
  <c r="L280" i="18"/>
  <c r="I280" i="18"/>
  <c r="H280" i="18"/>
  <c r="L279" i="18"/>
  <c r="I279" i="18"/>
  <c r="H279" i="18"/>
  <c r="L278" i="18"/>
  <c r="I278" i="18"/>
  <c r="H278" i="18"/>
  <c r="L277" i="18"/>
  <c r="I277" i="18"/>
  <c r="H277" i="18"/>
  <c r="L276" i="18"/>
  <c r="I276" i="18"/>
  <c r="H276" i="18"/>
  <c r="L275" i="18"/>
  <c r="I275" i="18"/>
  <c r="H275" i="18"/>
  <c r="L274" i="18"/>
  <c r="I274" i="18"/>
  <c r="H274" i="18"/>
  <c r="L273" i="18"/>
  <c r="I273" i="18"/>
  <c r="H273" i="18"/>
  <c r="L272" i="18"/>
  <c r="I272" i="18"/>
  <c r="H272" i="18"/>
  <c r="L271" i="18"/>
  <c r="I271" i="18"/>
  <c r="H271" i="18"/>
  <c r="L270" i="18"/>
  <c r="I270" i="18"/>
  <c r="H270" i="18"/>
  <c r="L269" i="18"/>
  <c r="I269" i="18"/>
  <c r="H269" i="18"/>
  <c r="L268" i="18"/>
  <c r="I268" i="18"/>
  <c r="H268" i="18"/>
  <c r="L267" i="18"/>
  <c r="I267" i="18"/>
  <c r="H267" i="18"/>
  <c r="L266" i="18"/>
  <c r="I266" i="18"/>
  <c r="H266" i="18"/>
  <c r="L265" i="18"/>
  <c r="I265" i="18"/>
  <c r="H265" i="18"/>
  <c r="L264" i="18"/>
  <c r="I264" i="18"/>
  <c r="H264" i="18"/>
  <c r="L263" i="18"/>
  <c r="I263" i="18"/>
  <c r="H263" i="18"/>
  <c r="L262" i="18"/>
  <c r="I262" i="18"/>
  <c r="H262" i="18"/>
  <c r="L261" i="18"/>
  <c r="I261" i="18"/>
  <c r="H261" i="18"/>
  <c r="L260" i="18"/>
  <c r="I260" i="18"/>
  <c r="H260" i="18"/>
  <c r="L259" i="18"/>
  <c r="I259" i="18"/>
  <c r="H259" i="18"/>
  <c r="L258" i="18"/>
  <c r="I258" i="18"/>
  <c r="H258" i="18"/>
  <c r="L257" i="18"/>
  <c r="I257" i="18"/>
  <c r="H257" i="18"/>
  <c r="L256" i="18"/>
  <c r="I256" i="18"/>
  <c r="H256" i="18"/>
  <c r="L255" i="18"/>
  <c r="I255" i="18"/>
  <c r="H255" i="18"/>
  <c r="L254" i="18"/>
  <c r="I254" i="18"/>
  <c r="H254" i="18"/>
  <c r="L253" i="18"/>
  <c r="I253" i="18"/>
  <c r="H253" i="18"/>
  <c r="L252" i="18"/>
  <c r="I252" i="18"/>
  <c r="H252" i="18"/>
  <c r="L251" i="18"/>
  <c r="I251" i="18"/>
  <c r="H251" i="18"/>
  <c r="L250" i="18"/>
  <c r="I250" i="18"/>
  <c r="H250" i="18"/>
  <c r="L249" i="18"/>
  <c r="I249" i="18"/>
  <c r="H249" i="18"/>
  <c r="L248" i="18"/>
  <c r="I248" i="18"/>
  <c r="H248" i="18"/>
  <c r="L247" i="18"/>
  <c r="I247" i="18"/>
  <c r="H247" i="18"/>
  <c r="L246" i="18"/>
  <c r="I246" i="18"/>
  <c r="H246" i="18"/>
  <c r="L245" i="18"/>
  <c r="I245" i="18"/>
  <c r="H245" i="18"/>
  <c r="L244" i="18"/>
  <c r="I244" i="18"/>
  <c r="H244" i="18"/>
  <c r="L243" i="18"/>
  <c r="I243" i="18"/>
  <c r="H243" i="18"/>
  <c r="L242" i="18"/>
  <c r="I242" i="18"/>
  <c r="H242" i="18"/>
  <c r="L241" i="18"/>
  <c r="I241" i="18"/>
  <c r="H241" i="18"/>
  <c r="L240" i="18"/>
  <c r="I240" i="18"/>
  <c r="H240" i="18"/>
  <c r="L239" i="18"/>
  <c r="I239" i="18"/>
  <c r="H239" i="18"/>
  <c r="L238" i="18"/>
  <c r="I238" i="18"/>
  <c r="H238" i="18"/>
  <c r="L237" i="18"/>
  <c r="I237" i="18"/>
  <c r="H237" i="18"/>
  <c r="L236" i="18"/>
  <c r="I236" i="18"/>
  <c r="H236" i="18"/>
  <c r="L235" i="18"/>
  <c r="I235" i="18"/>
  <c r="H235" i="18"/>
  <c r="L234" i="18"/>
  <c r="I234" i="18"/>
  <c r="H234" i="18"/>
  <c r="L233" i="18"/>
  <c r="I233" i="18"/>
  <c r="H233" i="18"/>
  <c r="L232" i="18"/>
  <c r="I232" i="18"/>
  <c r="H232" i="18"/>
  <c r="L231" i="18"/>
  <c r="I231" i="18"/>
  <c r="H231" i="18"/>
  <c r="L230" i="18"/>
  <c r="I230" i="18"/>
  <c r="H230" i="18"/>
  <c r="L229" i="18"/>
  <c r="I229" i="18"/>
  <c r="H229" i="18"/>
  <c r="L228" i="18"/>
  <c r="I228" i="18"/>
  <c r="H228" i="18"/>
  <c r="L227" i="18"/>
  <c r="I227" i="18"/>
  <c r="H227" i="18"/>
  <c r="L226" i="18"/>
  <c r="I226" i="18"/>
  <c r="H226" i="18"/>
  <c r="L225" i="18"/>
  <c r="I225" i="18"/>
  <c r="H225" i="18"/>
  <c r="L224" i="18"/>
  <c r="I224" i="18"/>
  <c r="H224" i="18"/>
  <c r="L223" i="18"/>
  <c r="I223" i="18"/>
  <c r="H223" i="18"/>
  <c r="L222" i="18"/>
  <c r="I222" i="18"/>
  <c r="H222" i="18"/>
  <c r="L221" i="18"/>
  <c r="I221" i="18"/>
  <c r="H221" i="18"/>
  <c r="L220" i="18"/>
  <c r="I220" i="18"/>
  <c r="H220" i="18"/>
  <c r="L219" i="18"/>
  <c r="I219" i="18"/>
  <c r="H219" i="18"/>
  <c r="L218" i="18"/>
  <c r="I218" i="18"/>
  <c r="H218" i="18"/>
  <c r="L217" i="18"/>
  <c r="I217" i="18"/>
  <c r="H217" i="18"/>
  <c r="L216" i="18"/>
  <c r="I216" i="18"/>
  <c r="H216" i="18"/>
  <c r="L215" i="18"/>
  <c r="I215" i="18"/>
  <c r="H215" i="18"/>
  <c r="L214" i="18"/>
  <c r="I214" i="18"/>
  <c r="H214" i="18"/>
  <c r="L213" i="18"/>
  <c r="I213" i="18"/>
  <c r="H213" i="18"/>
  <c r="L212" i="18"/>
  <c r="I212" i="18"/>
  <c r="H212" i="18"/>
  <c r="L211" i="18"/>
  <c r="I211" i="18"/>
  <c r="H211" i="18"/>
  <c r="L210" i="18"/>
  <c r="I210" i="18"/>
  <c r="H210" i="18"/>
  <c r="L209" i="18"/>
  <c r="I209" i="18"/>
  <c r="H209" i="18"/>
  <c r="L208" i="18"/>
  <c r="I208" i="18"/>
  <c r="H208" i="18"/>
  <c r="L207" i="18"/>
  <c r="I207" i="18"/>
  <c r="H207" i="18"/>
  <c r="L206" i="18"/>
  <c r="I206" i="18"/>
  <c r="H206" i="18"/>
  <c r="L205" i="18"/>
  <c r="I205" i="18"/>
  <c r="H205" i="18"/>
  <c r="L204" i="18"/>
  <c r="I204" i="18"/>
  <c r="H204" i="18"/>
  <c r="L203" i="18"/>
  <c r="I203" i="18"/>
  <c r="H203" i="18"/>
  <c r="L202" i="18"/>
  <c r="I202" i="18"/>
  <c r="H202" i="18"/>
  <c r="L201" i="18"/>
  <c r="I201" i="18"/>
  <c r="H201" i="18"/>
  <c r="L200" i="18"/>
  <c r="I200" i="18"/>
  <c r="H200" i="18"/>
  <c r="L199" i="18"/>
  <c r="I199" i="18"/>
  <c r="H199" i="18"/>
  <c r="L198" i="18"/>
  <c r="I198" i="18"/>
  <c r="H198" i="18"/>
  <c r="L197" i="18"/>
  <c r="I197" i="18"/>
  <c r="H197" i="18"/>
  <c r="L196" i="18"/>
  <c r="I196" i="18"/>
  <c r="H196" i="18"/>
  <c r="M195" i="18"/>
  <c r="L195" i="18"/>
  <c r="I195" i="18"/>
  <c r="H195" i="18"/>
  <c r="L194" i="18"/>
  <c r="I194" i="18"/>
  <c r="H194" i="18"/>
  <c r="L193" i="18"/>
  <c r="I193" i="18"/>
  <c r="H193" i="18"/>
  <c r="L192" i="18"/>
  <c r="I192" i="18"/>
  <c r="H192" i="18"/>
  <c r="L191" i="18"/>
  <c r="I191" i="18"/>
  <c r="H191" i="18"/>
  <c r="L190" i="18"/>
  <c r="I190" i="18"/>
  <c r="H190" i="18"/>
  <c r="L189" i="18"/>
  <c r="I189" i="18"/>
  <c r="H189" i="18"/>
  <c r="L188" i="18"/>
  <c r="I188" i="18"/>
  <c r="H188" i="18"/>
  <c r="L187" i="18"/>
  <c r="I187" i="18"/>
  <c r="H187" i="18"/>
  <c r="L186" i="18"/>
  <c r="I186" i="18"/>
  <c r="H186" i="18"/>
  <c r="L185" i="18"/>
  <c r="I185" i="18"/>
  <c r="H185" i="18"/>
  <c r="L184" i="18"/>
  <c r="I184" i="18"/>
  <c r="H184" i="18"/>
  <c r="L183" i="18"/>
  <c r="I183" i="18"/>
  <c r="H183" i="18"/>
  <c r="L182" i="18"/>
  <c r="I182" i="18"/>
  <c r="H182" i="18"/>
  <c r="L181" i="18"/>
  <c r="I181" i="18"/>
  <c r="H181" i="18"/>
  <c r="L180" i="18"/>
  <c r="I180" i="18"/>
  <c r="H180" i="18"/>
  <c r="L179" i="18"/>
  <c r="I179" i="18"/>
  <c r="H179" i="18"/>
  <c r="L178" i="18"/>
  <c r="I178" i="18"/>
  <c r="H178" i="18"/>
  <c r="L177" i="18"/>
  <c r="I177" i="18"/>
  <c r="H177" i="18"/>
  <c r="L176" i="18"/>
  <c r="I176" i="18"/>
  <c r="H176" i="18"/>
  <c r="L175" i="18"/>
  <c r="I175" i="18"/>
  <c r="H175" i="18"/>
  <c r="L174" i="18"/>
  <c r="I174" i="18"/>
  <c r="H174" i="18"/>
  <c r="L173" i="18"/>
  <c r="I173" i="18"/>
  <c r="H173" i="18"/>
  <c r="L172" i="18"/>
  <c r="I172" i="18"/>
  <c r="H172" i="18"/>
  <c r="L171" i="18"/>
  <c r="I171" i="18"/>
  <c r="H171" i="18"/>
  <c r="L170" i="18"/>
  <c r="I170" i="18"/>
  <c r="H170" i="18"/>
  <c r="L169" i="18"/>
  <c r="I169" i="18"/>
  <c r="H169" i="18"/>
  <c r="L168" i="18"/>
  <c r="I168" i="18"/>
  <c r="H168" i="18"/>
  <c r="L167" i="18"/>
  <c r="I167" i="18"/>
  <c r="H167" i="18"/>
  <c r="L166" i="18"/>
  <c r="I166" i="18"/>
  <c r="H166" i="18"/>
  <c r="L165" i="18"/>
  <c r="I165" i="18"/>
  <c r="H165" i="18"/>
  <c r="L164" i="18"/>
  <c r="I164" i="18"/>
  <c r="H164" i="18"/>
  <c r="L163" i="18"/>
  <c r="I163" i="18"/>
  <c r="H163" i="18"/>
  <c r="L162" i="18"/>
  <c r="I162" i="18"/>
  <c r="H162" i="18"/>
  <c r="L161" i="18"/>
  <c r="I161" i="18"/>
  <c r="H161" i="18"/>
  <c r="L160" i="18"/>
  <c r="I160" i="18"/>
  <c r="H160" i="18"/>
  <c r="L159" i="18"/>
  <c r="I159" i="18"/>
  <c r="H159" i="18"/>
  <c r="L158" i="18"/>
  <c r="I158" i="18"/>
  <c r="H158" i="18"/>
  <c r="L157" i="18"/>
  <c r="I157" i="18"/>
  <c r="H157" i="18"/>
  <c r="L156" i="18"/>
  <c r="I156" i="18"/>
  <c r="H156" i="18"/>
  <c r="L155" i="18"/>
  <c r="I155" i="18"/>
  <c r="H155" i="18"/>
  <c r="L154" i="18"/>
  <c r="I154" i="18"/>
  <c r="H154" i="18"/>
  <c r="L153" i="18"/>
  <c r="I153" i="18"/>
  <c r="H153" i="18"/>
  <c r="L152" i="18"/>
  <c r="I152" i="18"/>
  <c r="H152" i="18"/>
  <c r="M151" i="18"/>
  <c r="L151" i="18"/>
  <c r="I151" i="18"/>
  <c r="H151" i="18"/>
  <c r="L150" i="18"/>
  <c r="I150" i="18"/>
  <c r="H150" i="18"/>
  <c r="L149" i="18"/>
  <c r="I149" i="18"/>
  <c r="H149" i="18"/>
  <c r="L148" i="18"/>
  <c r="I148" i="18"/>
  <c r="H148" i="18"/>
  <c r="L147" i="18"/>
  <c r="I147" i="18"/>
  <c r="H147" i="18"/>
  <c r="L146" i="18"/>
  <c r="I146" i="18"/>
  <c r="H146" i="18"/>
  <c r="L145" i="18"/>
  <c r="I145" i="18"/>
  <c r="H145" i="18"/>
  <c r="L144" i="18"/>
  <c r="I144" i="18"/>
  <c r="H144" i="18"/>
  <c r="L143" i="18"/>
  <c r="I143" i="18"/>
  <c r="H143" i="18"/>
  <c r="L142" i="18"/>
  <c r="I142" i="18"/>
  <c r="H142" i="18"/>
  <c r="L141" i="18"/>
  <c r="I141" i="18"/>
  <c r="H141" i="18"/>
  <c r="L140" i="18"/>
  <c r="I140" i="18"/>
  <c r="H140" i="18"/>
  <c r="L139" i="18"/>
  <c r="I139" i="18"/>
  <c r="H139" i="18"/>
  <c r="M138" i="18"/>
  <c r="L138" i="18"/>
  <c r="I138" i="18"/>
  <c r="H138" i="18"/>
  <c r="L137" i="18"/>
  <c r="I137" i="18"/>
  <c r="H137" i="18"/>
  <c r="L136" i="18"/>
  <c r="I136" i="18"/>
  <c r="H136" i="18"/>
  <c r="L135" i="18"/>
  <c r="I135" i="18"/>
  <c r="H135" i="18"/>
  <c r="L134" i="18"/>
  <c r="I134" i="18"/>
  <c r="H134" i="18"/>
  <c r="L133" i="18"/>
  <c r="I133" i="18"/>
  <c r="H133" i="18"/>
  <c r="L132" i="18"/>
  <c r="I132" i="18"/>
  <c r="H132" i="18"/>
  <c r="L131" i="18"/>
  <c r="I131" i="18"/>
  <c r="H131" i="18"/>
  <c r="L130" i="18"/>
  <c r="I130" i="18"/>
  <c r="H130" i="18"/>
  <c r="L129" i="18"/>
  <c r="I129" i="18"/>
  <c r="H129" i="18"/>
  <c r="L128" i="18"/>
  <c r="I128" i="18"/>
  <c r="H128" i="18"/>
  <c r="L127" i="18"/>
  <c r="I127" i="18"/>
  <c r="H127" i="18"/>
  <c r="L126" i="18"/>
  <c r="I126" i="18"/>
  <c r="H126" i="18"/>
  <c r="L125" i="18"/>
  <c r="I125" i="18"/>
  <c r="H125" i="18"/>
  <c r="L124" i="18"/>
  <c r="I124" i="18"/>
  <c r="H124" i="18"/>
  <c r="L123" i="18"/>
  <c r="I123" i="18"/>
  <c r="H123" i="18"/>
  <c r="L122" i="18"/>
  <c r="I122" i="18"/>
  <c r="H122" i="18"/>
  <c r="L121" i="18"/>
  <c r="I121" i="18"/>
  <c r="H121" i="18"/>
  <c r="L120" i="18"/>
  <c r="I120" i="18"/>
  <c r="H120" i="18"/>
  <c r="L119" i="18"/>
  <c r="I119" i="18"/>
  <c r="H119" i="18"/>
  <c r="M118" i="18"/>
  <c r="L118" i="18"/>
  <c r="I118" i="18"/>
  <c r="H118" i="18"/>
  <c r="L117" i="18"/>
  <c r="I117" i="18"/>
  <c r="H117" i="18"/>
  <c r="L116" i="18"/>
  <c r="I116" i="18"/>
  <c r="H116" i="18"/>
  <c r="L115" i="18"/>
  <c r="I115" i="18"/>
  <c r="H115" i="18"/>
  <c r="L114" i="18"/>
  <c r="I114" i="18"/>
  <c r="H114" i="18"/>
  <c r="L113" i="18"/>
  <c r="I113" i="18"/>
  <c r="H113" i="18"/>
  <c r="L112" i="18"/>
  <c r="I112" i="18"/>
  <c r="H112" i="18"/>
  <c r="L111" i="18"/>
  <c r="I111" i="18"/>
  <c r="H111" i="18"/>
  <c r="L110" i="18"/>
  <c r="I110" i="18"/>
  <c r="H110" i="18"/>
  <c r="L109" i="18"/>
  <c r="I109" i="18"/>
  <c r="H109" i="18"/>
  <c r="L108" i="18"/>
  <c r="I108" i="18"/>
  <c r="H108" i="18"/>
  <c r="L107" i="18"/>
  <c r="I107" i="18"/>
  <c r="H107" i="18"/>
  <c r="L106" i="18"/>
  <c r="I106" i="18"/>
  <c r="H106" i="18"/>
  <c r="L105" i="18"/>
  <c r="I105" i="18"/>
  <c r="H105" i="18"/>
  <c r="L104" i="18"/>
  <c r="I104" i="18"/>
  <c r="H104" i="18"/>
  <c r="L103" i="18"/>
  <c r="I103" i="18"/>
  <c r="H103" i="18"/>
  <c r="L102" i="18"/>
  <c r="I102" i="18"/>
  <c r="H102" i="18"/>
  <c r="L101" i="18"/>
  <c r="I101" i="18"/>
  <c r="H101" i="18"/>
  <c r="L100" i="18"/>
  <c r="I100" i="18"/>
  <c r="H100" i="18"/>
  <c r="L99" i="18"/>
  <c r="I99" i="18"/>
  <c r="H99" i="18"/>
  <c r="L98" i="18"/>
  <c r="I98" i="18"/>
  <c r="H98" i="18"/>
  <c r="L97" i="18"/>
  <c r="I97" i="18"/>
  <c r="H97" i="18"/>
  <c r="L96" i="18"/>
  <c r="I96" i="18"/>
  <c r="H96" i="18"/>
  <c r="L95" i="18"/>
  <c r="I95" i="18"/>
  <c r="H95" i="18"/>
  <c r="L94" i="18"/>
  <c r="I94" i="18"/>
  <c r="H94" i="18"/>
  <c r="M93" i="18"/>
  <c r="L93" i="18"/>
  <c r="I93" i="18"/>
  <c r="H93" i="18"/>
  <c r="L92" i="18"/>
  <c r="I92" i="18"/>
  <c r="H92" i="18"/>
  <c r="L91" i="18"/>
  <c r="I91" i="18"/>
  <c r="H91" i="18"/>
  <c r="L90" i="18"/>
  <c r="I90" i="18"/>
  <c r="H90" i="18"/>
  <c r="L89" i="18"/>
  <c r="I89" i="18"/>
  <c r="H89" i="18"/>
  <c r="L88" i="18"/>
  <c r="I88" i="18"/>
  <c r="H88" i="18"/>
  <c r="L87" i="18"/>
  <c r="I87" i="18"/>
  <c r="H87" i="18"/>
  <c r="L86" i="18"/>
  <c r="I86" i="18"/>
  <c r="H86" i="18"/>
  <c r="L85" i="18"/>
  <c r="I85" i="18"/>
  <c r="H85" i="18"/>
  <c r="L84" i="18"/>
  <c r="I84" i="18"/>
  <c r="H84" i="18"/>
  <c r="L83" i="18"/>
  <c r="I83" i="18"/>
  <c r="H83" i="18"/>
  <c r="L82" i="18"/>
  <c r="I82" i="18"/>
  <c r="H82" i="18"/>
  <c r="L81" i="18"/>
  <c r="I81" i="18"/>
  <c r="H81" i="18"/>
  <c r="L80" i="18"/>
  <c r="I80" i="18"/>
  <c r="H80" i="18"/>
  <c r="L79" i="18"/>
  <c r="I79" i="18"/>
  <c r="H79" i="18"/>
  <c r="L78" i="18"/>
  <c r="I78" i="18"/>
  <c r="H78" i="18"/>
  <c r="L77" i="18"/>
  <c r="I77" i="18"/>
  <c r="H77" i="18"/>
  <c r="L76" i="18"/>
  <c r="I76" i="18"/>
  <c r="H76" i="18"/>
  <c r="L75" i="18"/>
  <c r="I75" i="18"/>
  <c r="H75" i="18"/>
  <c r="L74" i="18"/>
  <c r="I74" i="18"/>
  <c r="H74" i="18"/>
  <c r="L73" i="18"/>
  <c r="I73" i="18"/>
  <c r="H73" i="18"/>
  <c r="L72" i="18"/>
  <c r="I72" i="18"/>
  <c r="H72" i="18"/>
  <c r="L71" i="18"/>
  <c r="I71" i="18"/>
  <c r="H71" i="18"/>
  <c r="L70" i="18"/>
  <c r="I70" i="18"/>
  <c r="H70" i="18"/>
  <c r="L69" i="18"/>
  <c r="I69" i="18"/>
  <c r="H69" i="18"/>
  <c r="L68" i="18"/>
  <c r="I68" i="18"/>
  <c r="H68" i="18"/>
  <c r="L67" i="18"/>
  <c r="I67" i="18"/>
  <c r="H67" i="18"/>
  <c r="L66" i="18"/>
  <c r="I66" i="18"/>
  <c r="H66" i="18"/>
  <c r="L65" i="18"/>
  <c r="I65" i="18"/>
  <c r="H65" i="18"/>
  <c r="L64" i="18"/>
  <c r="I64" i="18"/>
  <c r="H64" i="18"/>
  <c r="L63" i="18"/>
  <c r="I63" i="18"/>
  <c r="H63" i="18"/>
  <c r="L62" i="18"/>
  <c r="I62" i="18"/>
  <c r="H62" i="18"/>
  <c r="L61" i="18"/>
  <c r="I61" i="18"/>
  <c r="H61" i="18"/>
  <c r="L60" i="18"/>
  <c r="I60" i="18"/>
  <c r="H60" i="18"/>
  <c r="L59" i="18"/>
  <c r="I59" i="18"/>
  <c r="H59" i="18"/>
  <c r="L58" i="18"/>
  <c r="I58" i="18"/>
  <c r="H58" i="18"/>
  <c r="L57" i="18"/>
  <c r="I57" i="18"/>
  <c r="H57" i="18"/>
  <c r="L56" i="18"/>
  <c r="I56" i="18"/>
  <c r="H56" i="18"/>
  <c r="L55" i="18"/>
  <c r="I55" i="18"/>
  <c r="H55" i="18"/>
  <c r="L54" i="18"/>
  <c r="I54" i="18"/>
  <c r="H54" i="18"/>
  <c r="L53" i="18"/>
  <c r="I53" i="18"/>
  <c r="H53" i="18"/>
  <c r="L52" i="18"/>
  <c r="I52" i="18"/>
  <c r="H52" i="18"/>
  <c r="L51" i="18"/>
  <c r="I51" i="18"/>
  <c r="H51" i="18"/>
  <c r="L50" i="18"/>
  <c r="I50" i="18"/>
  <c r="H50" i="18"/>
  <c r="L49" i="18"/>
  <c r="I49" i="18"/>
  <c r="H49" i="18"/>
  <c r="L48" i="18"/>
  <c r="I48" i="18"/>
  <c r="H48" i="18"/>
  <c r="L47" i="18"/>
  <c r="I47" i="18"/>
  <c r="H47" i="18"/>
  <c r="L46" i="18"/>
  <c r="I46" i="18"/>
  <c r="H46" i="18"/>
  <c r="L45" i="18"/>
  <c r="I45" i="18"/>
  <c r="H45" i="18"/>
  <c r="L44" i="18"/>
  <c r="I44" i="18"/>
  <c r="H44" i="18"/>
  <c r="L43" i="18"/>
  <c r="I43" i="18"/>
  <c r="H43" i="18"/>
  <c r="L42" i="18"/>
  <c r="I42" i="18"/>
  <c r="H42" i="18"/>
  <c r="L41" i="18"/>
  <c r="I41" i="18"/>
  <c r="H41" i="18"/>
  <c r="L40" i="18"/>
  <c r="I40" i="18"/>
  <c r="H40" i="18"/>
  <c r="L39" i="18"/>
  <c r="I39" i="18"/>
  <c r="H39" i="18"/>
  <c r="L38" i="18"/>
  <c r="I38" i="18"/>
  <c r="H38" i="18"/>
  <c r="L37" i="18"/>
  <c r="I37" i="18"/>
  <c r="H37" i="18"/>
  <c r="L36" i="18"/>
  <c r="I36" i="18"/>
  <c r="H36" i="18"/>
  <c r="L35" i="18"/>
  <c r="I35" i="18"/>
  <c r="H35" i="18"/>
  <c r="L34" i="18"/>
  <c r="I34" i="18"/>
  <c r="H34" i="18"/>
  <c r="L33" i="18"/>
  <c r="I33" i="18"/>
  <c r="H33" i="18"/>
  <c r="L32" i="18"/>
  <c r="I32" i="18"/>
  <c r="H32" i="18"/>
  <c r="L31" i="18"/>
  <c r="I31" i="18"/>
  <c r="H31" i="18"/>
  <c r="L30" i="18"/>
  <c r="I30" i="18"/>
  <c r="H30" i="18"/>
  <c r="L29" i="18"/>
  <c r="I29" i="18"/>
  <c r="H29" i="18"/>
  <c r="L28" i="18"/>
  <c r="I28" i="18"/>
  <c r="H28" i="18"/>
  <c r="L27" i="18"/>
  <c r="I27" i="18"/>
  <c r="H27" i="18"/>
  <c r="L26" i="18"/>
  <c r="I26" i="18"/>
  <c r="H26" i="18"/>
  <c r="L25" i="18"/>
  <c r="I25" i="18"/>
  <c r="H25" i="18"/>
  <c r="L24" i="18"/>
  <c r="I24" i="18"/>
  <c r="H24" i="18"/>
  <c r="L23" i="18"/>
  <c r="I23" i="18"/>
  <c r="H23" i="18"/>
  <c r="L22" i="18"/>
  <c r="I22" i="18"/>
  <c r="H22" i="18"/>
  <c r="L21" i="18"/>
  <c r="I21" i="18"/>
  <c r="H21" i="18"/>
  <c r="L20" i="18"/>
  <c r="I20" i="18"/>
  <c r="H20" i="18"/>
  <c r="L19" i="18"/>
  <c r="I19" i="18"/>
  <c r="H19" i="18"/>
  <c r="L18" i="18"/>
  <c r="I18" i="18"/>
  <c r="H18" i="18"/>
  <c r="L17" i="18"/>
  <c r="I17" i="18"/>
  <c r="H17" i="18"/>
  <c r="L16" i="18"/>
  <c r="I16" i="18"/>
  <c r="H16" i="18"/>
  <c r="L15" i="18"/>
  <c r="H15" i="18"/>
  <c r="L14" i="18"/>
  <c r="I14" i="18"/>
  <c r="H14" i="18"/>
  <c r="L13" i="18"/>
  <c r="I13" i="18"/>
  <c r="H13" i="18"/>
  <c r="M12" i="18"/>
  <c r="L12" i="18"/>
  <c r="I12" i="18"/>
  <c r="H12" i="18"/>
  <c r="L11" i="18"/>
  <c r="I11" i="18"/>
  <c r="H11" i="18"/>
  <c r="L10" i="18"/>
  <c r="I10" i="18"/>
  <c r="H10" i="18"/>
  <c r="L9" i="18"/>
  <c r="I9" i="18"/>
  <c r="H9" i="18"/>
  <c r="M8" i="18"/>
  <c r="L8" i="18"/>
  <c r="I8" i="18"/>
  <c r="H8" i="18"/>
  <c r="L7" i="18"/>
  <c r="I7" i="18"/>
  <c r="H7" i="18"/>
  <c r="M6" i="18"/>
  <c r="L6" i="18"/>
  <c r="I6" i="18"/>
  <c r="H6" i="18"/>
  <c r="L5" i="18"/>
  <c r="L4" i="18"/>
  <c r="I4" i="18"/>
  <c r="H4" i="18"/>
  <c r="X92" i="14"/>
  <c r="W92" i="14"/>
  <c r="T92" i="14"/>
  <c r="P92" i="14"/>
  <c r="O92" i="14"/>
  <c r="I92" i="14"/>
  <c r="H92" i="14"/>
  <c r="G92" i="14"/>
  <c r="X91" i="14"/>
  <c r="T91" i="14"/>
  <c r="S91" i="14"/>
  <c r="P91" i="14"/>
  <c r="J91" i="14"/>
  <c r="I91" i="14"/>
  <c r="H91" i="14"/>
  <c r="G91" i="14"/>
  <c r="E91" i="14"/>
  <c r="S90" i="14"/>
  <c r="O90" i="14"/>
  <c r="J90" i="14"/>
  <c r="I90" i="14"/>
  <c r="H90" i="14"/>
  <c r="G90" i="14"/>
  <c r="E90" i="14"/>
  <c r="S89" i="14"/>
  <c r="O89" i="14"/>
  <c r="K89" i="14"/>
  <c r="J89" i="14"/>
  <c r="I89" i="14"/>
  <c r="H89" i="14"/>
  <c r="G89" i="14"/>
  <c r="E89" i="14"/>
  <c r="S88" i="14"/>
  <c r="O88" i="14"/>
  <c r="J88" i="14"/>
  <c r="I88" i="14"/>
  <c r="H88" i="14"/>
  <c r="G88" i="14"/>
  <c r="E88" i="14"/>
  <c r="S87" i="14"/>
  <c r="O87" i="14"/>
  <c r="J87" i="14"/>
  <c r="I87" i="14"/>
  <c r="H87" i="14"/>
  <c r="G87" i="14"/>
  <c r="E87" i="14"/>
  <c r="S86" i="14"/>
  <c r="M86" i="14"/>
  <c r="J86" i="14"/>
  <c r="I86" i="14"/>
  <c r="H86" i="14"/>
  <c r="U85" i="14"/>
  <c r="O85" i="14"/>
  <c r="M85" i="14"/>
  <c r="J85" i="14"/>
  <c r="I85" i="14"/>
  <c r="H85" i="14"/>
  <c r="U84" i="14"/>
  <c r="M84" i="14"/>
  <c r="I84" i="14"/>
  <c r="H84" i="14"/>
  <c r="E84" i="14"/>
  <c r="U83" i="14"/>
  <c r="M83" i="14"/>
  <c r="I83" i="14"/>
  <c r="H83" i="14"/>
  <c r="U82" i="14"/>
  <c r="O82" i="14"/>
  <c r="M82" i="14"/>
  <c r="J82" i="14"/>
  <c r="I82" i="14"/>
  <c r="H82" i="14"/>
  <c r="E82" i="14"/>
  <c r="W81" i="14"/>
  <c r="O81" i="14"/>
  <c r="J81" i="14"/>
  <c r="I81" i="14"/>
  <c r="H81" i="14"/>
  <c r="F81" i="14"/>
  <c r="X80" i="14"/>
  <c r="S80" i="14"/>
  <c r="P80" i="14"/>
  <c r="J80" i="14"/>
  <c r="I80" i="14"/>
  <c r="H80" i="14"/>
  <c r="F80" i="14"/>
  <c r="X79" i="14"/>
  <c r="S79" i="14"/>
  <c r="P79" i="14"/>
  <c r="J79" i="14"/>
  <c r="I79" i="14"/>
  <c r="H79" i="14"/>
  <c r="F79" i="14"/>
  <c r="X78" i="14"/>
  <c r="S78" i="14"/>
  <c r="P78" i="14"/>
  <c r="J78" i="14"/>
  <c r="I78" i="14"/>
  <c r="H78" i="14"/>
  <c r="F78" i="14"/>
  <c r="X77" i="14"/>
  <c r="T77" i="14"/>
  <c r="S77" i="14"/>
  <c r="P77" i="14"/>
  <c r="J77" i="14"/>
  <c r="I77" i="14"/>
  <c r="H77" i="14"/>
  <c r="F77" i="14"/>
  <c r="X76" i="14"/>
  <c r="S76" i="14"/>
  <c r="P76" i="14"/>
  <c r="J76" i="14"/>
  <c r="I76" i="14"/>
  <c r="H76" i="14"/>
  <c r="F76" i="14"/>
  <c r="X75" i="14"/>
  <c r="T75" i="14"/>
  <c r="S75" i="14"/>
  <c r="P75" i="14"/>
  <c r="J75" i="14"/>
  <c r="I75" i="14"/>
  <c r="H75" i="14"/>
  <c r="F75" i="14"/>
  <c r="X74" i="14"/>
  <c r="S74" i="14"/>
  <c r="P74" i="14"/>
  <c r="O74" i="14"/>
  <c r="K74" i="14"/>
  <c r="I74" i="14"/>
  <c r="H74" i="14"/>
  <c r="X73" i="14"/>
  <c r="W73" i="14"/>
  <c r="P73" i="14"/>
  <c r="O73" i="14"/>
  <c r="I73" i="14"/>
  <c r="H73" i="14"/>
  <c r="W72" i="14"/>
  <c r="T72" i="14"/>
  <c r="P72" i="14"/>
  <c r="O72" i="14"/>
  <c r="I72" i="14"/>
  <c r="H72" i="14"/>
  <c r="G72" i="14"/>
  <c r="T71" i="14"/>
  <c r="S71" i="14"/>
  <c r="P71" i="14"/>
  <c r="O71" i="14"/>
  <c r="K71" i="14"/>
  <c r="I71" i="14"/>
  <c r="H71" i="14"/>
  <c r="G71" i="14"/>
  <c r="X70" i="14"/>
  <c r="T70" i="14"/>
  <c r="S70" i="14"/>
  <c r="P70" i="14"/>
  <c r="O70" i="14"/>
  <c r="K70" i="14"/>
  <c r="I70" i="14"/>
  <c r="H70" i="14"/>
  <c r="X69" i="14"/>
  <c r="W69" i="14"/>
  <c r="T69" i="14"/>
  <c r="P69" i="14"/>
  <c r="O69" i="14"/>
  <c r="I69" i="14"/>
  <c r="H69" i="14"/>
  <c r="W68" i="14"/>
  <c r="U68" i="14"/>
  <c r="T68" i="14"/>
  <c r="P68" i="14"/>
  <c r="O68" i="14"/>
  <c r="M68" i="14"/>
  <c r="K68" i="14"/>
  <c r="I68" i="14"/>
  <c r="H68" i="14"/>
  <c r="X67" i="14"/>
  <c r="W67" i="14"/>
  <c r="U67" i="14"/>
  <c r="T67" i="14"/>
  <c r="S67" i="14"/>
  <c r="P67" i="14"/>
  <c r="O67" i="14"/>
  <c r="M67" i="14"/>
  <c r="K67" i="14"/>
  <c r="I67" i="14"/>
  <c r="H67" i="14"/>
  <c r="G67" i="14"/>
  <c r="X66" i="14"/>
  <c r="U66" i="14"/>
  <c r="T66" i="14"/>
  <c r="S66" i="14"/>
  <c r="P66" i="14"/>
  <c r="O66" i="14"/>
  <c r="M66" i="14"/>
  <c r="I66" i="14"/>
  <c r="H66" i="14"/>
  <c r="G66" i="14"/>
  <c r="U65" i="14"/>
  <c r="T65" i="14"/>
  <c r="P65" i="14"/>
  <c r="O65" i="14"/>
  <c r="M65" i="14"/>
  <c r="I65" i="14"/>
  <c r="H65" i="14"/>
  <c r="W64" i="14"/>
  <c r="U64" i="14"/>
  <c r="T64" i="14"/>
  <c r="P64" i="14"/>
  <c r="O64" i="14"/>
  <c r="M64" i="14"/>
  <c r="K64" i="14"/>
  <c r="I64" i="14"/>
  <c r="H64" i="14"/>
  <c r="X63" i="14"/>
  <c r="W63" i="14"/>
  <c r="U63" i="14"/>
  <c r="T63" i="14"/>
  <c r="S63" i="14"/>
  <c r="P63" i="14"/>
  <c r="O63" i="14"/>
  <c r="M63" i="14"/>
  <c r="I63" i="14"/>
  <c r="H63" i="14"/>
  <c r="G63" i="14"/>
  <c r="X62" i="14"/>
  <c r="U62" i="14"/>
  <c r="T62" i="14"/>
  <c r="S62" i="14"/>
  <c r="P62" i="14"/>
  <c r="O62" i="14"/>
  <c r="M62" i="14"/>
  <c r="I62" i="14"/>
  <c r="H62" i="14"/>
  <c r="G62" i="14"/>
  <c r="U61" i="14"/>
  <c r="T61" i="14"/>
  <c r="P61" i="14"/>
  <c r="O61" i="14"/>
  <c r="M61" i="14"/>
  <c r="I61" i="14"/>
  <c r="H61" i="14"/>
  <c r="W60" i="14"/>
  <c r="U60" i="14"/>
  <c r="T60" i="14"/>
  <c r="P60" i="14"/>
  <c r="O60" i="14"/>
  <c r="M60" i="14"/>
  <c r="K60" i="14"/>
  <c r="I60" i="14"/>
  <c r="H60" i="14"/>
  <c r="X59" i="14"/>
  <c r="W59" i="14"/>
  <c r="U59" i="14"/>
  <c r="T59" i="14"/>
  <c r="S59" i="14"/>
  <c r="P59" i="14"/>
  <c r="O59" i="14"/>
  <c r="M59" i="14"/>
  <c r="I59" i="14"/>
  <c r="H59" i="14"/>
  <c r="G59" i="14"/>
  <c r="X58" i="14"/>
  <c r="U58" i="14"/>
  <c r="T58" i="14"/>
  <c r="S58" i="14"/>
  <c r="P58" i="14"/>
  <c r="O58" i="14"/>
  <c r="M58" i="14"/>
  <c r="I58" i="14"/>
  <c r="H58" i="14"/>
  <c r="G58" i="14"/>
  <c r="W57" i="14"/>
  <c r="U57" i="14"/>
  <c r="T57" i="14"/>
  <c r="P57" i="14"/>
  <c r="M57" i="14"/>
  <c r="E57" i="14"/>
  <c r="U56" i="14"/>
  <c r="M56" i="14"/>
  <c r="G56" i="14"/>
  <c r="X55" i="14"/>
  <c r="W55" i="14"/>
  <c r="U55" i="14"/>
  <c r="T55" i="14"/>
  <c r="P55" i="14"/>
  <c r="O55" i="14"/>
  <c r="M55" i="14"/>
  <c r="I55" i="14"/>
  <c r="H55" i="14"/>
  <c r="X54" i="14"/>
  <c r="W54" i="14"/>
  <c r="U54" i="14"/>
  <c r="S54" i="14"/>
  <c r="P54" i="14"/>
  <c r="O54" i="14"/>
  <c r="M54" i="14"/>
  <c r="K54" i="14"/>
  <c r="I54" i="14"/>
  <c r="H54" i="14"/>
  <c r="X53" i="14"/>
  <c r="W53" i="14"/>
  <c r="U53" i="14"/>
  <c r="S53" i="14"/>
  <c r="P53" i="14"/>
  <c r="O53" i="14"/>
  <c r="M53" i="14"/>
  <c r="K53" i="14"/>
  <c r="I53" i="14"/>
  <c r="H53" i="14"/>
  <c r="G53" i="14"/>
  <c r="X51" i="14"/>
  <c r="X85" i="14" s="1"/>
  <c r="W51" i="14"/>
  <c r="W91" i="14" s="1"/>
  <c r="V51" i="14"/>
  <c r="U51" i="14"/>
  <c r="U90" i="14" s="1"/>
  <c r="T51" i="14"/>
  <c r="T85" i="14" s="1"/>
  <c r="S51" i="14"/>
  <c r="S81" i="14" s="1"/>
  <c r="R51" i="14"/>
  <c r="Q51" i="14"/>
  <c r="P51" i="14"/>
  <c r="P85" i="14" s="1"/>
  <c r="O51" i="14"/>
  <c r="N51" i="14"/>
  <c r="M51" i="14"/>
  <c r="M91" i="14" s="1"/>
  <c r="L51" i="14"/>
  <c r="K51" i="14"/>
  <c r="K81" i="14" s="1"/>
  <c r="J51" i="14"/>
  <c r="I51" i="14"/>
  <c r="H51" i="14"/>
  <c r="G51" i="14"/>
  <c r="G81" i="14" s="1"/>
  <c r="F51" i="14"/>
  <c r="E51" i="14"/>
  <c r="E92" i="14" s="1"/>
  <c r="W46" i="14"/>
  <c r="U46" i="14"/>
  <c r="S46" i="14"/>
  <c r="R46" i="14"/>
  <c r="R56" i="14" s="1"/>
  <c r="P46" i="14"/>
  <c r="N46" i="14"/>
  <c r="F46" i="14"/>
  <c r="X45" i="14"/>
  <c r="V45" i="14"/>
  <c r="T45" i="14"/>
  <c r="Q45" i="14"/>
  <c r="O45" i="14"/>
  <c r="K45" i="14"/>
  <c r="J45" i="14"/>
  <c r="I45" i="14"/>
  <c r="H45" i="14"/>
  <c r="G45" i="14"/>
  <c r="E45" i="14"/>
  <c r="X44" i="14"/>
  <c r="V44" i="14"/>
  <c r="T44" i="14"/>
  <c r="Q44" i="14"/>
  <c r="K44" i="14"/>
  <c r="K91" i="14" s="1"/>
  <c r="J44" i="14"/>
  <c r="I44" i="14"/>
  <c r="H44" i="14"/>
  <c r="G44" i="14"/>
  <c r="E44" i="14"/>
  <c r="X43" i="14"/>
  <c r="V43" i="14"/>
  <c r="T43" i="14"/>
  <c r="Q43" i="14"/>
  <c r="O43" i="14"/>
  <c r="K43" i="14"/>
  <c r="K90" i="14" s="1"/>
  <c r="J43" i="14"/>
  <c r="I43" i="14"/>
  <c r="H43" i="14"/>
  <c r="G43" i="14"/>
  <c r="E43" i="14"/>
  <c r="X42" i="14"/>
  <c r="V42" i="14"/>
  <c r="T42" i="14"/>
  <c r="Q42" i="14"/>
  <c r="O42" i="14"/>
  <c r="K42" i="14"/>
  <c r="J42" i="14"/>
  <c r="I42" i="14"/>
  <c r="H42" i="14"/>
  <c r="G42" i="14"/>
  <c r="E42" i="14"/>
  <c r="X41" i="14"/>
  <c r="V41" i="14"/>
  <c r="T41" i="14"/>
  <c r="Q41" i="14"/>
  <c r="O41" i="14"/>
  <c r="K41" i="14"/>
  <c r="K88" i="14" s="1"/>
  <c r="J41" i="14"/>
  <c r="I41" i="14"/>
  <c r="H41" i="14"/>
  <c r="G41" i="14"/>
  <c r="E41" i="14"/>
  <c r="X40" i="14"/>
  <c r="V40" i="14"/>
  <c r="T40" i="14"/>
  <c r="Q40" i="14"/>
  <c r="O40" i="14"/>
  <c r="K40" i="14"/>
  <c r="K87" i="14" s="1"/>
  <c r="J40" i="14"/>
  <c r="I40" i="14"/>
  <c r="H40" i="14"/>
  <c r="G40" i="14"/>
  <c r="E40" i="14"/>
  <c r="X39" i="14"/>
  <c r="V39" i="14"/>
  <c r="T39" i="14"/>
  <c r="Q39" i="14"/>
  <c r="K39" i="14"/>
  <c r="J39" i="14"/>
  <c r="I39" i="14"/>
  <c r="H39" i="14"/>
  <c r="G39" i="14"/>
  <c r="X38" i="14"/>
  <c r="V38" i="14"/>
  <c r="V85" i="14" s="1"/>
  <c r="T38" i="14"/>
  <c r="Q38" i="14"/>
  <c r="Q85" i="14" s="1"/>
  <c r="O38" i="14"/>
  <c r="K38" i="14"/>
  <c r="J38" i="14"/>
  <c r="I38" i="14"/>
  <c r="H38" i="14"/>
  <c r="G38" i="14"/>
  <c r="E38" i="14"/>
  <c r="X37" i="14"/>
  <c r="V37" i="14"/>
  <c r="V84" i="14" s="1"/>
  <c r="T37" i="14"/>
  <c r="Q37" i="14"/>
  <c r="Q84" i="14" s="1"/>
  <c r="M37" i="14"/>
  <c r="K37" i="14"/>
  <c r="J37" i="14"/>
  <c r="I37" i="14"/>
  <c r="H37" i="14"/>
  <c r="G37" i="14"/>
  <c r="F37" i="14"/>
  <c r="X36" i="14"/>
  <c r="V36" i="14"/>
  <c r="T36" i="14"/>
  <c r="Q36" i="14"/>
  <c r="Q83" i="14" s="1"/>
  <c r="M36" i="14"/>
  <c r="K36" i="14"/>
  <c r="J36" i="14"/>
  <c r="I36" i="14"/>
  <c r="H36" i="14"/>
  <c r="G36" i="14"/>
  <c r="F36" i="14"/>
  <c r="X35" i="14"/>
  <c r="V35" i="14"/>
  <c r="V82" i="14" s="1"/>
  <c r="T35" i="14"/>
  <c r="Q35" i="14"/>
  <c r="Q82" i="14" s="1"/>
  <c r="O35" i="14"/>
  <c r="K35" i="14"/>
  <c r="J35" i="14"/>
  <c r="I35" i="14"/>
  <c r="H35" i="14"/>
  <c r="G35" i="14"/>
  <c r="F35" i="14"/>
  <c r="E35" i="14"/>
  <c r="X34" i="14"/>
  <c r="V34" i="14"/>
  <c r="T34" i="14"/>
  <c r="Q34" i="14"/>
  <c r="O34" i="14"/>
  <c r="K34" i="14"/>
  <c r="J34" i="14"/>
  <c r="I34" i="14"/>
  <c r="H34" i="14"/>
  <c r="G34" i="14"/>
  <c r="F34" i="14"/>
  <c r="E34" i="14"/>
  <c r="X33" i="14"/>
  <c r="V33" i="14"/>
  <c r="T33" i="14"/>
  <c r="T80" i="14" s="1"/>
  <c r="Q33" i="14"/>
  <c r="K33" i="14"/>
  <c r="J33" i="14"/>
  <c r="I33" i="14"/>
  <c r="H33" i="14"/>
  <c r="G33" i="14"/>
  <c r="F33" i="14"/>
  <c r="X32" i="14"/>
  <c r="V32" i="14"/>
  <c r="T32" i="14"/>
  <c r="T79" i="14" s="1"/>
  <c r="Q32" i="14"/>
  <c r="K32" i="14"/>
  <c r="J32" i="14"/>
  <c r="I32" i="14"/>
  <c r="H32" i="14"/>
  <c r="G32" i="14"/>
  <c r="F32" i="14"/>
  <c r="X31" i="14"/>
  <c r="V31" i="14"/>
  <c r="T31" i="14"/>
  <c r="T78" i="14" s="1"/>
  <c r="Q31" i="14"/>
  <c r="K31" i="14"/>
  <c r="J31" i="14"/>
  <c r="I31" i="14"/>
  <c r="H31" i="14"/>
  <c r="G31" i="14"/>
  <c r="F31" i="14"/>
  <c r="X30" i="14"/>
  <c r="V30" i="14"/>
  <c r="T30" i="14"/>
  <c r="Q30" i="14"/>
  <c r="K30" i="14"/>
  <c r="J30" i="14"/>
  <c r="I30" i="14"/>
  <c r="H30" i="14"/>
  <c r="G30" i="14"/>
  <c r="F30" i="14"/>
  <c r="X29" i="14"/>
  <c r="V29" i="14"/>
  <c r="T29" i="14"/>
  <c r="T76" i="14" s="1"/>
  <c r="Q29" i="14"/>
  <c r="K29" i="14"/>
  <c r="J29" i="14"/>
  <c r="I29" i="14"/>
  <c r="H29" i="14"/>
  <c r="G29" i="14"/>
  <c r="F29" i="14"/>
  <c r="X28" i="14"/>
  <c r="V28" i="14"/>
  <c r="T28" i="14"/>
  <c r="Q28" i="14"/>
  <c r="K28" i="14"/>
  <c r="J28" i="14"/>
  <c r="I28" i="14"/>
  <c r="H28" i="14"/>
  <c r="G28" i="14"/>
  <c r="F28" i="14"/>
  <c r="X27" i="14"/>
  <c r="V27" i="14"/>
  <c r="T27" i="14"/>
  <c r="T74" i="14" s="1"/>
  <c r="Q27" i="14"/>
  <c r="O27" i="14"/>
  <c r="K27" i="14"/>
  <c r="J27" i="14"/>
  <c r="I27" i="14"/>
  <c r="H27" i="14"/>
  <c r="G27" i="14"/>
  <c r="E27" i="14"/>
  <c r="X26" i="14"/>
  <c r="V26" i="14"/>
  <c r="T26" i="14"/>
  <c r="T73" i="14" s="1"/>
  <c r="Q26" i="14"/>
  <c r="O26" i="14"/>
  <c r="M26" i="14"/>
  <c r="M46" i="14" s="1"/>
  <c r="K26" i="14"/>
  <c r="J26" i="14"/>
  <c r="I26" i="14"/>
  <c r="H26" i="14"/>
  <c r="G26" i="14"/>
  <c r="E26" i="14"/>
  <c r="X25" i="14"/>
  <c r="X72" i="14" s="1"/>
  <c r="V25" i="14"/>
  <c r="T25" i="14"/>
  <c r="Q25" i="14"/>
  <c r="O25" i="14"/>
  <c r="K25" i="14"/>
  <c r="J25" i="14"/>
  <c r="I25" i="14"/>
  <c r="H25" i="14"/>
  <c r="G25" i="14"/>
  <c r="E25" i="14"/>
  <c r="X24" i="14"/>
  <c r="X71" i="14" s="1"/>
  <c r="V24" i="14"/>
  <c r="T24" i="14"/>
  <c r="Q24" i="14"/>
  <c r="O24" i="14"/>
  <c r="K24" i="14"/>
  <c r="J24" i="14"/>
  <c r="I24" i="14"/>
  <c r="H24" i="14"/>
  <c r="G24" i="14"/>
  <c r="E24" i="14"/>
  <c r="X23" i="14"/>
  <c r="V23" i="14"/>
  <c r="T23" i="14"/>
  <c r="Q23" i="14"/>
  <c r="O23" i="14"/>
  <c r="K23" i="14"/>
  <c r="J23" i="14"/>
  <c r="I23" i="14"/>
  <c r="H23" i="14"/>
  <c r="G23" i="14"/>
  <c r="E23" i="14"/>
  <c r="X22" i="14"/>
  <c r="V22" i="14"/>
  <c r="T22" i="14"/>
  <c r="Q22" i="14"/>
  <c r="O22" i="14"/>
  <c r="K22" i="14"/>
  <c r="J22" i="14"/>
  <c r="I22" i="14"/>
  <c r="H22" i="14"/>
  <c r="G22" i="14"/>
  <c r="E22" i="14"/>
  <c r="X21" i="14"/>
  <c r="X68" i="14" s="1"/>
  <c r="V21" i="14"/>
  <c r="T21" i="14"/>
  <c r="Q21" i="14"/>
  <c r="Q68" i="14" s="1"/>
  <c r="O21" i="14"/>
  <c r="K21" i="14"/>
  <c r="J21" i="14"/>
  <c r="I21" i="14"/>
  <c r="H21" i="14"/>
  <c r="G21" i="14"/>
  <c r="E21" i="14"/>
  <c r="X20" i="14"/>
  <c r="V20" i="14"/>
  <c r="T20" i="14"/>
  <c r="Q20" i="14"/>
  <c r="Q67" i="14" s="1"/>
  <c r="O20" i="14"/>
  <c r="K20" i="14"/>
  <c r="J20" i="14"/>
  <c r="I20" i="14"/>
  <c r="H20" i="14"/>
  <c r="G20" i="14"/>
  <c r="E20" i="14"/>
  <c r="X19" i="14"/>
  <c r="V19" i="14"/>
  <c r="T19" i="14"/>
  <c r="Q19" i="14"/>
  <c r="Q66" i="14" s="1"/>
  <c r="O19" i="14"/>
  <c r="K19" i="14"/>
  <c r="J19" i="14"/>
  <c r="I19" i="14"/>
  <c r="H19" i="14"/>
  <c r="G19" i="14"/>
  <c r="E19" i="14"/>
  <c r="X18" i="14"/>
  <c r="X65" i="14" s="1"/>
  <c r="V18" i="14"/>
  <c r="T18" i="14"/>
  <c r="Q18" i="14"/>
  <c r="Q65" i="14" s="1"/>
  <c r="O18" i="14"/>
  <c r="K18" i="14"/>
  <c r="J18" i="14"/>
  <c r="I18" i="14"/>
  <c r="H18" i="14"/>
  <c r="G18" i="14"/>
  <c r="E18" i="14"/>
  <c r="X17" i="14"/>
  <c r="X64" i="14" s="1"/>
  <c r="V17" i="14"/>
  <c r="T17" i="14"/>
  <c r="Q17" i="14"/>
  <c r="Q64" i="14" s="1"/>
  <c r="O17" i="14"/>
  <c r="K17" i="14"/>
  <c r="J17" i="14"/>
  <c r="I17" i="14"/>
  <c r="H17" i="14"/>
  <c r="G17" i="14"/>
  <c r="E17" i="14"/>
  <c r="X16" i="14"/>
  <c r="V16" i="14"/>
  <c r="T16" i="14"/>
  <c r="Q16" i="14"/>
  <c r="Q63" i="14" s="1"/>
  <c r="O16" i="14"/>
  <c r="K16" i="14"/>
  <c r="K63" i="14" s="1"/>
  <c r="J16" i="14"/>
  <c r="I16" i="14"/>
  <c r="H16" i="14"/>
  <c r="G16" i="14"/>
  <c r="E16" i="14"/>
  <c r="X15" i="14"/>
  <c r="V15" i="14"/>
  <c r="T15" i="14"/>
  <c r="Q15" i="14"/>
  <c r="Q62" i="14" s="1"/>
  <c r="O15" i="14"/>
  <c r="K15" i="14"/>
  <c r="J15" i="14"/>
  <c r="I15" i="14"/>
  <c r="H15" i="14"/>
  <c r="G15" i="14"/>
  <c r="E15" i="14"/>
  <c r="X14" i="14"/>
  <c r="X61" i="14" s="1"/>
  <c r="V14" i="14"/>
  <c r="T14" i="14"/>
  <c r="Q14" i="14"/>
  <c r="Q61" i="14" s="1"/>
  <c r="O14" i="14"/>
  <c r="K14" i="14"/>
  <c r="J14" i="14"/>
  <c r="I14" i="14"/>
  <c r="H14" i="14"/>
  <c r="G14" i="14"/>
  <c r="E14" i="14"/>
  <c r="X13" i="14"/>
  <c r="X60" i="14" s="1"/>
  <c r="V13" i="14"/>
  <c r="T13" i="14"/>
  <c r="Q13" i="14"/>
  <c r="Q60" i="14" s="1"/>
  <c r="O13" i="14"/>
  <c r="K13" i="14"/>
  <c r="J13" i="14"/>
  <c r="I13" i="14"/>
  <c r="H13" i="14"/>
  <c r="G13" i="14"/>
  <c r="E13" i="14"/>
  <c r="X12" i="14"/>
  <c r="V12" i="14"/>
  <c r="T12" i="14"/>
  <c r="Q12" i="14"/>
  <c r="Q59" i="14" s="1"/>
  <c r="O12" i="14"/>
  <c r="K12" i="14"/>
  <c r="K59" i="14" s="1"/>
  <c r="J12" i="14"/>
  <c r="I12" i="14"/>
  <c r="H12" i="14"/>
  <c r="G12" i="14"/>
  <c r="E12" i="14"/>
  <c r="X11" i="14"/>
  <c r="V11" i="14"/>
  <c r="T11" i="14"/>
  <c r="Q11" i="14"/>
  <c r="Q58" i="14" s="1"/>
  <c r="O11" i="14"/>
  <c r="O46" i="14" s="1"/>
  <c r="O57" i="14" s="1"/>
  <c r="K11" i="14"/>
  <c r="J11" i="14"/>
  <c r="I11" i="14"/>
  <c r="H11" i="14"/>
  <c r="G11" i="14"/>
  <c r="E11" i="14"/>
  <c r="X10" i="14"/>
  <c r="X57" i="14" s="1"/>
  <c r="V10" i="14"/>
  <c r="T10" i="14"/>
  <c r="Q10" i="14"/>
  <c r="Q57" i="14" s="1"/>
  <c r="K10" i="14"/>
  <c r="J10" i="14"/>
  <c r="G10" i="14"/>
  <c r="E10" i="14"/>
  <c r="X9" i="14"/>
  <c r="V9" i="14"/>
  <c r="T9" i="14"/>
  <c r="Q9" i="14"/>
  <c r="Q56" i="14" s="1"/>
  <c r="K9" i="14"/>
  <c r="J9" i="14"/>
  <c r="J56" i="14" s="1"/>
  <c r="G9" i="14"/>
  <c r="E9" i="14"/>
  <c r="X8" i="14"/>
  <c r="V8" i="14"/>
  <c r="T8" i="14"/>
  <c r="Q8" i="14"/>
  <c r="Q55" i="14" s="1"/>
  <c r="O8" i="14"/>
  <c r="K8" i="14"/>
  <c r="K55" i="14" s="1"/>
  <c r="J8" i="14"/>
  <c r="I8" i="14"/>
  <c r="H8" i="14"/>
  <c r="G8" i="14"/>
  <c r="E8" i="14"/>
  <c r="X7" i="14"/>
  <c r="V7" i="14"/>
  <c r="T7" i="14"/>
  <c r="T54" i="14" s="1"/>
  <c r="Q7" i="14"/>
  <c r="Q54" i="14" s="1"/>
  <c r="O7" i="14"/>
  <c r="K7" i="14"/>
  <c r="J7" i="14"/>
  <c r="I7" i="14"/>
  <c r="H7" i="14"/>
  <c r="G7" i="14"/>
  <c r="G54" i="14" s="1"/>
  <c r="E7" i="14"/>
  <c r="X6" i="14"/>
  <c r="X46" i="14" s="1"/>
  <c r="V6" i="14"/>
  <c r="T6" i="14"/>
  <c r="Q6" i="14"/>
  <c r="O6" i="14"/>
  <c r="K6" i="14"/>
  <c r="J6" i="14"/>
  <c r="J46" i="14" s="1"/>
  <c r="I6" i="14"/>
  <c r="I46" i="14" s="1"/>
  <c r="H6" i="14"/>
  <c r="H46" i="14" s="1"/>
  <c r="G6" i="14"/>
  <c r="E6" i="14"/>
  <c r="E46" i="14" s="1"/>
  <c r="E86" i="14" s="1"/>
  <c r="O43" i="21"/>
  <c r="N43" i="21"/>
  <c r="M43" i="21"/>
  <c r="L43" i="21"/>
  <c r="K43" i="21"/>
  <c r="J43" i="21"/>
  <c r="I43" i="21"/>
  <c r="H43" i="21"/>
  <c r="G43" i="21"/>
  <c r="F43" i="21"/>
  <c r="L42" i="21"/>
  <c r="J42" i="21"/>
  <c r="I42" i="21"/>
  <c r="H42" i="21"/>
  <c r="L41" i="21"/>
  <c r="J41" i="21"/>
  <c r="I41" i="21"/>
  <c r="L40" i="21"/>
  <c r="J40" i="21"/>
  <c r="I40" i="21"/>
  <c r="H40" i="21"/>
  <c r="F40" i="21"/>
  <c r="L39" i="21"/>
  <c r="J39" i="21"/>
  <c r="I39" i="21"/>
  <c r="H39" i="21"/>
  <c r="E39" i="21"/>
  <c r="L38" i="21"/>
  <c r="J38" i="21"/>
  <c r="I38" i="21"/>
  <c r="H38" i="21"/>
  <c r="L37" i="21"/>
  <c r="J37" i="21"/>
  <c r="I37" i="21"/>
  <c r="H37" i="21"/>
  <c r="L36" i="21"/>
  <c r="H36" i="21"/>
  <c r="E36" i="21"/>
  <c r="L35" i="21"/>
  <c r="J35" i="21"/>
  <c r="I35" i="21"/>
  <c r="H35" i="21"/>
  <c r="F35" i="21"/>
  <c r="E35" i="21"/>
  <c r="N34" i="21"/>
  <c r="L34" i="21"/>
  <c r="H34" i="21"/>
  <c r="E34" i="21"/>
  <c r="N33" i="21"/>
  <c r="L33" i="21"/>
  <c r="H33" i="21"/>
  <c r="E33" i="21"/>
  <c r="L32" i="21"/>
  <c r="J32" i="21"/>
  <c r="I32" i="21"/>
  <c r="H32" i="21"/>
  <c r="F32" i="21"/>
  <c r="E32" i="21"/>
  <c r="L31" i="21"/>
  <c r="J31" i="21"/>
  <c r="I31" i="21"/>
  <c r="H31" i="21"/>
  <c r="F31" i="21"/>
  <c r="E31" i="21"/>
  <c r="L30" i="21"/>
  <c r="H30" i="21"/>
  <c r="F30" i="21"/>
  <c r="L29" i="21"/>
  <c r="H29" i="21"/>
  <c r="F29" i="21"/>
  <c r="E29" i="21"/>
  <c r="L28" i="21"/>
  <c r="H28" i="21"/>
  <c r="E28" i="21"/>
  <c r="L27" i="21"/>
  <c r="H27" i="21"/>
  <c r="L26" i="21"/>
  <c r="H26" i="21"/>
  <c r="E26" i="21"/>
  <c r="L25" i="21"/>
  <c r="H25" i="21"/>
  <c r="L24" i="21"/>
  <c r="I24" i="21"/>
  <c r="H24" i="21"/>
  <c r="E24" i="21"/>
  <c r="N23" i="21"/>
  <c r="L23" i="21"/>
  <c r="J23" i="21"/>
  <c r="I23" i="21"/>
  <c r="H23" i="21"/>
  <c r="F23" i="21"/>
  <c r="E23" i="21"/>
  <c r="L22" i="21"/>
  <c r="J22" i="21"/>
  <c r="I22" i="21"/>
  <c r="H22" i="21"/>
  <c r="F22" i="21"/>
  <c r="E22" i="21"/>
  <c r="L21" i="21"/>
  <c r="J21" i="21"/>
  <c r="I21" i="21"/>
  <c r="H21" i="21"/>
  <c r="F21" i="21"/>
  <c r="E21" i="21"/>
  <c r="L20" i="21"/>
  <c r="J20" i="21"/>
  <c r="I20" i="21"/>
  <c r="H20" i="21"/>
  <c r="E20" i="21"/>
  <c r="L19" i="21"/>
  <c r="J19" i="21"/>
  <c r="I19" i="21"/>
  <c r="H19" i="21"/>
  <c r="F19" i="21"/>
  <c r="L18" i="21"/>
  <c r="J18" i="21"/>
  <c r="I18" i="21"/>
  <c r="H18" i="21"/>
  <c r="E18" i="21"/>
  <c r="L17" i="21"/>
  <c r="J17" i="21"/>
  <c r="I17" i="21"/>
  <c r="H17" i="21"/>
  <c r="F17" i="21"/>
  <c r="E17" i="21"/>
  <c r="L16" i="21"/>
  <c r="J16" i="21"/>
  <c r="I16" i="21"/>
  <c r="H16" i="21"/>
  <c r="E16" i="21"/>
  <c r="L15" i="21"/>
  <c r="J15" i="21"/>
  <c r="I15" i="21"/>
  <c r="H15" i="21"/>
  <c r="E15" i="21"/>
  <c r="L14" i="21"/>
  <c r="J14" i="21"/>
  <c r="I14" i="21"/>
  <c r="H14" i="21"/>
  <c r="E14" i="21"/>
  <c r="L13" i="21"/>
  <c r="K13" i="21"/>
  <c r="J13" i="21"/>
  <c r="I13" i="21"/>
  <c r="H13" i="21"/>
  <c r="F13" i="21"/>
  <c r="L12" i="21"/>
  <c r="K12" i="21"/>
  <c r="J12" i="21"/>
  <c r="I12" i="21"/>
  <c r="H12" i="21"/>
  <c r="F12" i="21"/>
  <c r="E12" i="21"/>
  <c r="L11" i="21"/>
  <c r="K11" i="21"/>
  <c r="J11" i="21"/>
  <c r="I11" i="21"/>
  <c r="H11" i="21"/>
  <c r="F11" i="21"/>
  <c r="E11" i="21"/>
  <c r="L10" i="21"/>
  <c r="K10" i="21"/>
  <c r="J10" i="21"/>
  <c r="I10" i="21"/>
  <c r="H10" i="21"/>
  <c r="F10" i="21"/>
  <c r="E10" i="21"/>
  <c r="L9" i="21"/>
  <c r="K9" i="21"/>
  <c r="J9" i="21"/>
  <c r="I9" i="21"/>
  <c r="H9" i="21"/>
  <c r="L8" i="21"/>
  <c r="K8" i="21"/>
  <c r="J8" i="21"/>
  <c r="I8" i="21"/>
  <c r="H8" i="21"/>
  <c r="F8" i="21"/>
  <c r="L7" i="21"/>
  <c r="J7" i="21"/>
  <c r="I7" i="21"/>
  <c r="G7" i="21"/>
  <c r="L6" i="21"/>
  <c r="J6" i="21"/>
  <c r="I6" i="21"/>
  <c r="G6" i="21"/>
  <c r="L5" i="21"/>
  <c r="K5" i="21"/>
  <c r="J5" i="21"/>
  <c r="I5" i="21"/>
  <c r="H5" i="21"/>
  <c r="L4" i="21"/>
  <c r="K4" i="21"/>
  <c r="J4" i="21"/>
  <c r="I4" i="21"/>
  <c r="H4" i="21"/>
  <c r="L3" i="21"/>
  <c r="K3" i="21"/>
  <c r="J3" i="21"/>
  <c r="I3" i="21"/>
  <c r="G3" i="21"/>
  <c r="H229" i="6"/>
  <c r="F229" i="6"/>
  <c r="H228" i="6"/>
  <c r="F228" i="6"/>
  <c r="H227" i="6"/>
  <c r="F227" i="6"/>
  <c r="H223" i="6"/>
  <c r="F223" i="6"/>
  <c r="H222" i="6"/>
  <c r="F222" i="6"/>
  <c r="H221" i="6"/>
  <c r="F221" i="6"/>
  <c r="H220" i="6"/>
  <c r="F220" i="6"/>
  <c r="H219" i="6"/>
  <c r="F219" i="6"/>
  <c r="H218" i="6"/>
  <c r="F218" i="6"/>
  <c r="H217" i="6"/>
  <c r="F217" i="6"/>
  <c r="H216" i="6"/>
  <c r="F216" i="6"/>
  <c r="H215" i="6"/>
  <c r="F215" i="6"/>
  <c r="G212" i="6"/>
  <c r="H211" i="6"/>
  <c r="F211" i="6"/>
  <c r="H210" i="6"/>
  <c r="F210" i="6"/>
  <c r="H209" i="6"/>
  <c r="F209" i="6"/>
  <c r="F208" i="6"/>
  <c r="H204" i="6"/>
  <c r="L42" i="14" s="1"/>
  <c r="F204" i="6"/>
  <c r="H203" i="6"/>
  <c r="L41" i="14" s="1"/>
  <c r="F203" i="6"/>
  <c r="H202" i="6"/>
  <c r="L40" i="14" s="1"/>
  <c r="F202" i="6"/>
  <c r="H201" i="6"/>
  <c r="L35" i="14" s="1"/>
  <c r="F201" i="6"/>
  <c r="H200" i="6"/>
  <c r="F200" i="6"/>
  <c r="H199" i="6"/>
  <c r="L34" i="14" s="1"/>
  <c r="F199" i="6"/>
  <c r="H198" i="6"/>
  <c r="F198" i="6"/>
  <c r="H197" i="6"/>
  <c r="F197" i="6"/>
  <c r="H196" i="6"/>
  <c r="F196" i="6"/>
  <c r="H195" i="6"/>
  <c r="L16" i="14" s="1"/>
  <c r="F195" i="6"/>
  <c r="H194" i="6"/>
  <c r="L15" i="14" s="1"/>
  <c r="F194" i="6"/>
  <c r="H193" i="6"/>
  <c r="L14" i="14" s="1"/>
  <c r="F193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C163" i="6"/>
  <c r="C161" i="6"/>
  <c r="K157" i="6"/>
  <c r="J157" i="6"/>
  <c r="I157" i="6"/>
  <c r="H157" i="6"/>
  <c r="G157" i="6"/>
  <c r="K156" i="6"/>
  <c r="J156" i="6"/>
  <c r="K155" i="6"/>
  <c r="J155" i="6"/>
  <c r="K154" i="6"/>
  <c r="J154" i="6"/>
  <c r="I154" i="6"/>
  <c r="H154" i="6"/>
  <c r="G154" i="6"/>
  <c r="K153" i="6"/>
  <c r="J153" i="6"/>
  <c r="K152" i="6"/>
  <c r="J152" i="6"/>
  <c r="K151" i="6"/>
  <c r="J151" i="6"/>
  <c r="K150" i="6"/>
  <c r="J150" i="6"/>
  <c r="K149" i="6"/>
  <c r="J149" i="6"/>
  <c r="K148" i="6"/>
  <c r="J148" i="6"/>
  <c r="K147" i="6"/>
  <c r="J147" i="6"/>
  <c r="K146" i="6"/>
  <c r="J146" i="6"/>
  <c r="I146" i="6"/>
  <c r="H146" i="6"/>
  <c r="G146" i="6"/>
  <c r="K145" i="6"/>
  <c r="J145" i="6"/>
  <c r="K144" i="6"/>
  <c r="J144" i="6"/>
  <c r="K143" i="6"/>
  <c r="J143" i="6"/>
  <c r="K142" i="6"/>
  <c r="J142" i="6"/>
  <c r="K141" i="6"/>
  <c r="J141" i="6"/>
  <c r="I141" i="6"/>
  <c r="H141" i="6"/>
  <c r="K140" i="6"/>
  <c r="J140" i="6"/>
  <c r="K139" i="6"/>
  <c r="J139" i="6"/>
  <c r="K138" i="6"/>
  <c r="J138" i="6"/>
  <c r="K137" i="6"/>
  <c r="J137" i="6"/>
  <c r="K136" i="6"/>
  <c r="J136" i="6"/>
  <c r="K135" i="6"/>
  <c r="J135" i="6"/>
  <c r="K134" i="6"/>
  <c r="J134" i="6"/>
  <c r="K133" i="6"/>
  <c r="J133" i="6"/>
  <c r="K132" i="6"/>
  <c r="J132" i="6"/>
  <c r="K131" i="6"/>
  <c r="J131" i="6"/>
  <c r="I131" i="6"/>
  <c r="H131" i="6"/>
  <c r="K130" i="6"/>
  <c r="J130" i="6"/>
  <c r="K129" i="6"/>
  <c r="J129" i="6"/>
  <c r="K128" i="6"/>
  <c r="J128" i="6"/>
  <c r="I128" i="6"/>
  <c r="H128" i="6"/>
  <c r="K127" i="6"/>
  <c r="J127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I119" i="6"/>
  <c r="G119" i="6"/>
  <c r="E116" i="6"/>
  <c r="D116" i="6"/>
  <c r="C116" i="6"/>
  <c r="E115" i="6"/>
  <c r="D115" i="6"/>
  <c r="E114" i="6"/>
  <c r="D114" i="6"/>
  <c r="E113" i="6"/>
  <c r="D113" i="6"/>
  <c r="C109" i="6"/>
  <c r="K105" i="6"/>
  <c r="J105" i="6"/>
  <c r="I105" i="6"/>
  <c r="H105" i="6"/>
  <c r="G105" i="6"/>
  <c r="K104" i="6"/>
  <c r="J104" i="6"/>
  <c r="K103" i="6"/>
  <c r="J103" i="6"/>
  <c r="K102" i="6"/>
  <c r="J102" i="6"/>
  <c r="I102" i="6"/>
  <c r="H102" i="6"/>
  <c r="G102" i="6"/>
  <c r="K101" i="6"/>
  <c r="J101" i="6"/>
  <c r="K100" i="6"/>
  <c r="J100" i="6"/>
  <c r="K99" i="6"/>
  <c r="J99" i="6"/>
  <c r="K98" i="6"/>
  <c r="J98" i="6"/>
  <c r="K97" i="6"/>
  <c r="J97" i="6"/>
  <c r="K96" i="6"/>
  <c r="J96" i="6"/>
  <c r="K95" i="6"/>
  <c r="J95" i="6"/>
  <c r="K94" i="6"/>
  <c r="J94" i="6"/>
  <c r="I94" i="6"/>
  <c r="H94" i="6"/>
  <c r="G94" i="6"/>
  <c r="K93" i="6"/>
  <c r="J93" i="6"/>
  <c r="K92" i="6"/>
  <c r="J92" i="6"/>
  <c r="K91" i="6"/>
  <c r="J91" i="6"/>
  <c r="K90" i="6"/>
  <c r="J90" i="6"/>
  <c r="K89" i="6"/>
  <c r="J89" i="6"/>
  <c r="I89" i="6"/>
  <c r="H89" i="6"/>
  <c r="K88" i="6"/>
  <c r="J88" i="6"/>
  <c r="K87" i="6"/>
  <c r="J87" i="6"/>
  <c r="K86" i="6"/>
  <c r="J86" i="6"/>
  <c r="K85" i="6"/>
  <c r="J85" i="6"/>
  <c r="K84" i="6"/>
  <c r="J84" i="6"/>
  <c r="K83" i="6"/>
  <c r="J83" i="6"/>
  <c r="K82" i="6"/>
  <c r="J82" i="6"/>
  <c r="K81" i="6"/>
  <c r="J81" i="6"/>
  <c r="K80" i="6"/>
  <c r="J80" i="6"/>
  <c r="K79" i="6"/>
  <c r="J79" i="6"/>
  <c r="I79" i="6"/>
  <c r="H79" i="6"/>
  <c r="K78" i="6"/>
  <c r="J78" i="6"/>
  <c r="K77" i="6"/>
  <c r="J77" i="6"/>
  <c r="K76" i="6"/>
  <c r="J76" i="6"/>
  <c r="I76" i="6"/>
  <c r="H76" i="6"/>
  <c r="K75" i="6"/>
  <c r="J75" i="6"/>
  <c r="K74" i="6"/>
  <c r="J74" i="6"/>
  <c r="K73" i="6"/>
  <c r="J73" i="6"/>
  <c r="K72" i="6"/>
  <c r="J72" i="6"/>
  <c r="K71" i="6"/>
  <c r="J71" i="6"/>
  <c r="K70" i="6"/>
  <c r="J70" i="6"/>
  <c r="K69" i="6"/>
  <c r="J69" i="6"/>
  <c r="K68" i="6"/>
  <c r="J68" i="6"/>
  <c r="I67" i="6"/>
  <c r="H67" i="6"/>
  <c r="G67" i="6"/>
  <c r="E64" i="6"/>
  <c r="D64" i="6"/>
  <c r="C64" i="6"/>
  <c r="E63" i="6"/>
  <c r="D63" i="6"/>
  <c r="E62" i="6"/>
  <c r="D62" i="6"/>
  <c r="E61" i="6"/>
  <c r="D61" i="6"/>
  <c r="C57" i="6"/>
  <c r="K54" i="6"/>
  <c r="J54" i="6"/>
  <c r="I54" i="6"/>
  <c r="H54" i="6"/>
  <c r="G54" i="6"/>
  <c r="K53" i="6"/>
  <c r="J53" i="6"/>
  <c r="K52" i="6"/>
  <c r="J52" i="6"/>
  <c r="K51" i="6"/>
  <c r="J51" i="6"/>
  <c r="I51" i="6"/>
  <c r="H51" i="6"/>
  <c r="G51" i="6"/>
  <c r="K50" i="6"/>
  <c r="J50" i="6"/>
  <c r="F50" i="6"/>
  <c r="E50" i="6"/>
  <c r="K49" i="6"/>
  <c r="J49" i="6"/>
  <c r="F49" i="6"/>
  <c r="E49" i="6"/>
  <c r="K48" i="6"/>
  <c r="J48" i="6"/>
  <c r="F48" i="6"/>
  <c r="E48" i="6"/>
  <c r="K47" i="6"/>
  <c r="J47" i="6"/>
  <c r="F47" i="6"/>
  <c r="E47" i="6"/>
  <c r="K46" i="6"/>
  <c r="J46" i="6"/>
  <c r="F46" i="6"/>
  <c r="E46" i="6"/>
  <c r="K45" i="6"/>
  <c r="J45" i="6"/>
  <c r="F45" i="6"/>
  <c r="E45" i="6"/>
  <c r="K44" i="6"/>
  <c r="J44" i="6"/>
  <c r="F44" i="6"/>
  <c r="E44" i="6"/>
  <c r="K43" i="6"/>
  <c r="J43" i="6"/>
  <c r="I43" i="6"/>
  <c r="H43" i="6"/>
  <c r="G43" i="6"/>
  <c r="F43" i="6"/>
  <c r="E43" i="6"/>
  <c r="K42" i="6"/>
  <c r="J42" i="6"/>
  <c r="F42" i="6"/>
  <c r="E42" i="6"/>
  <c r="K41" i="6"/>
  <c r="J41" i="6"/>
  <c r="F41" i="6"/>
  <c r="E41" i="6"/>
  <c r="K40" i="6"/>
  <c r="J40" i="6"/>
  <c r="F40" i="6"/>
  <c r="E40" i="6"/>
  <c r="K39" i="6"/>
  <c r="J39" i="6"/>
  <c r="F39" i="6"/>
  <c r="E39" i="6"/>
  <c r="K38" i="6"/>
  <c r="J38" i="6"/>
  <c r="I38" i="6"/>
  <c r="H38" i="6"/>
  <c r="F38" i="6"/>
  <c r="E38" i="6"/>
  <c r="K37" i="6"/>
  <c r="J37" i="6"/>
  <c r="F37" i="6"/>
  <c r="E37" i="6"/>
  <c r="K36" i="6"/>
  <c r="J36" i="6"/>
  <c r="F36" i="6"/>
  <c r="E36" i="6"/>
  <c r="K35" i="6"/>
  <c r="J35" i="6"/>
  <c r="F35" i="6"/>
  <c r="E35" i="6"/>
  <c r="K34" i="6"/>
  <c r="J34" i="6"/>
  <c r="F34" i="6"/>
  <c r="E34" i="6"/>
  <c r="K33" i="6"/>
  <c r="J33" i="6"/>
  <c r="F33" i="6"/>
  <c r="E33" i="6"/>
  <c r="K32" i="6"/>
  <c r="J32" i="6"/>
  <c r="F32" i="6"/>
  <c r="E32" i="6"/>
  <c r="K31" i="6"/>
  <c r="J31" i="6"/>
  <c r="F31" i="6"/>
  <c r="E31" i="6"/>
  <c r="K30" i="6"/>
  <c r="J30" i="6"/>
  <c r="F30" i="6"/>
  <c r="E30" i="6"/>
  <c r="K29" i="6"/>
  <c r="J29" i="6"/>
  <c r="F29" i="6"/>
  <c r="E29" i="6"/>
  <c r="K28" i="6"/>
  <c r="J28" i="6"/>
  <c r="I28" i="6"/>
  <c r="H28" i="6"/>
  <c r="F28" i="6"/>
  <c r="E28" i="6"/>
  <c r="K27" i="6"/>
  <c r="J27" i="6"/>
  <c r="F27" i="6"/>
  <c r="E27" i="6"/>
  <c r="K26" i="6"/>
  <c r="J26" i="6"/>
  <c r="F26" i="6"/>
  <c r="E26" i="6"/>
  <c r="K25" i="6"/>
  <c r="I25" i="6"/>
  <c r="H25" i="6"/>
  <c r="F25" i="6"/>
  <c r="E25" i="6"/>
  <c r="K24" i="6"/>
  <c r="J24" i="6"/>
  <c r="F24" i="6"/>
  <c r="E24" i="6"/>
  <c r="K23" i="6"/>
  <c r="J23" i="6"/>
  <c r="F23" i="6"/>
  <c r="E23" i="6"/>
  <c r="K22" i="6"/>
  <c r="J22" i="6"/>
  <c r="F22" i="6"/>
  <c r="E22" i="6"/>
  <c r="K21" i="6"/>
  <c r="J21" i="6"/>
  <c r="F21" i="6"/>
  <c r="E21" i="6"/>
  <c r="K20" i="6"/>
  <c r="J20" i="6"/>
  <c r="F20" i="6"/>
  <c r="E20" i="6"/>
  <c r="K19" i="6"/>
  <c r="J19" i="6"/>
  <c r="F19" i="6"/>
  <c r="E19" i="6"/>
  <c r="K18" i="6"/>
  <c r="J18" i="6"/>
  <c r="F18" i="6"/>
  <c r="E18" i="6"/>
  <c r="K17" i="6"/>
  <c r="J17" i="6"/>
  <c r="F17" i="6"/>
  <c r="E17" i="6"/>
  <c r="G16" i="6"/>
  <c r="F16" i="6"/>
  <c r="E16" i="6"/>
  <c r="E13" i="6"/>
  <c r="D13" i="6"/>
  <c r="C13" i="6"/>
  <c r="E12" i="6"/>
  <c r="D12" i="6"/>
  <c r="E11" i="6"/>
  <c r="D11" i="6"/>
  <c r="E10" i="6"/>
  <c r="D10" i="6"/>
  <c r="G95" i="8"/>
  <c r="G94" i="8"/>
  <c r="G93" i="8"/>
  <c r="G92" i="8"/>
  <c r="G89" i="8"/>
  <c r="G88" i="8"/>
  <c r="G87" i="8"/>
  <c r="G86" i="8"/>
  <c r="G85" i="8"/>
  <c r="G84" i="8"/>
  <c r="G83" i="8"/>
  <c r="G82" i="8"/>
  <c r="G81" i="8"/>
  <c r="G80" i="8"/>
  <c r="G77" i="8"/>
  <c r="G76" i="8"/>
  <c r="G75" i="8"/>
  <c r="G73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7" i="8"/>
  <c r="G46" i="8"/>
  <c r="G45" i="8"/>
  <c r="I41" i="8"/>
  <c r="H41" i="8"/>
  <c r="G41" i="8"/>
  <c r="F41" i="8"/>
  <c r="E41" i="8"/>
  <c r="D41" i="8"/>
  <c r="C41" i="8"/>
  <c r="I40" i="8"/>
  <c r="H40" i="8"/>
  <c r="G40" i="8"/>
  <c r="F40" i="8"/>
  <c r="E40" i="8"/>
  <c r="D40" i="8"/>
  <c r="C40" i="8"/>
  <c r="I39" i="8"/>
  <c r="H39" i="8"/>
  <c r="G39" i="8"/>
  <c r="F39" i="8"/>
  <c r="E39" i="8"/>
  <c r="D39" i="8"/>
  <c r="C39" i="8"/>
  <c r="I38" i="8"/>
  <c r="H38" i="8"/>
  <c r="G38" i="8"/>
  <c r="F38" i="8"/>
  <c r="E38" i="8"/>
  <c r="D38" i="8"/>
  <c r="C38" i="8"/>
  <c r="I37" i="8"/>
  <c r="H37" i="8"/>
  <c r="G37" i="8"/>
  <c r="F37" i="8"/>
  <c r="E37" i="8"/>
  <c r="D37" i="8"/>
  <c r="C37" i="8"/>
  <c r="I36" i="8"/>
  <c r="H36" i="8"/>
  <c r="G36" i="8"/>
  <c r="F36" i="8"/>
  <c r="E36" i="8"/>
  <c r="D36" i="8"/>
  <c r="C36" i="8"/>
  <c r="I35" i="8"/>
  <c r="H35" i="8"/>
  <c r="G35" i="8"/>
  <c r="F35" i="8"/>
  <c r="E35" i="8"/>
  <c r="D35" i="8"/>
  <c r="C35" i="8"/>
  <c r="D30" i="8"/>
  <c r="D29" i="8"/>
  <c r="D28" i="8"/>
  <c r="D27" i="8"/>
  <c r="D26" i="8"/>
  <c r="D25" i="8"/>
  <c r="D24" i="8"/>
  <c r="D23" i="8"/>
  <c r="D22" i="8"/>
  <c r="D21" i="8"/>
  <c r="D20" i="8"/>
  <c r="D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I106" i="5"/>
  <c r="H106" i="5"/>
  <c r="G106" i="5"/>
  <c r="I105" i="5"/>
  <c r="G105" i="5"/>
  <c r="F105" i="5"/>
  <c r="E105" i="5"/>
  <c r="D105" i="5"/>
  <c r="I104" i="5"/>
  <c r="G104" i="5"/>
  <c r="F104" i="5"/>
  <c r="E104" i="5"/>
  <c r="D104" i="5"/>
  <c r="I103" i="5"/>
  <c r="G103" i="5"/>
  <c r="F103" i="5"/>
  <c r="E103" i="5"/>
  <c r="D103" i="5"/>
  <c r="I100" i="5"/>
  <c r="H100" i="5"/>
  <c r="G100" i="5"/>
  <c r="I99" i="5"/>
  <c r="G99" i="5"/>
  <c r="F99" i="5"/>
  <c r="E99" i="5"/>
  <c r="D99" i="5"/>
  <c r="I98" i="5"/>
  <c r="G98" i="5"/>
  <c r="F98" i="5"/>
  <c r="E98" i="5"/>
  <c r="D98" i="5"/>
  <c r="I97" i="5"/>
  <c r="G97" i="5"/>
  <c r="F97" i="5"/>
  <c r="E97" i="5"/>
  <c r="D97" i="5"/>
  <c r="I96" i="5"/>
  <c r="G96" i="5"/>
  <c r="F96" i="5"/>
  <c r="E96" i="5"/>
  <c r="D96" i="5"/>
  <c r="I95" i="5"/>
  <c r="G95" i="5"/>
  <c r="F95" i="5"/>
  <c r="E95" i="5"/>
  <c r="D95" i="5"/>
  <c r="I94" i="5"/>
  <c r="G94" i="5"/>
  <c r="F94" i="5"/>
  <c r="E94" i="5"/>
  <c r="D94" i="5"/>
  <c r="I93" i="5"/>
  <c r="G93" i="5"/>
  <c r="F93" i="5"/>
  <c r="E93" i="5"/>
  <c r="D93" i="5"/>
  <c r="I92" i="5"/>
  <c r="G92" i="5"/>
  <c r="F92" i="5"/>
  <c r="E92" i="5"/>
  <c r="D92" i="5"/>
  <c r="I91" i="5"/>
  <c r="G91" i="5"/>
  <c r="F91" i="5"/>
  <c r="E91" i="5"/>
  <c r="D91" i="5"/>
  <c r="I88" i="5"/>
  <c r="H88" i="5"/>
  <c r="G88" i="5"/>
  <c r="I87" i="5"/>
  <c r="G87" i="5"/>
  <c r="F87" i="5"/>
  <c r="E87" i="5"/>
  <c r="D87" i="5"/>
  <c r="I86" i="5"/>
  <c r="G86" i="5"/>
  <c r="F86" i="5"/>
  <c r="E86" i="5"/>
  <c r="D86" i="5"/>
  <c r="I85" i="5"/>
  <c r="G85" i="5"/>
  <c r="F85" i="5"/>
  <c r="E85" i="5"/>
  <c r="D85" i="5"/>
  <c r="I84" i="5"/>
  <c r="G84" i="5"/>
  <c r="F84" i="5"/>
  <c r="E84" i="5"/>
  <c r="D84" i="5"/>
  <c r="I81" i="5"/>
  <c r="H81" i="5"/>
  <c r="G81" i="5"/>
  <c r="I80" i="5"/>
  <c r="G80" i="5"/>
  <c r="F80" i="5"/>
  <c r="E80" i="5"/>
  <c r="D80" i="5"/>
  <c r="I79" i="5"/>
  <c r="G79" i="5"/>
  <c r="F79" i="5"/>
  <c r="E79" i="5"/>
  <c r="D79" i="5"/>
  <c r="I78" i="5"/>
  <c r="G78" i="5"/>
  <c r="F78" i="5"/>
  <c r="E78" i="5"/>
  <c r="D78" i="5"/>
  <c r="I77" i="5"/>
  <c r="G77" i="5"/>
  <c r="F77" i="5"/>
  <c r="E77" i="5"/>
  <c r="D77" i="5"/>
  <c r="I76" i="5"/>
  <c r="G76" i="5"/>
  <c r="F76" i="5"/>
  <c r="E76" i="5"/>
  <c r="D76" i="5"/>
  <c r="I75" i="5"/>
  <c r="G75" i="5"/>
  <c r="F75" i="5"/>
  <c r="E75" i="5"/>
  <c r="D75" i="5"/>
  <c r="I74" i="5"/>
  <c r="G74" i="5"/>
  <c r="F74" i="5"/>
  <c r="E74" i="5"/>
  <c r="D74" i="5"/>
  <c r="I73" i="5"/>
  <c r="G73" i="5"/>
  <c r="F73" i="5"/>
  <c r="E73" i="5"/>
  <c r="D73" i="5"/>
  <c r="I72" i="5"/>
  <c r="G72" i="5"/>
  <c r="F72" i="5"/>
  <c r="E72" i="5"/>
  <c r="D72" i="5"/>
  <c r="I71" i="5"/>
  <c r="G71" i="5"/>
  <c r="F71" i="5"/>
  <c r="E71" i="5"/>
  <c r="D71" i="5"/>
  <c r="I70" i="5"/>
  <c r="G70" i="5"/>
  <c r="F70" i="5"/>
  <c r="E70" i="5"/>
  <c r="D70" i="5"/>
  <c r="I69" i="5"/>
  <c r="G69" i="5"/>
  <c r="F69" i="5"/>
  <c r="E69" i="5"/>
  <c r="D69" i="5"/>
  <c r="I66" i="5"/>
  <c r="H66" i="5"/>
  <c r="G66" i="5"/>
  <c r="I65" i="5"/>
  <c r="G65" i="5"/>
  <c r="F65" i="5"/>
  <c r="E65" i="5"/>
  <c r="D65" i="5"/>
  <c r="I64" i="5"/>
  <c r="G64" i="5"/>
  <c r="F64" i="5"/>
  <c r="E64" i="5"/>
  <c r="D64" i="5"/>
  <c r="I63" i="5"/>
  <c r="G63" i="5"/>
  <c r="F63" i="5"/>
  <c r="E63" i="5"/>
  <c r="D63" i="5"/>
  <c r="I62" i="5"/>
  <c r="G62" i="5"/>
  <c r="F62" i="5"/>
  <c r="E62" i="5"/>
  <c r="D62" i="5"/>
  <c r="I61" i="5"/>
  <c r="G61" i="5"/>
  <c r="F61" i="5"/>
  <c r="E61" i="5"/>
  <c r="D61" i="5"/>
  <c r="I60" i="5"/>
  <c r="G60" i="5"/>
  <c r="F60" i="5"/>
  <c r="E60" i="5"/>
  <c r="D60" i="5"/>
  <c r="I59" i="5"/>
  <c r="G59" i="5"/>
  <c r="F59" i="5"/>
  <c r="E59" i="5"/>
  <c r="D59" i="5"/>
  <c r="I58" i="5"/>
  <c r="G58" i="5"/>
  <c r="F58" i="5"/>
  <c r="E58" i="5"/>
  <c r="D58" i="5"/>
  <c r="I57" i="5"/>
  <c r="G57" i="5"/>
  <c r="F57" i="5"/>
  <c r="E57" i="5"/>
  <c r="D57" i="5"/>
  <c r="I56" i="5"/>
  <c r="G56" i="5"/>
  <c r="F56" i="5"/>
  <c r="E56" i="5"/>
  <c r="D56" i="5"/>
  <c r="I55" i="5"/>
  <c r="G55" i="5"/>
  <c r="F55" i="5"/>
  <c r="E55" i="5"/>
  <c r="D55" i="5"/>
  <c r="I54" i="5"/>
  <c r="G54" i="5"/>
  <c r="F54" i="5"/>
  <c r="E54" i="5"/>
  <c r="D54" i="5"/>
  <c r="H46" i="5"/>
  <c r="G46" i="5"/>
  <c r="F46" i="5"/>
  <c r="E46" i="5"/>
  <c r="D46" i="5"/>
  <c r="C46" i="5"/>
  <c r="H45" i="5"/>
  <c r="G45" i="5"/>
  <c r="F45" i="5"/>
  <c r="E45" i="5"/>
  <c r="D45" i="5"/>
  <c r="C45" i="5"/>
  <c r="H44" i="5"/>
  <c r="G44" i="5"/>
  <c r="F44" i="5"/>
  <c r="E44" i="5"/>
  <c r="D44" i="5"/>
  <c r="C44" i="5"/>
  <c r="H43" i="5"/>
  <c r="G43" i="5"/>
  <c r="F43" i="5"/>
  <c r="E43" i="5"/>
  <c r="D43" i="5"/>
  <c r="C43" i="5"/>
  <c r="H42" i="5"/>
  <c r="G42" i="5"/>
  <c r="F42" i="5"/>
  <c r="E42" i="5"/>
  <c r="D42" i="5"/>
  <c r="C42" i="5"/>
  <c r="H41" i="5"/>
  <c r="G41" i="5"/>
  <c r="F41" i="5"/>
  <c r="E41" i="5"/>
  <c r="D41" i="5"/>
  <c r="C41" i="5"/>
  <c r="H37" i="5"/>
  <c r="E37" i="5"/>
  <c r="H36" i="5"/>
  <c r="F36" i="5"/>
  <c r="D36" i="5"/>
  <c r="H35" i="5"/>
  <c r="D35" i="5"/>
  <c r="H34" i="5"/>
  <c r="G34" i="5"/>
  <c r="F34" i="5"/>
  <c r="E34" i="5"/>
  <c r="H33" i="5"/>
  <c r="F33" i="5"/>
  <c r="D33" i="5"/>
  <c r="C33" i="5"/>
  <c r="H32" i="5"/>
  <c r="D32" i="5"/>
  <c r="C32" i="5"/>
  <c r="H26" i="5"/>
  <c r="G26" i="5"/>
  <c r="F26" i="5"/>
  <c r="E26" i="5"/>
  <c r="D26" i="5"/>
  <c r="H25" i="5"/>
  <c r="G25" i="5"/>
  <c r="F25" i="5"/>
  <c r="E25" i="5"/>
  <c r="D25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H19" i="5"/>
  <c r="G19" i="5"/>
  <c r="F19" i="5"/>
  <c r="E19" i="5"/>
  <c r="D19" i="5"/>
  <c r="H18" i="5"/>
  <c r="G18" i="5"/>
  <c r="F18" i="5"/>
  <c r="E18" i="5"/>
  <c r="D18" i="5"/>
  <c r="H17" i="5"/>
  <c r="G17" i="5"/>
  <c r="F17" i="5"/>
  <c r="E17" i="5"/>
  <c r="D17" i="5"/>
  <c r="H16" i="5"/>
  <c r="G16" i="5"/>
  <c r="F16" i="5"/>
  <c r="E16" i="5"/>
  <c r="D16" i="5"/>
  <c r="H15" i="5"/>
  <c r="G15" i="5"/>
  <c r="F15" i="5"/>
  <c r="E15" i="5"/>
  <c r="D15" i="5"/>
  <c r="H14" i="5"/>
  <c r="G14" i="5"/>
  <c r="F14" i="5"/>
  <c r="E14" i="5"/>
  <c r="D14" i="5"/>
  <c r="H13" i="5"/>
  <c r="G13" i="5"/>
  <c r="F13" i="5"/>
  <c r="E13" i="5"/>
  <c r="D13" i="5"/>
  <c r="H11" i="5"/>
  <c r="G11" i="5"/>
  <c r="F11" i="5"/>
  <c r="E11" i="5"/>
  <c r="D11" i="5"/>
  <c r="H10" i="5"/>
  <c r="G10" i="5"/>
  <c r="F10" i="5"/>
  <c r="E10" i="5"/>
  <c r="D10" i="5"/>
  <c r="H9" i="5"/>
  <c r="G9" i="5"/>
  <c r="F9" i="5"/>
  <c r="E9" i="5"/>
  <c r="D9" i="5"/>
  <c r="H8" i="5"/>
  <c r="G8" i="5"/>
  <c r="F8" i="5"/>
  <c r="E8" i="5"/>
  <c r="H7" i="5"/>
  <c r="G7" i="5"/>
  <c r="F7" i="5"/>
  <c r="E7" i="5"/>
  <c r="D7" i="5"/>
  <c r="H1379" i="4"/>
  <c r="I1379" i="4" s="1"/>
  <c r="H1378" i="4"/>
  <c r="I1378" i="4" s="1"/>
  <c r="H1377" i="4"/>
  <c r="I1377" i="4" s="1"/>
  <c r="H1376" i="4"/>
  <c r="I1376" i="4" s="1"/>
  <c r="H1375" i="4"/>
  <c r="I1375" i="4" s="1"/>
  <c r="H1374" i="4"/>
  <c r="I1374" i="4" s="1"/>
  <c r="H1373" i="4"/>
  <c r="I1373" i="4" s="1"/>
  <c r="H1372" i="4"/>
  <c r="I1372" i="4" s="1"/>
  <c r="H1371" i="4"/>
  <c r="I1371" i="4" s="1"/>
  <c r="H1370" i="4"/>
  <c r="I1370" i="4" s="1"/>
  <c r="H1369" i="4"/>
  <c r="I1369" i="4" s="1"/>
  <c r="H1368" i="4"/>
  <c r="I1368" i="4" s="1"/>
  <c r="H1367" i="4"/>
  <c r="I1367" i="4" s="1"/>
  <c r="H1366" i="4"/>
  <c r="I1366" i="4" s="1"/>
  <c r="H1365" i="4"/>
  <c r="I1365" i="4" s="1"/>
  <c r="H1364" i="4"/>
  <c r="I1364" i="4" s="1"/>
  <c r="H1363" i="4"/>
  <c r="I1363" i="4" s="1"/>
  <c r="H1362" i="4"/>
  <c r="I1362" i="4" s="1"/>
  <c r="H1361" i="4"/>
  <c r="I1361" i="4" s="1"/>
  <c r="H1360" i="4"/>
  <c r="I1360" i="4" s="1"/>
  <c r="H1359" i="4"/>
  <c r="I1359" i="4" s="1"/>
  <c r="H1358" i="4"/>
  <c r="I1358" i="4" s="1"/>
  <c r="H1357" i="4"/>
  <c r="I1357" i="4" s="1"/>
  <c r="H1356" i="4"/>
  <c r="I1356" i="4" s="1"/>
  <c r="H1355" i="4"/>
  <c r="I1355" i="4" s="1"/>
  <c r="H1354" i="4"/>
  <c r="I1354" i="4" s="1"/>
  <c r="H1353" i="4"/>
  <c r="I1353" i="4" s="1"/>
  <c r="H1352" i="4"/>
  <c r="I1352" i="4" s="1"/>
  <c r="H1351" i="4"/>
  <c r="I1351" i="4" s="1"/>
  <c r="H1350" i="4"/>
  <c r="I1350" i="4" s="1"/>
  <c r="H1349" i="4"/>
  <c r="I1349" i="4" s="1"/>
  <c r="H1348" i="4"/>
  <c r="I1348" i="4" s="1"/>
  <c r="H1347" i="4"/>
  <c r="I1347" i="4" s="1"/>
  <c r="H1346" i="4"/>
  <c r="I1346" i="4" s="1"/>
  <c r="H1345" i="4"/>
  <c r="I1345" i="4" s="1"/>
  <c r="H1344" i="4"/>
  <c r="I1344" i="4" s="1"/>
  <c r="H1343" i="4"/>
  <c r="I1343" i="4" s="1"/>
  <c r="H1342" i="4"/>
  <c r="I1342" i="4" s="1"/>
  <c r="H1341" i="4"/>
  <c r="I1341" i="4" s="1"/>
  <c r="H1340" i="4"/>
  <c r="I1340" i="4" s="1"/>
  <c r="H1339" i="4"/>
  <c r="I1339" i="4" s="1"/>
  <c r="H1338" i="4"/>
  <c r="I1338" i="4" s="1"/>
  <c r="H1337" i="4"/>
  <c r="I1337" i="4" s="1"/>
  <c r="H1336" i="4"/>
  <c r="I1336" i="4" s="1"/>
  <c r="H1335" i="4"/>
  <c r="I1335" i="4" s="1"/>
  <c r="H1334" i="4"/>
  <c r="I1334" i="4" s="1"/>
  <c r="H1333" i="4"/>
  <c r="I1333" i="4" s="1"/>
  <c r="H1332" i="4"/>
  <c r="I1332" i="4" s="1"/>
  <c r="H1331" i="4"/>
  <c r="I1331" i="4" s="1"/>
  <c r="H1330" i="4"/>
  <c r="I1330" i="4" s="1"/>
  <c r="H1329" i="4"/>
  <c r="I1329" i="4" s="1"/>
  <c r="H1328" i="4"/>
  <c r="I1328" i="4" s="1"/>
  <c r="H1327" i="4"/>
  <c r="I1327" i="4" s="1"/>
  <c r="H1326" i="4"/>
  <c r="I1326" i="4" s="1"/>
  <c r="H1325" i="4"/>
  <c r="I1325" i="4" s="1"/>
  <c r="H1324" i="4"/>
  <c r="I1324" i="4" s="1"/>
  <c r="H1323" i="4"/>
  <c r="I1323" i="4" s="1"/>
  <c r="H1322" i="4"/>
  <c r="I1322" i="4" s="1"/>
  <c r="H1321" i="4"/>
  <c r="I1321" i="4" s="1"/>
  <c r="H1320" i="4"/>
  <c r="I1320" i="4" s="1"/>
  <c r="H1319" i="4"/>
  <c r="I1319" i="4" s="1"/>
  <c r="H1318" i="4"/>
  <c r="I1318" i="4" s="1"/>
  <c r="H1317" i="4"/>
  <c r="I1317" i="4" s="1"/>
  <c r="H1316" i="4"/>
  <c r="I1316" i="4" s="1"/>
  <c r="H1315" i="4"/>
  <c r="I1315" i="4" s="1"/>
  <c r="H1314" i="4"/>
  <c r="I1314" i="4" s="1"/>
  <c r="H1313" i="4"/>
  <c r="I1313" i="4" s="1"/>
  <c r="H1312" i="4"/>
  <c r="I1312" i="4" s="1"/>
  <c r="H1311" i="4"/>
  <c r="I1311" i="4" s="1"/>
  <c r="H1310" i="4"/>
  <c r="I1310" i="4" s="1"/>
  <c r="H1309" i="4"/>
  <c r="I1309" i="4" s="1"/>
  <c r="H1308" i="4"/>
  <c r="I1308" i="4" s="1"/>
  <c r="H1307" i="4"/>
  <c r="I1307" i="4" s="1"/>
  <c r="H1306" i="4"/>
  <c r="I1306" i="4" s="1"/>
  <c r="H1305" i="4"/>
  <c r="I1305" i="4" s="1"/>
  <c r="H1304" i="4"/>
  <c r="I1304" i="4" s="1"/>
  <c r="H1303" i="4"/>
  <c r="I1303" i="4" s="1"/>
  <c r="H1302" i="4"/>
  <c r="I1302" i="4" s="1"/>
  <c r="H1301" i="4"/>
  <c r="I1301" i="4" s="1"/>
  <c r="H1300" i="4"/>
  <c r="I1300" i="4" s="1"/>
  <c r="H1299" i="4"/>
  <c r="I1299" i="4" s="1"/>
  <c r="H1298" i="4"/>
  <c r="I1298" i="4" s="1"/>
  <c r="H1297" i="4"/>
  <c r="I1297" i="4" s="1"/>
  <c r="H1296" i="4"/>
  <c r="I1296" i="4" s="1"/>
  <c r="H1295" i="4"/>
  <c r="I1295" i="4" s="1"/>
  <c r="H1294" i="4"/>
  <c r="I1294" i="4" s="1"/>
  <c r="H1293" i="4"/>
  <c r="I1293" i="4" s="1"/>
  <c r="H1292" i="4"/>
  <c r="I1292" i="4" s="1"/>
  <c r="H1291" i="4"/>
  <c r="I1291" i="4" s="1"/>
  <c r="H1290" i="4"/>
  <c r="I1290" i="4" s="1"/>
  <c r="H1289" i="4"/>
  <c r="I1289" i="4" s="1"/>
  <c r="H1288" i="4"/>
  <c r="I1288" i="4" s="1"/>
  <c r="H1287" i="4"/>
  <c r="I1287" i="4" s="1"/>
  <c r="H1286" i="4"/>
  <c r="I1286" i="4" s="1"/>
  <c r="H1285" i="4"/>
  <c r="I1285" i="4" s="1"/>
  <c r="H1284" i="4"/>
  <c r="I1284" i="4" s="1"/>
  <c r="H1283" i="4"/>
  <c r="I1283" i="4" s="1"/>
  <c r="H1282" i="4"/>
  <c r="I1282" i="4" s="1"/>
  <c r="H1281" i="4"/>
  <c r="I1281" i="4" s="1"/>
  <c r="H1280" i="4"/>
  <c r="I1280" i="4" s="1"/>
  <c r="H1279" i="4"/>
  <c r="I1279" i="4" s="1"/>
  <c r="H1278" i="4"/>
  <c r="I1278" i="4" s="1"/>
  <c r="H1277" i="4"/>
  <c r="I1277" i="4" s="1"/>
  <c r="H1276" i="4"/>
  <c r="I1276" i="4" s="1"/>
  <c r="H1275" i="4"/>
  <c r="I1275" i="4" s="1"/>
  <c r="H1274" i="4"/>
  <c r="I1274" i="4" s="1"/>
  <c r="H1273" i="4"/>
  <c r="I1273" i="4" s="1"/>
  <c r="H1272" i="4"/>
  <c r="I1272" i="4" s="1"/>
  <c r="H1271" i="4"/>
  <c r="I1271" i="4" s="1"/>
  <c r="H1270" i="4"/>
  <c r="I1270" i="4" s="1"/>
  <c r="H1269" i="4"/>
  <c r="I1269" i="4" s="1"/>
  <c r="H1268" i="4"/>
  <c r="I1268" i="4" s="1"/>
  <c r="H1267" i="4"/>
  <c r="I1267" i="4" s="1"/>
  <c r="H1266" i="4"/>
  <c r="I1266" i="4" s="1"/>
  <c r="H1265" i="4"/>
  <c r="I1265" i="4" s="1"/>
  <c r="H1264" i="4"/>
  <c r="I1264" i="4" s="1"/>
  <c r="H1263" i="4"/>
  <c r="I1263" i="4" s="1"/>
  <c r="H1262" i="4"/>
  <c r="I1262" i="4" s="1"/>
  <c r="H1261" i="4"/>
  <c r="I1261" i="4" s="1"/>
  <c r="H1260" i="4"/>
  <c r="I1260" i="4" s="1"/>
  <c r="H1259" i="4"/>
  <c r="I1259" i="4" s="1"/>
  <c r="H1258" i="4"/>
  <c r="I1258" i="4" s="1"/>
  <c r="H1257" i="4"/>
  <c r="I1257" i="4" s="1"/>
  <c r="H1256" i="4"/>
  <c r="I1256" i="4" s="1"/>
  <c r="H1255" i="4"/>
  <c r="I1255" i="4" s="1"/>
  <c r="H1254" i="4"/>
  <c r="I1254" i="4" s="1"/>
  <c r="H1253" i="4"/>
  <c r="I1253" i="4" s="1"/>
  <c r="H1252" i="4"/>
  <c r="I1252" i="4" s="1"/>
  <c r="H1251" i="4"/>
  <c r="I1251" i="4" s="1"/>
  <c r="H1250" i="4"/>
  <c r="I1250" i="4" s="1"/>
  <c r="H1249" i="4"/>
  <c r="I1249" i="4" s="1"/>
  <c r="H1248" i="4"/>
  <c r="I1248" i="4" s="1"/>
  <c r="H1247" i="4"/>
  <c r="I1247" i="4" s="1"/>
  <c r="H1246" i="4"/>
  <c r="I1246" i="4" s="1"/>
  <c r="H1245" i="4"/>
  <c r="I1245" i="4" s="1"/>
  <c r="H1244" i="4"/>
  <c r="I1244" i="4" s="1"/>
  <c r="H1243" i="4"/>
  <c r="I1243" i="4" s="1"/>
  <c r="H1242" i="4"/>
  <c r="I1242" i="4" s="1"/>
  <c r="H1241" i="4"/>
  <c r="I1241" i="4" s="1"/>
  <c r="H1240" i="4"/>
  <c r="I1240" i="4" s="1"/>
  <c r="H1239" i="4"/>
  <c r="I1239" i="4" s="1"/>
  <c r="H1238" i="4"/>
  <c r="I1238" i="4" s="1"/>
  <c r="H1237" i="4"/>
  <c r="I1237" i="4" s="1"/>
  <c r="H1236" i="4"/>
  <c r="I1236" i="4" s="1"/>
  <c r="H1235" i="4"/>
  <c r="I1235" i="4" s="1"/>
  <c r="H1234" i="4"/>
  <c r="I1234" i="4" s="1"/>
  <c r="H1233" i="4"/>
  <c r="I1233" i="4" s="1"/>
  <c r="H1232" i="4"/>
  <c r="I1232" i="4" s="1"/>
  <c r="H1231" i="4"/>
  <c r="I1231" i="4" s="1"/>
  <c r="H1230" i="4"/>
  <c r="I1230" i="4" s="1"/>
  <c r="H1229" i="4"/>
  <c r="I1229" i="4" s="1"/>
  <c r="H1228" i="4"/>
  <c r="I1228" i="4" s="1"/>
  <c r="H1227" i="4"/>
  <c r="I1227" i="4" s="1"/>
  <c r="H1226" i="4"/>
  <c r="I1226" i="4" s="1"/>
  <c r="H1225" i="4"/>
  <c r="I1225" i="4" s="1"/>
  <c r="H1224" i="4"/>
  <c r="I1224" i="4" s="1"/>
  <c r="H1223" i="4"/>
  <c r="I1223" i="4" s="1"/>
  <c r="H1222" i="4"/>
  <c r="I1222" i="4" s="1"/>
  <c r="H1221" i="4"/>
  <c r="I1221" i="4" s="1"/>
  <c r="H1220" i="4"/>
  <c r="I1220" i="4" s="1"/>
  <c r="H1219" i="4"/>
  <c r="I1219" i="4" s="1"/>
  <c r="H1218" i="4"/>
  <c r="I1218" i="4" s="1"/>
  <c r="H1217" i="4"/>
  <c r="I1217" i="4" s="1"/>
  <c r="H1216" i="4"/>
  <c r="I1216" i="4" s="1"/>
  <c r="H1215" i="4"/>
  <c r="I1215" i="4" s="1"/>
  <c r="H1214" i="4"/>
  <c r="I1214" i="4" s="1"/>
  <c r="H1213" i="4"/>
  <c r="I1213" i="4" s="1"/>
  <c r="H1212" i="4"/>
  <c r="I1212" i="4" s="1"/>
  <c r="H1211" i="4"/>
  <c r="I1211" i="4" s="1"/>
  <c r="H1210" i="4"/>
  <c r="I1210" i="4" s="1"/>
  <c r="H1209" i="4"/>
  <c r="I1209" i="4" s="1"/>
  <c r="H1208" i="4"/>
  <c r="I1208" i="4" s="1"/>
  <c r="H1207" i="4"/>
  <c r="I1207" i="4" s="1"/>
  <c r="H1206" i="4"/>
  <c r="I1206" i="4" s="1"/>
  <c r="H1205" i="4"/>
  <c r="I1205" i="4" s="1"/>
  <c r="H1204" i="4"/>
  <c r="I1204" i="4" s="1"/>
  <c r="H1203" i="4"/>
  <c r="I1203" i="4" s="1"/>
  <c r="H1202" i="4"/>
  <c r="I1202" i="4" s="1"/>
  <c r="H1201" i="4"/>
  <c r="I1201" i="4" s="1"/>
  <c r="H1200" i="4"/>
  <c r="I1200" i="4" s="1"/>
  <c r="H1199" i="4"/>
  <c r="I1199" i="4" s="1"/>
  <c r="H1198" i="4"/>
  <c r="I1198" i="4" s="1"/>
  <c r="H1197" i="4"/>
  <c r="I1197" i="4" s="1"/>
  <c r="H1196" i="4"/>
  <c r="I1196" i="4" s="1"/>
  <c r="H1195" i="4"/>
  <c r="I1195" i="4" s="1"/>
  <c r="H1194" i="4"/>
  <c r="I1194" i="4" s="1"/>
  <c r="H1193" i="4"/>
  <c r="I1193" i="4" s="1"/>
  <c r="H1192" i="4"/>
  <c r="I1192" i="4" s="1"/>
  <c r="H1191" i="4"/>
  <c r="I1191" i="4" s="1"/>
  <c r="H1190" i="4"/>
  <c r="I1190" i="4" s="1"/>
  <c r="H1189" i="4"/>
  <c r="I1189" i="4" s="1"/>
  <c r="I1188" i="4"/>
  <c r="H1188" i="4"/>
  <c r="H1187" i="4"/>
  <c r="I1187" i="4" s="1"/>
  <c r="H1186" i="4"/>
  <c r="I1186" i="4" s="1"/>
  <c r="H1185" i="4"/>
  <c r="I1185" i="4" s="1"/>
  <c r="H1184" i="4"/>
  <c r="I1184" i="4" s="1"/>
  <c r="H1183" i="4"/>
  <c r="I1183" i="4" s="1"/>
  <c r="H1182" i="4"/>
  <c r="I1182" i="4" s="1"/>
  <c r="H1181" i="4"/>
  <c r="I1181" i="4" s="1"/>
  <c r="H1180" i="4"/>
  <c r="I1180" i="4" s="1"/>
  <c r="H1179" i="4"/>
  <c r="I1179" i="4" s="1"/>
  <c r="H1178" i="4"/>
  <c r="I1178" i="4" s="1"/>
  <c r="H1177" i="4"/>
  <c r="I1177" i="4" s="1"/>
  <c r="H1176" i="4"/>
  <c r="I1176" i="4" s="1"/>
  <c r="H1175" i="4"/>
  <c r="I1175" i="4" s="1"/>
  <c r="H1174" i="4"/>
  <c r="I1174" i="4" s="1"/>
  <c r="H1173" i="4"/>
  <c r="I1173" i="4" s="1"/>
  <c r="H1172" i="4"/>
  <c r="I1172" i="4" s="1"/>
  <c r="H1171" i="4"/>
  <c r="I1171" i="4" s="1"/>
  <c r="H1170" i="4"/>
  <c r="I1170" i="4" s="1"/>
  <c r="H1169" i="4"/>
  <c r="I1169" i="4" s="1"/>
  <c r="H1168" i="4"/>
  <c r="I1168" i="4" s="1"/>
  <c r="H1167" i="4"/>
  <c r="I1167" i="4" s="1"/>
  <c r="H1166" i="4"/>
  <c r="I1166" i="4" s="1"/>
  <c r="H1165" i="4"/>
  <c r="I1165" i="4" s="1"/>
  <c r="H1164" i="4"/>
  <c r="I1164" i="4" s="1"/>
  <c r="H1163" i="4"/>
  <c r="I1163" i="4" s="1"/>
  <c r="H1162" i="4"/>
  <c r="I1162" i="4" s="1"/>
  <c r="H1161" i="4"/>
  <c r="I1161" i="4" s="1"/>
  <c r="H1160" i="4"/>
  <c r="I1160" i="4" s="1"/>
  <c r="H1159" i="4"/>
  <c r="I1159" i="4" s="1"/>
  <c r="H1158" i="4"/>
  <c r="I1158" i="4" s="1"/>
  <c r="H1157" i="4"/>
  <c r="I1157" i="4" s="1"/>
  <c r="H1156" i="4"/>
  <c r="I1156" i="4" s="1"/>
  <c r="H1155" i="4"/>
  <c r="I1155" i="4" s="1"/>
  <c r="H1154" i="4"/>
  <c r="I1154" i="4" s="1"/>
  <c r="H1153" i="4"/>
  <c r="I1153" i="4" s="1"/>
  <c r="H1152" i="4"/>
  <c r="I1152" i="4" s="1"/>
  <c r="H1151" i="4"/>
  <c r="I1151" i="4" s="1"/>
  <c r="H1150" i="4"/>
  <c r="I1150" i="4" s="1"/>
  <c r="H1149" i="4"/>
  <c r="I1149" i="4" s="1"/>
  <c r="H1148" i="4"/>
  <c r="I1148" i="4" s="1"/>
  <c r="H1147" i="4"/>
  <c r="I1147" i="4" s="1"/>
  <c r="H1146" i="4"/>
  <c r="I1146" i="4" s="1"/>
  <c r="H1145" i="4"/>
  <c r="I1145" i="4" s="1"/>
  <c r="H1144" i="4"/>
  <c r="I1144" i="4" s="1"/>
  <c r="H1143" i="4"/>
  <c r="I1143" i="4" s="1"/>
  <c r="H1142" i="4"/>
  <c r="I1142" i="4" s="1"/>
  <c r="H1141" i="4"/>
  <c r="I1141" i="4" s="1"/>
  <c r="H1140" i="4"/>
  <c r="I1140" i="4" s="1"/>
  <c r="H1139" i="4"/>
  <c r="I1139" i="4" s="1"/>
  <c r="H1138" i="4"/>
  <c r="I1138" i="4" s="1"/>
  <c r="H1137" i="4"/>
  <c r="I1137" i="4" s="1"/>
  <c r="H1136" i="4"/>
  <c r="I1136" i="4" s="1"/>
  <c r="H1135" i="4"/>
  <c r="I1135" i="4" s="1"/>
  <c r="H1134" i="4"/>
  <c r="I1134" i="4" s="1"/>
  <c r="H1133" i="4"/>
  <c r="I1133" i="4" s="1"/>
  <c r="H1132" i="4"/>
  <c r="I1132" i="4" s="1"/>
  <c r="H1131" i="4"/>
  <c r="I1131" i="4" s="1"/>
  <c r="H1130" i="4"/>
  <c r="I1130" i="4" s="1"/>
  <c r="H1129" i="4"/>
  <c r="I1129" i="4" s="1"/>
  <c r="H1128" i="4"/>
  <c r="I1128" i="4" s="1"/>
  <c r="H1127" i="4"/>
  <c r="I1127" i="4" s="1"/>
  <c r="H1126" i="4"/>
  <c r="I1126" i="4" s="1"/>
  <c r="H1125" i="4"/>
  <c r="I1125" i="4" s="1"/>
  <c r="H1124" i="4"/>
  <c r="I1124" i="4" s="1"/>
  <c r="H1123" i="4"/>
  <c r="I1123" i="4" s="1"/>
  <c r="H1122" i="4"/>
  <c r="I1122" i="4" s="1"/>
  <c r="H1121" i="4"/>
  <c r="I1121" i="4" s="1"/>
  <c r="H1120" i="4"/>
  <c r="I1120" i="4" s="1"/>
  <c r="H1119" i="4"/>
  <c r="I1119" i="4" s="1"/>
  <c r="H1118" i="4"/>
  <c r="I1118" i="4" s="1"/>
  <c r="H1117" i="4"/>
  <c r="I1117" i="4" s="1"/>
  <c r="H1116" i="4"/>
  <c r="I1116" i="4" s="1"/>
  <c r="H1115" i="4"/>
  <c r="I1115" i="4" s="1"/>
  <c r="H1114" i="4"/>
  <c r="I1114" i="4" s="1"/>
  <c r="H1113" i="4"/>
  <c r="I1113" i="4" s="1"/>
  <c r="H1112" i="4"/>
  <c r="I1112" i="4" s="1"/>
  <c r="H1111" i="4"/>
  <c r="I1111" i="4" s="1"/>
  <c r="H1110" i="4"/>
  <c r="I1110" i="4" s="1"/>
  <c r="H1109" i="4"/>
  <c r="I1109" i="4" s="1"/>
  <c r="H1108" i="4"/>
  <c r="I1108" i="4" s="1"/>
  <c r="H1107" i="4"/>
  <c r="I1107" i="4" s="1"/>
  <c r="H1106" i="4"/>
  <c r="I1106" i="4" s="1"/>
  <c r="H1105" i="4"/>
  <c r="I1105" i="4" s="1"/>
  <c r="H1104" i="4"/>
  <c r="I1104" i="4" s="1"/>
  <c r="H1103" i="4"/>
  <c r="I1103" i="4" s="1"/>
  <c r="H1102" i="4"/>
  <c r="I1102" i="4" s="1"/>
  <c r="H1101" i="4"/>
  <c r="I1101" i="4" s="1"/>
  <c r="H1100" i="4"/>
  <c r="I1100" i="4" s="1"/>
  <c r="H1099" i="4"/>
  <c r="I1099" i="4" s="1"/>
  <c r="H1098" i="4"/>
  <c r="I1098" i="4" s="1"/>
  <c r="H1097" i="4"/>
  <c r="I1097" i="4" s="1"/>
  <c r="H1096" i="4"/>
  <c r="I1096" i="4" s="1"/>
  <c r="H1095" i="4"/>
  <c r="I1095" i="4" s="1"/>
  <c r="H1094" i="4"/>
  <c r="I1094" i="4" s="1"/>
  <c r="H1093" i="4"/>
  <c r="I1093" i="4" s="1"/>
  <c r="I1092" i="4"/>
  <c r="H1092" i="4"/>
  <c r="H1091" i="4"/>
  <c r="I1091" i="4" s="1"/>
  <c r="H1090" i="4"/>
  <c r="I1090" i="4" s="1"/>
  <c r="H1089" i="4"/>
  <c r="I1089" i="4" s="1"/>
  <c r="H1088" i="4"/>
  <c r="I1088" i="4" s="1"/>
  <c r="H1087" i="4"/>
  <c r="I1087" i="4" s="1"/>
  <c r="H1086" i="4"/>
  <c r="I1086" i="4" s="1"/>
  <c r="H1085" i="4"/>
  <c r="I1085" i="4" s="1"/>
  <c r="H1084" i="4"/>
  <c r="I1084" i="4" s="1"/>
  <c r="H1083" i="4"/>
  <c r="I1083" i="4" s="1"/>
  <c r="H1082" i="4"/>
  <c r="I1082" i="4" s="1"/>
  <c r="H1081" i="4"/>
  <c r="I1081" i="4" s="1"/>
  <c r="H1080" i="4"/>
  <c r="I1080" i="4" s="1"/>
  <c r="H1079" i="4"/>
  <c r="I1079" i="4" s="1"/>
  <c r="H1078" i="4"/>
  <c r="I1078" i="4" s="1"/>
  <c r="H1077" i="4"/>
  <c r="I1077" i="4" s="1"/>
  <c r="H1076" i="4"/>
  <c r="I1076" i="4" s="1"/>
  <c r="H1075" i="4"/>
  <c r="I1075" i="4" s="1"/>
  <c r="H1074" i="4"/>
  <c r="I1074" i="4" s="1"/>
  <c r="H1073" i="4"/>
  <c r="I1073" i="4" s="1"/>
  <c r="H1072" i="4"/>
  <c r="I1072" i="4" s="1"/>
  <c r="H1071" i="4"/>
  <c r="I1071" i="4" s="1"/>
  <c r="H1070" i="4"/>
  <c r="I1070" i="4" s="1"/>
  <c r="H1069" i="4"/>
  <c r="I1069" i="4" s="1"/>
  <c r="H1068" i="4"/>
  <c r="I1068" i="4" s="1"/>
  <c r="H1067" i="4"/>
  <c r="I1067" i="4" s="1"/>
  <c r="H1066" i="4"/>
  <c r="I1066" i="4" s="1"/>
  <c r="H1065" i="4"/>
  <c r="I1065" i="4" s="1"/>
  <c r="H1064" i="4"/>
  <c r="I1064" i="4" s="1"/>
  <c r="H1063" i="4"/>
  <c r="I1063" i="4" s="1"/>
  <c r="H1062" i="4"/>
  <c r="I1062" i="4" s="1"/>
  <c r="H1061" i="4"/>
  <c r="I1061" i="4" s="1"/>
  <c r="H1060" i="4"/>
  <c r="I1060" i="4" s="1"/>
  <c r="H1059" i="4"/>
  <c r="I1059" i="4" s="1"/>
  <c r="H1058" i="4"/>
  <c r="I1058" i="4" s="1"/>
  <c r="H1057" i="4"/>
  <c r="I1057" i="4" s="1"/>
  <c r="H1056" i="4"/>
  <c r="I1056" i="4" s="1"/>
  <c r="H1055" i="4"/>
  <c r="I1055" i="4" s="1"/>
  <c r="H1054" i="4"/>
  <c r="I1054" i="4" s="1"/>
  <c r="H1053" i="4"/>
  <c r="I1053" i="4" s="1"/>
  <c r="H1052" i="4"/>
  <c r="I1052" i="4" s="1"/>
  <c r="H1051" i="4"/>
  <c r="I1051" i="4" s="1"/>
  <c r="H1050" i="4"/>
  <c r="I1050" i="4" s="1"/>
  <c r="H1049" i="4"/>
  <c r="I1049" i="4" s="1"/>
  <c r="H1048" i="4"/>
  <c r="I1048" i="4" s="1"/>
  <c r="H1047" i="4"/>
  <c r="I1047" i="4" s="1"/>
  <c r="H1046" i="4"/>
  <c r="I1046" i="4" s="1"/>
  <c r="H1045" i="4"/>
  <c r="I1045" i="4" s="1"/>
  <c r="H1044" i="4"/>
  <c r="I1044" i="4" s="1"/>
  <c r="H1043" i="4"/>
  <c r="I1043" i="4" s="1"/>
  <c r="H1042" i="4"/>
  <c r="I1042" i="4" s="1"/>
  <c r="H1041" i="4"/>
  <c r="I1041" i="4" s="1"/>
  <c r="H1040" i="4"/>
  <c r="I1040" i="4" s="1"/>
  <c r="H1039" i="4"/>
  <c r="I1039" i="4" s="1"/>
  <c r="H1038" i="4"/>
  <c r="I1038" i="4" s="1"/>
  <c r="H1037" i="4"/>
  <c r="I1037" i="4" s="1"/>
  <c r="H1036" i="4"/>
  <c r="I1036" i="4" s="1"/>
  <c r="H1035" i="4"/>
  <c r="I1035" i="4" s="1"/>
  <c r="H1034" i="4"/>
  <c r="I1034" i="4" s="1"/>
  <c r="H1033" i="4"/>
  <c r="I1033" i="4" s="1"/>
  <c r="H1032" i="4"/>
  <c r="I1032" i="4" s="1"/>
  <c r="H1031" i="4"/>
  <c r="I1031" i="4" s="1"/>
  <c r="H1030" i="4"/>
  <c r="I1030" i="4" s="1"/>
  <c r="H1029" i="4"/>
  <c r="I1029" i="4" s="1"/>
  <c r="H1028" i="4"/>
  <c r="I1028" i="4" s="1"/>
  <c r="H1027" i="4"/>
  <c r="I1027" i="4" s="1"/>
  <c r="H1026" i="4"/>
  <c r="I1026" i="4" s="1"/>
  <c r="H1025" i="4"/>
  <c r="I1025" i="4" s="1"/>
  <c r="H1024" i="4"/>
  <c r="I1024" i="4" s="1"/>
  <c r="H1023" i="4"/>
  <c r="I1023" i="4" s="1"/>
  <c r="H1022" i="4"/>
  <c r="I1022" i="4" s="1"/>
  <c r="H1021" i="4"/>
  <c r="I1021" i="4" s="1"/>
  <c r="H1020" i="4"/>
  <c r="I1020" i="4" s="1"/>
  <c r="H1019" i="4"/>
  <c r="I1019" i="4" s="1"/>
  <c r="H1018" i="4"/>
  <c r="I1018" i="4" s="1"/>
  <c r="H1017" i="4"/>
  <c r="I1017" i="4" s="1"/>
  <c r="H1016" i="4"/>
  <c r="I1016" i="4" s="1"/>
  <c r="H1015" i="4"/>
  <c r="I1015" i="4" s="1"/>
  <c r="H1014" i="4"/>
  <c r="I1014" i="4" s="1"/>
  <c r="H1013" i="4"/>
  <c r="I1013" i="4" s="1"/>
  <c r="H1012" i="4"/>
  <c r="I1012" i="4" s="1"/>
  <c r="H1011" i="4"/>
  <c r="I1011" i="4" s="1"/>
  <c r="H1010" i="4"/>
  <c r="I1010" i="4" s="1"/>
  <c r="H1009" i="4"/>
  <c r="I1009" i="4" s="1"/>
  <c r="H1008" i="4"/>
  <c r="I1008" i="4" s="1"/>
  <c r="H1007" i="4"/>
  <c r="I1007" i="4" s="1"/>
  <c r="H1006" i="4"/>
  <c r="I1006" i="4" s="1"/>
  <c r="H1005" i="4"/>
  <c r="I1005" i="4" s="1"/>
  <c r="H1004" i="4"/>
  <c r="I1004" i="4" s="1"/>
  <c r="H1003" i="4"/>
  <c r="I1003" i="4" s="1"/>
  <c r="H1002" i="4"/>
  <c r="I1002" i="4" s="1"/>
  <c r="H1001" i="4"/>
  <c r="I1001" i="4" s="1"/>
  <c r="H1000" i="4"/>
  <c r="I1000" i="4" s="1"/>
  <c r="H999" i="4"/>
  <c r="I999" i="4" s="1"/>
  <c r="H998" i="4"/>
  <c r="I998" i="4" s="1"/>
  <c r="H997" i="4"/>
  <c r="I997" i="4" s="1"/>
  <c r="H996" i="4"/>
  <c r="I996" i="4" s="1"/>
  <c r="H995" i="4"/>
  <c r="I995" i="4" s="1"/>
  <c r="H994" i="4"/>
  <c r="I994" i="4" s="1"/>
  <c r="H993" i="4"/>
  <c r="I993" i="4" s="1"/>
  <c r="H992" i="4"/>
  <c r="I992" i="4" s="1"/>
  <c r="H991" i="4"/>
  <c r="I991" i="4" s="1"/>
  <c r="H990" i="4"/>
  <c r="I990" i="4" s="1"/>
  <c r="H989" i="4"/>
  <c r="I989" i="4" s="1"/>
  <c r="H988" i="4"/>
  <c r="I988" i="4" s="1"/>
  <c r="H987" i="4"/>
  <c r="I987" i="4" s="1"/>
  <c r="H986" i="4"/>
  <c r="I986" i="4" s="1"/>
  <c r="H985" i="4"/>
  <c r="I985" i="4" s="1"/>
  <c r="H984" i="4"/>
  <c r="I984" i="4" s="1"/>
  <c r="H983" i="4"/>
  <c r="I983" i="4" s="1"/>
  <c r="H982" i="4"/>
  <c r="I982" i="4" s="1"/>
  <c r="H981" i="4"/>
  <c r="I981" i="4" s="1"/>
  <c r="H980" i="4"/>
  <c r="I980" i="4" s="1"/>
  <c r="H979" i="4"/>
  <c r="I979" i="4" s="1"/>
  <c r="H978" i="4"/>
  <c r="I978" i="4" s="1"/>
  <c r="H977" i="4"/>
  <c r="I977" i="4" s="1"/>
  <c r="H976" i="4"/>
  <c r="I976" i="4" s="1"/>
  <c r="H975" i="4"/>
  <c r="I975" i="4" s="1"/>
  <c r="H974" i="4"/>
  <c r="I974" i="4" s="1"/>
  <c r="H973" i="4"/>
  <c r="I973" i="4" s="1"/>
  <c r="H972" i="4"/>
  <c r="I972" i="4" s="1"/>
  <c r="H971" i="4"/>
  <c r="I971" i="4" s="1"/>
  <c r="H970" i="4"/>
  <c r="I970" i="4" s="1"/>
  <c r="H969" i="4"/>
  <c r="I969" i="4" s="1"/>
  <c r="H968" i="4"/>
  <c r="I968" i="4" s="1"/>
  <c r="H967" i="4"/>
  <c r="I967" i="4" s="1"/>
  <c r="H966" i="4"/>
  <c r="I966" i="4" s="1"/>
  <c r="H965" i="4"/>
  <c r="I965" i="4" s="1"/>
  <c r="H964" i="4"/>
  <c r="I964" i="4" s="1"/>
  <c r="H963" i="4"/>
  <c r="I963" i="4" s="1"/>
  <c r="H962" i="4"/>
  <c r="I962" i="4" s="1"/>
  <c r="H961" i="4"/>
  <c r="I961" i="4" s="1"/>
  <c r="H960" i="4"/>
  <c r="I960" i="4" s="1"/>
  <c r="H959" i="4"/>
  <c r="I959" i="4" s="1"/>
  <c r="H958" i="4"/>
  <c r="I958" i="4" s="1"/>
  <c r="H957" i="4"/>
  <c r="I957" i="4" s="1"/>
  <c r="H956" i="4"/>
  <c r="I956" i="4" s="1"/>
  <c r="H955" i="4"/>
  <c r="I955" i="4" s="1"/>
  <c r="H954" i="4"/>
  <c r="I954" i="4" s="1"/>
  <c r="H953" i="4"/>
  <c r="I953" i="4" s="1"/>
  <c r="H952" i="4"/>
  <c r="I952" i="4" s="1"/>
  <c r="H951" i="4"/>
  <c r="I951" i="4" s="1"/>
  <c r="H950" i="4"/>
  <c r="I950" i="4" s="1"/>
  <c r="H949" i="4"/>
  <c r="I949" i="4" s="1"/>
  <c r="H948" i="4"/>
  <c r="I948" i="4" s="1"/>
  <c r="H947" i="4"/>
  <c r="I947" i="4" s="1"/>
  <c r="H946" i="4"/>
  <c r="I946" i="4" s="1"/>
  <c r="H945" i="4"/>
  <c r="I945" i="4" s="1"/>
  <c r="H944" i="4"/>
  <c r="I944" i="4" s="1"/>
  <c r="H943" i="4"/>
  <c r="I943" i="4" s="1"/>
  <c r="H942" i="4"/>
  <c r="I942" i="4" s="1"/>
  <c r="H941" i="4"/>
  <c r="I941" i="4" s="1"/>
  <c r="H940" i="4"/>
  <c r="I940" i="4" s="1"/>
  <c r="H939" i="4"/>
  <c r="I939" i="4" s="1"/>
  <c r="H938" i="4"/>
  <c r="I938" i="4" s="1"/>
  <c r="H937" i="4"/>
  <c r="I937" i="4" s="1"/>
  <c r="H936" i="4"/>
  <c r="I936" i="4" s="1"/>
  <c r="H935" i="4"/>
  <c r="I935" i="4" s="1"/>
  <c r="H934" i="4"/>
  <c r="I934" i="4" s="1"/>
  <c r="H933" i="4"/>
  <c r="I933" i="4" s="1"/>
  <c r="H932" i="4"/>
  <c r="I932" i="4" s="1"/>
  <c r="H931" i="4"/>
  <c r="I931" i="4" s="1"/>
  <c r="H930" i="4"/>
  <c r="I930" i="4" s="1"/>
  <c r="H929" i="4"/>
  <c r="I929" i="4" s="1"/>
  <c r="H928" i="4"/>
  <c r="I928" i="4" s="1"/>
  <c r="H927" i="4"/>
  <c r="I927" i="4" s="1"/>
  <c r="H926" i="4"/>
  <c r="I926" i="4" s="1"/>
  <c r="H925" i="4"/>
  <c r="I925" i="4" s="1"/>
  <c r="H924" i="4"/>
  <c r="I924" i="4" s="1"/>
  <c r="H923" i="4"/>
  <c r="I923" i="4" s="1"/>
  <c r="H922" i="4"/>
  <c r="I922" i="4" s="1"/>
  <c r="H921" i="4"/>
  <c r="I921" i="4" s="1"/>
  <c r="H920" i="4"/>
  <c r="I920" i="4" s="1"/>
  <c r="H919" i="4"/>
  <c r="I919" i="4" s="1"/>
  <c r="H918" i="4"/>
  <c r="I918" i="4" s="1"/>
  <c r="H917" i="4"/>
  <c r="I917" i="4" s="1"/>
  <c r="H916" i="4"/>
  <c r="I916" i="4" s="1"/>
  <c r="H915" i="4"/>
  <c r="I915" i="4" s="1"/>
  <c r="H914" i="4"/>
  <c r="I914" i="4" s="1"/>
  <c r="H913" i="4"/>
  <c r="I913" i="4" s="1"/>
  <c r="H912" i="4"/>
  <c r="I912" i="4" s="1"/>
  <c r="H911" i="4"/>
  <c r="I911" i="4" s="1"/>
  <c r="H910" i="4"/>
  <c r="I910" i="4" s="1"/>
  <c r="H909" i="4"/>
  <c r="I909" i="4" s="1"/>
  <c r="H908" i="4"/>
  <c r="I908" i="4" s="1"/>
  <c r="H907" i="4"/>
  <c r="I907" i="4" s="1"/>
  <c r="H906" i="4"/>
  <c r="I906" i="4" s="1"/>
  <c r="H905" i="4"/>
  <c r="I905" i="4" s="1"/>
  <c r="H904" i="4"/>
  <c r="I904" i="4" s="1"/>
  <c r="H903" i="4"/>
  <c r="I903" i="4" s="1"/>
  <c r="H902" i="4"/>
  <c r="I902" i="4" s="1"/>
  <c r="H901" i="4"/>
  <c r="I901" i="4" s="1"/>
  <c r="H900" i="4"/>
  <c r="I900" i="4" s="1"/>
  <c r="H899" i="4"/>
  <c r="I899" i="4" s="1"/>
  <c r="H898" i="4"/>
  <c r="I898" i="4" s="1"/>
  <c r="H897" i="4"/>
  <c r="I897" i="4" s="1"/>
  <c r="H896" i="4"/>
  <c r="I896" i="4" s="1"/>
  <c r="H895" i="4"/>
  <c r="I895" i="4" s="1"/>
  <c r="H894" i="4"/>
  <c r="I894" i="4" s="1"/>
  <c r="H893" i="4"/>
  <c r="I893" i="4" s="1"/>
  <c r="H892" i="4"/>
  <c r="I892" i="4" s="1"/>
  <c r="H891" i="4"/>
  <c r="I891" i="4" s="1"/>
  <c r="H890" i="4"/>
  <c r="I890" i="4" s="1"/>
  <c r="H889" i="4"/>
  <c r="I889" i="4" s="1"/>
  <c r="H888" i="4"/>
  <c r="I888" i="4" s="1"/>
  <c r="H887" i="4"/>
  <c r="I887" i="4" s="1"/>
  <c r="H886" i="4"/>
  <c r="I886" i="4" s="1"/>
  <c r="H885" i="4"/>
  <c r="I885" i="4" s="1"/>
  <c r="H884" i="4"/>
  <c r="I884" i="4" s="1"/>
  <c r="H883" i="4"/>
  <c r="I883" i="4" s="1"/>
  <c r="H882" i="4"/>
  <c r="I882" i="4" s="1"/>
  <c r="H881" i="4"/>
  <c r="I881" i="4" s="1"/>
  <c r="H880" i="4"/>
  <c r="I880" i="4" s="1"/>
  <c r="H879" i="4"/>
  <c r="I879" i="4" s="1"/>
  <c r="H878" i="4"/>
  <c r="I878" i="4" s="1"/>
  <c r="H877" i="4"/>
  <c r="I877" i="4" s="1"/>
  <c r="H876" i="4"/>
  <c r="I876" i="4" s="1"/>
  <c r="H875" i="4"/>
  <c r="I875" i="4" s="1"/>
  <c r="H874" i="4"/>
  <c r="I874" i="4" s="1"/>
  <c r="H873" i="4"/>
  <c r="I873" i="4" s="1"/>
  <c r="H872" i="4"/>
  <c r="I872" i="4" s="1"/>
  <c r="H871" i="4"/>
  <c r="I871" i="4" s="1"/>
  <c r="H870" i="4"/>
  <c r="I870" i="4" s="1"/>
  <c r="H869" i="4"/>
  <c r="I869" i="4" s="1"/>
  <c r="H868" i="4"/>
  <c r="I868" i="4" s="1"/>
  <c r="H867" i="4"/>
  <c r="I867" i="4" s="1"/>
  <c r="H866" i="4"/>
  <c r="I866" i="4" s="1"/>
  <c r="H865" i="4"/>
  <c r="I865" i="4" s="1"/>
  <c r="H864" i="4"/>
  <c r="I864" i="4" s="1"/>
  <c r="H863" i="4"/>
  <c r="I863" i="4" s="1"/>
  <c r="H862" i="4"/>
  <c r="I862" i="4" s="1"/>
  <c r="H861" i="4"/>
  <c r="I861" i="4" s="1"/>
  <c r="H860" i="4"/>
  <c r="I860" i="4" s="1"/>
  <c r="H859" i="4"/>
  <c r="I859" i="4" s="1"/>
  <c r="H858" i="4"/>
  <c r="I858" i="4" s="1"/>
  <c r="H857" i="4"/>
  <c r="I857" i="4" s="1"/>
  <c r="H856" i="4"/>
  <c r="I856" i="4" s="1"/>
  <c r="H855" i="4"/>
  <c r="I855" i="4" s="1"/>
  <c r="H854" i="4"/>
  <c r="I854" i="4" s="1"/>
  <c r="H853" i="4"/>
  <c r="I853" i="4" s="1"/>
  <c r="H852" i="4"/>
  <c r="I852" i="4" s="1"/>
  <c r="H851" i="4"/>
  <c r="I851" i="4" s="1"/>
  <c r="H850" i="4"/>
  <c r="I850" i="4" s="1"/>
  <c r="H849" i="4"/>
  <c r="I849" i="4" s="1"/>
  <c r="H848" i="4"/>
  <c r="I848" i="4" s="1"/>
  <c r="H847" i="4"/>
  <c r="I847" i="4" s="1"/>
  <c r="H846" i="4"/>
  <c r="I846" i="4" s="1"/>
  <c r="H845" i="4"/>
  <c r="I845" i="4" s="1"/>
  <c r="H844" i="4"/>
  <c r="I844" i="4" s="1"/>
  <c r="H843" i="4"/>
  <c r="I843" i="4" s="1"/>
  <c r="H842" i="4"/>
  <c r="I842" i="4" s="1"/>
  <c r="H841" i="4"/>
  <c r="I841" i="4" s="1"/>
  <c r="H840" i="4"/>
  <c r="I840" i="4" s="1"/>
  <c r="H839" i="4"/>
  <c r="I839" i="4" s="1"/>
  <c r="H838" i="4"/>
  <c r="I838" i="4" s="1"/>
  <c r="H837" i="4"/>
  <c r="I837" i="4" s="1"/>
  <c r="H836" i="4"/>
  <c r="I836" i="4" s="1"/>
  <c r="H835" i="4"/>
  <c r="I835" i="4" s="1"/>
  <c r="H834" i="4"/>
  <c r="I834" i="4" s="1"/>
  <c r="H833" i="4"/>
  <c r="I833" i="4" s="1"/>
  <c r="H832" i="4"/>
  <c r="I832" i="4" s="1"/>
  <c r="H831" i="4"/>
  <c r="I831" i="4" s="1"/>
  <c r="H830" i="4"/>
  <c r="I830" i="4" s="1"/>
  <c r="H829" i="4"/>
  <c r="I829" i="4" s="1"/>
  <c r="H828" i="4"/>
  <c r="I828" i="4" s="1"/>
  <c r="H827" i="4"/>
  <c r="I827" i="4" s="1"/>
  <c r="H826" i="4"/>
  <c r="I826" i="4" s="1"/>
  <c r="H825" i="4"/>
  <c r="I825" i="4" s="1"/>
  <c r="H824" i="4"/>
  <c r="I824" i="4" s="1"/>
  <c r="H823" i="4"/>
  <c r="I823" i="4" s="1"/>
  <c r="H822" i="4"/>
  <c r="I822" i="4" s="1"/>
  <c r="H821" i="4"/>
  <c r="I821" i="4" s="1"/>
  <c r="H820" i="4"/>
  <c r="I820" i="4" s="1"/>
  <c r="H819" i="4"/>
  <c r="I819" i="4" s="1"/>
  <c r="H818" i="4"/>
  <c r="I818" i="4" s="1"/>
  <c r="H817" i="4"/>
  <c r="I817" i="4" s="1"/>
  <c r="H816" i="4"/>
  <c r="I816" i="4" s="1"/>
  <c r="H815" i="4"/>
  <c r="I815" i="4" s="1"/>
  <c r="H814" i="4"/>
  <c r="I814" i="4" s="1"/>
  <c r="H813" i="4"/>
  <c r="I813" i="4" s="1"/>
  <c r="H812" i="4"/>
  <c r="I812" i="4" s="1"/>
  <c r="H811" i="4"/>
  <c r="I811" i="4" s="1"/>
  <c r="H810" i="4"/>
  <c r="I810" i="4" s="1"/>
  <c r="H809" i="4"/>
  <c r="I809" i="4" s="1"/>
  <c r="H808" i="4"/>
  <c r="I808" i="4" s="1"/>
  <c r="H807" i="4"/>
  <c r="I807" i="4" s="1"/>
  <c r="H806" i="4"/>
  <c r="I806" i="4" s="1"/>
  <c r="H805" i="4"/>
  <c r="I805" i="4" s="1"/>
  <c r="H804" i="4"/>
  <c r="I804" i="4" s="1"/>
  <c r="H803" i="4"/>
  <c r="I803" i="4" s="1"/>
  <c r="H802" i="4"/>
  <c r="I802" i="4" s="1"/>
  <c r="H801" i="4"/>
  <c r="I801" i="4" s="1"/>
  <c r="H800" i="4"/>
  <c r="I800" i="4" s="1"/>
  <c r="H799" i="4"/>
  <c r="I799" i="4" s="1"/>
  <c r="H798" i="4"/>
  <c r="I798" i="4" s="1"/>
  <c r="H797" i="4"/>
  <c r="I797" i="4" s="1"/>
  <c r="H796" i="4"/>
  <c r="I796" i="4" s="1"/>
  <c r="H795" i="4"/>
  <c r="I795" i="4" s="1"/>
  <c r="H794" i="4"/>
  <c r="I794" i="4" s="1"/>
  <c r="H793" i="4"/>
  <c r="I793" i="4" s="1"/>
  <c r="H792" i="4"/>
  <c r="I792" i="4" s="1"/>
  <c r="H791" i="4"/>
  <c r="I791" i="4" s="1"/>
  <c r="H790" i="4"/>
  <c r="I790" i="4" s="1"/>
  <c r="H789" i="4"/>
  <c r="I789" i="4" s="1"/>
  <c r="H788" i="4"/>
  <c r="I788" i="4" s="1"/>
  <c r="H787" i="4"/>
  <c r="I787" i="4" s="1"/>
  <c r="H786" i="4"/>
  <c r="I786" i="4" s="1"/>
  <c r="H785" i="4"/>
  <c r="I785" i="4" s="1"/>
  <c r="H784" i="4"/>
  <c r="I784" i="4" s="1"/>
  <c r="H783" i="4"/>
  <c r="I783" i="4" s="1"/>
  <c r="H782" i="4"/>
  <c r="I782" i="4" s="1"/>
  <c r="H781" i="4"/>
  <c r="I781" i="4" s="1"/>
  <c r="H780" i="4"/>
  <c r="I780" i="4" s="1"/>
  <c r="H779" i="4"/>
  <c r="I779" i="4" s="1"/>
  <c r="H778" i="4"/>
  <c r="I778" i="4" s="1"/>
  <c r="H777" i="4"/>
  <c r="I777" i="4" s="1"/>
  <c r="H776" i="4"/>
  <c r="I776" i="4" s="1"/>
  <c r="H775" i="4"/>
  <c r="I775" i="4" s="1"/>
  <c r="H774" i="4"/>
  <c r="I774" i="4" s="1"/>
  <c r="H773" i="4"/>
  <c r="I773" i="4" s="1"/>
  <c r="H772" i="4"/>
  <c r="I772" i="4" s="1"/>
  <c r="H771" i="4"/>
  <c r="I771" i="4" s="1"/>
  <c r="H770" i="4"/>
  <c r="I770" i="4" s="1"/>
  <c r="H769" i="4"/>
  <c r="I769" i="4" s="1"/>
  <c r="H768" i="4"/>
  <c r="I768" i="4" s="1"/>
  <c r="H767" i="4"/>
  <c r="I767" i="4" s="1"/>
  <c r="H766" i="4"/>
  <c r="I766" i="4" s="1"/>
  <c r="H765" i="4"/>
  <c r="I765" i="4" s="1"/>
  <c r="H764" i="4"/>
  <c r="I764" i="4" s="1"/>
  <c r="H763" i="4"/>
  <c r="I763" i="4" s="1"/>
  <c r="H762" i="4"/>
  <c r="I762" i="4" s="1"/>
  <c r="H761" i="4"/>
  <c r="I761" i="4" s="1"/>
  <c r="H760" i="4"/>
  <c r="I760" i="4" s="1"/>
  <c r="I759" i="4"/>
  <c r="H759" i="4"/>
  <c r="H758" i="4"/>
  <c r="I758" i="4" s="1"/>
  <c r="H757" i="4"/>
  <c r="I757" i="4" s="1"/>
  <c r="H756" i="4"/>
  <c r="I756" i="4" s="1"/>
  <c r="H755" i="4"/>
  <c r="I755" i="4" s="1"/>
  <c r="H754" i="4"/>
  <c r="I754" i="4" s="1"/>
  <c r="H753" i="4"/>
  <c r="I753" i="4" s="1"/>
  <c r="H752" i="4"/>
  <c r="I752" i="4" s="1"/>
  <c r="H751" i="4"/>
  <c r="I751" i="4" s="1"/>
  <c r="H750" i="4"/>
  <c r="I750" i="4" s="1"/>
  <c r="H749" i="4"/>
  <c r="I749" i="4" s="1"/>
  <c r="H748" i="4"/>
  <c r="I748" i="4" s="1"/>
  <c r="H747" i="4"/>
  <c r="I747" i="4" s="1"/>
  <c r="H746" i="4"/>
  <c r="I746" i="4" s="1"/>
  <c r="H745" i="4"/>
  <c r="I745" i="4" s="1"/>
  <c r="H744" i="4"/>
  <c r="I744" i="4" s="1"/>
  <c r="H743" i="4"/>
  <c r="I743" i="4" s="1"/>
  <c r="H742" i="4"/>
  <c r="I742" i="4" s="1"/>
  <c r="H741" i="4"/>
  <c r="I741" i="4" s="1"/>
  <c r="H740" i="4"/>
  <c r="I740" i="4" s="1"/>
  <c r="H739" i="4"/>
  <c r="I739" i="4" s="1"/>
  <c r="H738" i="4"/>
  <c r="I738" i="4" s="1"/>
  <c r="H737" i="4"/>
  <c r="I737" i="4" s="1"/>
  <c r="H736" i="4"/>
  <c r="I736" i="4" s="1"/>
  <c r="H735" i="4"/>
  <c r="I735" i="4" s="1"/>
  <c r="H734" i="4"/>
  <c r="I734" i="4" s="1"/>
  <c r="H733" i="4"/>
  <c r="I733" i="4" s="1"/>
  <c r="H732" i="4"/>
  <c r="I732" i="4" s="1"/>
  <c r="H731" i="4"/>
  <c r="I731" i="4" s="1"/>
  <c r="H730" i="4"/>
  <c r="I730" i="4" s="1"/>
  <c r="H729" i="4"/>
  <c r="I729" i="4" s="1"/>
  <c r="H728" i="4"/>
  <c r="I728" i="4" s="1"/>
  <c r="H727" i="4"/>
  <c r="I727" i="4" s="1"/>
  <c r="H726" i="4"/>
  <c r="I726" i="4" s="1"/>
  <c r="H725" i="4"/>
  <c r="I725" i="4" s="1"/>
  <c r="H724" i="4"/>
  <c r="I724" i="4" s="1"/>
  <c r="H723" i="4"/>
  <c r="I723" i="4" s="1"/>
  <c r="H722" i="4"/>
  <c r="I722" i="4" s="1"/>
  <c r="H721" i="4"/>
  <c r="I721" i="4" s="1"/>
  <c r="H720" i="4"/>
  <c r="I720" i="4" s="1"/>
  <c r="H719" i="4"/>
  <c r="I719" i="4" s="1"/>
  <c r="H718" i="4"/>
  <c r="I718" i="4" s="1"/>
  <c r="H717" i="4"/>
  <c r="I717" i="4" s="1"/>
  <c r="H716" i="4"/>
  <c r="I716" i="4" s="1"/>
  <c r="H715" i="4"/>
  <c r="I715" i="4" s="1"/>
  <c r="H714" i="4"/>
  <c r="I714" i="4" s="1"/>
  <c r="H713" i="4"/>
  <c r="I713" i="4" s="1"/>
  <c r="H712" i="4"/>
  <c r="I712" i="4" s="1"/>
  <c r="H711" i="4"/>
  <c r="I711" i="4" s="1"/>
  <c r="H710" i="4"/>
  <c r="I710" i="4" s="1"/>
  <c r="H709" i="4"/>
  <c r="I709" i="4" s="1"/>
  <c r="H708" i="4"/>
  <c r="I708" i="4" s="1"/>
  <c r="H707" i="4"/>
  <c r="I707" i="4" s="1"/>
  <c r="H706" i="4"/>
  <c r="I706" i="4" s="1"/>
  <c r="H705" i="4"/>
  <c r="I705" i="4" s="1"/>
  <c r="H704" i="4"/>
  <c r="I704" i="4" s="1"/>
  <c r="H703" i="4"/>
  <c r="I703" i="4" s="1"/>
  <c r="H702" i="4"/>
  <c r="I702" i="4" s="1"/>
  <c r="H701" i="4"/>
  <c r="I701" i="4" s="1"/>
  <c r="H700" i="4"/>
  <c r="I700" i="4" s="1"/>
  <c r="H699" i="4"/>
  <c r="I699" i="4" s="1"/>
  <c r="H698" i="4"/>
  <c r="I698" i="4" s="1"/>
  <c r="H697" i="4"/>
  <c r="I697" i="4" s="1"/>
  <c r="H696" i="4"/>
  <c r="I696" i="4" s="1"/>
  <c r="H695" i="4"/>
  <c r="I695" i="4" s="1"/>
  <c r="H694" i="4"/>
  <c r="I694" i="4" s="1"/>
  <c r="H693" i="4"/>
  <c r="I693" i="4" s="1"/>
  <c r="H692" i="4"/>
  <c r="I692" i="4" s="1"/>
  <c r="H691" i="4"/>
  <c r="I691" i="4" s="1"/>
  <c r="H690" i="4"/>
  <c r="I690" i="4" s="1"/>
  <c r="H689" i="4"/>
  <c r="I689" i="4" s="1"/>
  <c r="H688" i="4"/>
  <c r="I688" i="4" s="1"/>
  <c r="H687" i="4"/>
  <c r="I687" i="4" s="1"/>
  <c r="H686" i="4"/>
  <c r="I686" i="4" s="1"/>
  <c r="H685" i="4"/>
  <c r="I685" i="4" s="1"/>
  <c r="H684" i="4"/>
  <c r="I684" i="4" s="1"/>
  <c r="H683" i="4"/>
  <c r="I683" i="4" s="1"/>
  <c r="H682" i="4"/>
  <c r="I682" i="4" s="1"/>
  <c r="H681" i="4"/>
  <c r="I681" i="4" s="1"/>
  <c r="H680" i="4"/>
  <c r="I680" i="4" s="1"/>
  <c r="H679" i="4"/>
  <c r="I679" i="4" s="1"/>
  <c r="H678" i="4"/>
  <c r="I678" i="4" s="1"/>
  <c r="H677" i="4"/>
  <c r="I677" i="4" s="1"/>
  <c r="H676" i="4"/>
  <c r="I676" i="4" s="1"/>
  <c r="H675" i="4"/>
  <c r="I675" i="4" s="1"/>
  <c r="H674" i="4"/>
  <c r="I674" i="4" s="1"/>
  <c r="H673" i="4"/>
  <c r="I673" i="4" s="1"/>
  <c r="H672" i="4"/>
  <c r="I672" i="4" s="1"/>
  <c r="H671" i="4"/>
  <c r="I671" i="4" s="1"/>
  <c r="H670" i="4"/>
  <c r="I670" i="4" s="1"/>
  <c r="H669" i="4"/>
  <c r="I669" i="4" s="1"/>
  <c r="H668" i="4"/>
  <c r="I668" i="4" s="1"/>
  <c r="H667" i="4"/>
  <c r="I667" i="4" s="1"/>
  <c r="H666" i="4"/>
  <c r="I666" i="4" s="1"/>
  <c r="H665" i="4"/>
  <c r="I665" i="4" s="1"/>
  <c r="H664" i="4"/>
  <c r="I664" i="4" s="1"/>
  <c r="H663" i="4"/>
  <c r="I663" i="4" s="1"/>
  <c r="H662" i="4"/>
  <c r="I662" i="4" s="1"/>
  <c r="H661" i="4"/>
  <c r="I661" i="4" s="1"/>
  <c r="H660" i="4"/>
  <c r="I660" i="4" s="1"/>
  <c r="H659" i="4"/>
  <c r="I659" i="4" s="1"/>
  <c r="H658" i="4"/>
  <c r="I658" i="4" s="1"/>
  <c r="H657" i="4"/>
  <c r="I657" i="4" s="1"/>
  <c r="H656" i="4"/>
  <c r="I656" i="4" s="1"/>
  <c r="H655" i="4"/>
  <c r="I655" i="4" s="1"/>
  <c r="H654" i="4"/>
  <c r="I654" i="4" s="1"/>
  <c r="H653" i="4"/>
  <c r="I653" i="4" s="1"/>
  <c r="H652" i="4"/>
  <c r="I652" i="4" s="1"/>
  <c r="H651" i="4"/>
  <c r="I651" i="4" s="1"/>
  <c r="H650" i="4"/>
  <c r="I650" i="4" s="1"/>
  <c r="H649" i="4"/>
  <c r="I649" i="4" s="1"/>
  <c r="H648" i="4"/>
  <c r="I648" i="4" s="1"/>
  <c r="H647" i="4"/>
  <c r="I647" i="4" s="1"/>
  <c r="H646" i="4"/>
  <c r="I646" i="4" s="1"/>
  <c r="H645" i="4"/>
  <c r="I645" i="4" s="1"/>
  <c r="H644" i="4"/>
  <c r="I644" i="4" s="1"/>
  <c r="H643" i="4"/>
  <c r="I643" i="4" s="1"/>
  <c r="H642" i="4"/>
  <c r="I642" i="4" s="1"/>
  <c r="H641" i="4"/>
  <c r="I641" i="4" s="1"/>
  <c r="H640" i="4"/>
  <c r="I640" i="4" s="1"/>
  <c r="H639" i="4"/>
  <c r="I639" i="4" s="1"/>
  <c r="H638" i="4"/>
  <c r="I638" i="4" s="1"/>
  <c r="H637" i="4"/>
  <c r="I637" i="4" s="1"/>
  <c r="H636" i="4"/>
  <c r="I636" i="4" s="1"/>
  <c r="H635" i="4"/>
  <c r="I635" i="4" s="1"/>
  <c r="H634" i="4"/>
  <c r="I634" i="4" s="1"/>
  <c r="H633" i="4"/>
  <c r="I633" i="4" s="1"/>
  <c r="H632" i="4"/>
  <c r="I632" i="4" s="1"/>
  <c r="H631" i="4"/>
  <c r="I631" i="4" s="1"/>
  <c r="H630" i="4"/>
  <c r="I630" i="4" s="1"/>
  <c r="H629" i="4"/>
  <c r="I629" i="4" s="1"/>
  <c r="H628" i="4"/>
  <c r="I628" i="4" s="1"/>
  <c r="H627" i="4"/>
  <c r="I627" i="4" s="1"/>
  <c r="H626" i="4"/>
  <c r="I626" i="4" s="1"/>
  <c r="H625" i="4"/>
  <c r="I625" i="4" s="1"/>
  <c r="H624" i="4"/>
  <c r="I624" i="4" s="1"/>
  <c r="H623" i="4"/>
  <c r="I623" i="4" s="1"/>
  <c r="H622" i="4"/>
  <c r="I622" i="4" s="1"/>
  <c r="H621" i="4"/>
  <c r="I621" i="4" s="1"/>
  <c r="H620" i="4"/>
  <c r="I620" i="4" s="1"/>
  <c r="H619" i="4"/>
  <c r="I619" i="4" s="1"/>
  <c r="H618" i="4"/>
  <c r="I618" i="4" s="1"/>
  <c r="H617" i="4"/>
  <c r="I617" i="4" s="1"/>
  <c r="H616" i="4"/>
  <c r="I616" i="4" s="1"/>
  <c r="H615" i="4"/>
  <c r="I615" i="4" s="1"/>
  <c r="H614" i="4"/>
  <c r="I614" i="4" s="1"/>
  <c r="H613" i="4"/>
  <c r="I613" i="4" s="1"/>
  <c r="H612" i="4"/>
  <c r="I612" i="4" s="1"/>
  <c r="H611" i="4"/>
  <c r="I611" i="4" s="1"/>
  <c r="H610" i="4"/>
  <c r="I610" i="4" s="1"/>
  <c r="H609" i="4"/>
  <c r="I609" i="4" s="1"/>
  <c r="H608" i="4"/>
  <c r="I608" i="4" s="1"/>
  <c r="H607" i="4"/>
  <c r="I607" i="4" s="1"/>
  <c r="H606" i="4"/>
  <c r="I606" i="4" s="1"/>
  <c r="H605" i="4"/>
  <c r="I605" i="4" s="1"/>
  <c r="H604" i="4"/>
  <c r="I604" i="4" s="1"/>
  <c r="H603" i="4"/>
  <c r="I603" i="4" s="1"/>
  <c r="H602" i="4"/>
  <c r="I602" i="4" s="1"/>
  <c r="H601" i="4"/>
  <c r="I601" i="4" s="1"/>
  <c r="H600" i="4"/>
  <c r="I600" i="4" s="1"/>
  <c r="H599" i="4"/>
  <c r="I599" i="4" s="1"/>
  <c r="H598" i="4"/>
  <c r="I598" i="4" s="1"/>
  <c r="H597" i="4"/>
  <c r="I597" i="4" s="1"/>
  <c r="H596" i="4"/>
  <c r="I596" i="4" s="1"/>
  <c r="H595" i="4"/>
  <c r="I595" i="4" s="1"/>
  <c r="H594" i="4"/>
  <c r="I594" i="4" s="1"/>
  <c r="H593" i="4"/>
  <c r="I593" i="4" s="1"/>
  <c r="H592" i="4"/>
  <c r="I592" i="4" s="1"/>
  <c r="H591" i="4"/>
  <c r="I591" i="4" s="1"/>
  <c r="H590" i="4"/>
  <c r="I590" i="4" s="1"/>
  <c r="H589" i="4"/>
  <c r="I589" i="4" s="1"/>
  <c r="H588" i="4"/>
  <c r="I588" i="4" s="1"/>
  <c r="H587" i="4"/>
  <c r="I587" i="4" s="1"/>
  <c r="H586" i="4"/>
  <c r="I586" i="4" s="1"/>
  <c r="H585" i="4"/>
  <c r="I585" i="4" s="1"/>
  <c r="H584" i="4"/>
  <c r="I584" i="4" s="1"/>
  <c r="H583" i="4"/>
  <c r="I583" i="4" s="1"/>
  <c r="H582" i="4"/>
  <c r="I582" i="4" s="1"/>
  <c r="H581" i="4"/>
  <c r="I581" i="4" s="1"/>
  <c r="H580" i="4"/>
  <c r="I580" i="4" s="1"/>
  <c r="H579" i="4"/>
  <c r="I579" i="4" s="1"/>
  <c r="H578" i="4"/>
  <c r="I578" i="4" s="1"/>
  <c r="H577" i="4"/>
  <c r="I577" i="4" s="1"/>
  <c r="H576" i="4"/>
  <c r="I576" i="4" s="1"/>
  <c r="H575" i="4"/>
  <c r="I575" i="4" s="1"/>
  <c r="H574" i="4"/>
  <c r="I574" i="4" s="1"/>
  <c r="H573" i="4"/>
  <c r="I573" i="4" s="1"/>
  <c r="H572" i="4"/>
  <c r="I572" i="4" s="1"/>
  <c r="H571" i="4"/>
  <c r="I571" i="4" s="1"/>
  <c r="H570" i="4"/>
  <c r="I570" i="4" s="1"/>
  <c r="H569" i="4"/>
  <c r="I569" i="4" s="1"/>
  <c r="H568" i="4"/>
  <c r="I568" i="4" s="1"/>
  <c r="H567" i="4"/>
  <c r="I567" i="4" s="1"/>
  <c r="H566" i="4"/>
  <c r="I566" i="4" s="1"/>
  <c r="H565" i="4"/>
  <c r="I565" i="4" s="1"/>
  <c r="H564" i="4"/>
  <c r="I564" i="4" s="1"/>
  <c r="H563" i="4"/>
  <c r="I563" i="4" s="1"/>
  <c r="H562" i="4"/>
  <c r="I562" i="4" s="1"/>
  <c r="H561" i="4"/>
  <c r="I561" i="4" s="1"/>
  <c r="H560" i="4"/>
  <c r="I560" i="4" s="1"/>
  <c r="H559" i="4"/>
  <c r="I559" i="4" s="1"/>
  <c r="H558" i="4"/>
  <c r="I558" i="4" s="1"/>
  <c r="I557" i="4"/>
  <c r="H557" i="4"/>
  <c r="H556" i="4"/>
  <c r="I556" i="4" s="1"/>
  <c r="H555" i="4"/>
  <c r="I555" i="4" s="1"/>
  <c r="H554" i="4"/>
  <c r="I554" i="4" s="1"/>
  <c r="H553" i="4"/>
  <c r="I553" i="4" s="1"/>
  <c r="H552" i="4"/>
  <c r="I552" i="4" s="1"/>
  <c r="H551" i="4"/>
  <c r="I551" i="4" s="1"/>
  <c r="H550" i="4"/>
  <c r="I550" i="4" s="1"/>
  <c r="H549" i="4"/>
  <c r="I549" i="4" s="1"/>
  <c r="H548" i="4"/>
  <c r="I548" i="4" s="1"/>
  <c r="H547" i="4"/>
  <c r="I547" i="4" s="1"/>
  <c r="H546" i="4"/>
  <c r="I546" i="4" s="1"/>
  <c r="H545" i="4"/>
  <c r="I545" i="4" s="1"/>
  <c r="H544" i="4"/>
  <c r="I544" i="4" s="1"/>
  <c r="H543" i="4"/>
  <c r="I543" i="4" s="1"/>
  <c r="H542" i="4"/>
  <c r="I542" i="4" s="1"/>
  <c r="H541" i="4"/>
  <c r="I541" i="4" s="1"/>
  <c r="H540" i="4"/>
  <c r="I540" i="4" s="1"/>
  <c r="H539" i="4"/>
  <c r="I539" i="4" s="1"/>
  <c r="H538" i="4"/>
  <c r="I538" i="4" s="1"/>
  <c r="H537" i="4"/>
  <c r="I537" i="4" s="1"/>
  <c r="H536" i="4"/>
  <c r="I536" i="4" s="1"/>
  <c r="H535" i="4"/>
  <c r="I535" i="4" s="1"/>
  <c r="H534" i="4"/>
  <c r="I534" i="4" s="1"/>
  <c r="H533" i="4"/>
  <c r="I533" i="4" s="1"/>
  <c r="H532" i="4"/>
  <c r="I532" i="4" s="1"/>
  <c r="H531" i="4"/>
  <c r="I531" i="4" s="1"/>
  <c r="H530" i="4"/>
  <c r="I530" i="4" s="1"/>
  <c r="H529" i="4"/>
  <c r="I529" i="4" s="1"/>
  <c r="H528" i="4"/>
  <c r="I528" i="4" s="1"/>
  <c r="H527" i="4"/>
  <c r="I527" i="4" s="1"/>
  <c r="H526" i="4"/>
  <c r="I526" i="4" s="1"/>
  <c r="H525" i="4"/>
  <c r="I525" i="4" s="1"/>
  <c r="H524" i="4"/>
  <c r="I524" i="4" s="1"/>
  <c r="H523" i="4"/>
  <c r="I523" i="4" s="1"/>
  <c r="H522" i="4"/>
  <c r="I522" i="4" s="1"/>
  <c r="H521" i="4"/>
  <c r="I521" i="4" s="1"/>
  <c r="H520" i="4"/>
  <c r="I520" i="4" s="1"/>
  <c r="H519" i="4"/>
  <c r="I519" i="4" s="1"/>
  <c r="H518" i="4"/>
  <c r="I518" i="4" s="1"/>
  <c r="H517" i="4"/>
  <c r="I517" i="4" s="1"/>
  <c r="H516" i="4"/>
  <c r="I516" i="4" s="1"/>
  <c r="H515" i="4"/>
  <c r="I515" i="4" s="1"/>
  <c r="H514" i="4"/>
  <c r="I514" i="4" s="1"/>
  <c r="H513" i="4"/>
  <c r="I513" i="4" s="1"/>
  <c r="H512" i="4"/>
  <c r="I512" i="4" s="1"/>
  <c r="H511" i="4"/>
  <c r="I511" i="4" s="1"/>
  <c r="H510" i="4"/>
  <c r="I510" i="4" s="1"/>
  <c r="H509" i="4"/>
  <c r="I509" i="4" s="1"/>
  <c r="H508" i="4"/>
  <c r="I508" i="4" s="1"/>
  <c r="H507" i="4"/>
  <c r="I507" i="4" s="1"/>
  <c r="H506" i="4"/>
  <c r="I506" i="4" s="1"/>
  <c r="H505" i="4"/>
  <c r="I505" i="4" s="1"/>
  <c r="H504" i="4"/>
  <c r="I504" i="4" s="1"/>
  <c r="H503" i="4"/>
  <c r="I503" i="4" s="1"/>
  <c r="H502" i="4"/>
  <c r="I502" i="4" s="1"/>
  <c r="H501" i="4"/>
  <c r="I501" i="4" s="1"/>
  <c r="H500" i="4"/>
  <c r="I500" i="4" s="1"/>
  <c r="H499" i="4"/>
  <c r="I499" i="4" s="1"/>
  <c r="H498" i="4"/>
  <c r="I498" i="4" s="1"/>
  <c r="H497" i="4"/>
  <c r="I497" i="4" s="1"/>
  <c r="H496" i="4"/>
  <c r="I496" i="4" s="1"/>
  <c r="H495" i="4"/>
  <c r="I495" i="4" s="1"/>
  <c r="H494" i="4"/>
  <c r="I494" i="4" s="1"/>
  <c r="H493" i="4"/>
  <c r="I493" i="4" s="1"/>
  <c r="H492" i="4"/>
  <c r="I492" i="4" s="1"/>
  <c r="H491" i="4"/>
  <c r="I491" i="4" s="1"/>
  <c r="H490" i="4"/>
  <c r="I490" i="4" s="1"/>
  <c r="H489" i="4"/>
  <c r="I489" i="4" s="1"/>
  <c r="H488" i="4"/>
  <c r="I488" i="4" s="1"/>
  <c r="H487" i="4"/>
  <c r="I487" i="4" s="1"/>
  <c r="H486" i="4"/>
  <c r="I486" i="4" s="1"/>
  <c r="H485" i="4"/>
  <c r="I485" i="4" s="1"/>
  <c r="H484" i="4"/>
  <c r="I484" i="4" s="1"/>
  <c r="H483" i="4"/>
  <c r="I483" i="4" s="1"/>
  <c r="H482" i="4"/>
  <c r="I482" i="4" s="1"/>
  <c r="H481" i="4"/>
  <c r="I481" i="4" s="1"/>
  <c r="H480" i="4"/>
  <c r="I480" i="4" s="1"/>
  <c r="H479" i="4"/>
  <c r="I479" i="4" s="1"/>
  <c r="H478" i="4"/>
  <c r="I478" i="4" s="1"/>
  <c r="H477" i="4"/>
  <c r="I477" i="4" s="1"/>
  <c r="H476" i="4"/>
  <c r="I476" i="4" s="1"/>
  <c r="H475" i="4"/>
  <c r="I475" i="4" s="1"/>
  <c r="H474" i="4"/>
  <c r="I474" i="4" s="1"/>
  <c r="H473" i="4"/>
  <c r="I473" i="4" s="1"/>
  <c r="H472" i="4"/>
  <c r="I472" i="4" s="1"/>
  <c r="H471" i="4"/>
  <c r="I471" i="4" s="1"/>
  <c r="H470" i="4"/>
  <c r="I470" i="4" s="1"/>
  <c r="H469" i="4"/>
  <c r="I469" i="4" s="1"/>
  <c r="H468" i="4"/>
  <c r="I468" i="4" s="1"/>
  <c r="H467" i="4"/>
  <c r="I467" i="4" s="1"/>
  <c r="H466" i="4"/>
  <c r="I466" i="4" s="1"/>
  <c r="H465" i="4"/>
  <c r="I465" i="4" s="1"/>
  <c r="H464" i="4"/>
  <c r="I464" i="4" s="1"/>
  <c r="H463" i="4"/>
  <c r="I463" i="4" s="1"/>
  <c r="H462" i="4"/>
  <c r="I462" i="4" s="1"/>
  <c r="H461" i="4"/>
  <c r="I461" i="4" s="1"/>
  <c r="H460" i="4"/>
  <c r="I460" i="4" s="1"/>
  <c r="H459" i="4"/>
  <c r="I459" i="4" s="1"/>
  <c r="H458" i="4"/>
  <c r="I458" i="4" s="1"/>
  <c r="H457" i="4"/>
  <c r="I457" i="4" s="1"/>
  <c r="H456" i="4"/>
  <c r="I456" i="4" s="1"/>
  <c r="H455" i="4"/>
  <c r="I455" i="4" s="1"/>
  <c r="H454" i="4"/>
  <c r="I454" i="4" s="1"/>
  <c r="H453" i="4"/>
  <c r="I453" i="4" s="1"/>
  <c r="H452" i="4"/>
  <c r="I452" i="4" s="1"/>
  <c r="H451" i="4"/>
  <c r="I451" i="4" s="1"/>
  <c r="H450" i="4"/>
  <c r="I450" i="4" s="1"/>
  <c r="H449" i="4"/>
  <c r="I449" i="4" s="1"/>
  <c r="H448" i="4"/>
  <c r="I448" i="4" s="1"/>
  <c r="H447" i="4"/>
  <c r="I447" i="4" s="1"/>
  <c r="H446" i="4"/>
  <c r="I446" i="4" s="1"/>
  <c r="H445" i="4"/>
  <c r="I445" i="4" s="1"/>
  <c r="H444" i="4"/>
  <c r="I444" i="4" s="1"/>
  <c r="H443" i="4"/>
  <c r="I443" i="4" s="1"/>
  <c r="H442" i="4"/>
  <c r="I442" i="4" s="1"/>
  <c r="H441" i="4"/>
  <c r="I441" i="4" s="1"/>
  <c r="H440" i="4"/>
  <c r="I440" i="4" s="1"/>
  <c r="H439" i="4"/>
  <c r="I439" i="4" s="1"/>
  <c r="H438" i="4"/>
  <c r="I438" i="4" s="1"/>
  <c r="H437" i="4"/>
  <c r="I437" i="4" s="1"/>
  <c r="H436" i="4"/>
  <c r="I436" i="4" s="1"/>
  <c r="H435" i="4"/>
  <c r="I435" i="4" s="1"/>
  <c r="H434" i="4"/>
  <c r="I434" i="4" s="1"/>
  <c r="H433" i="4"/>
  <c r="I433" i="4" s="1"/>
  <c r="H432" i="4"/>
  <c r="I432" i="4" s="1"/>
  <c r="H431" i="4"/>
  <c r="I431" i="4" s="1"/>
  <c r="H430" i="4"/>
  <c r="I430" i="4" s="1"/>
  <c r="H429" i="4"/>
  <c r="I429" i="4" s="1"/>
  <c r="H428" i="4"/>
  <c r="I428" i="4" s="1"/>
  <c r="H427" i="4"/>
  <c r="I427" i="4" s="1"/>
  <c r="H426" i="4"/>
  <c r="I426" i="4" s="1"/>
  <c r="H425" i="4"/>
  <c r="I425" i="4" s="1"/>
  <c r="H424" i="4"/>
  <c r="I424" i="4" s="1"/>
  <c r="H423" i="4"/>
  <c r="I423" i="4" s="1"/>
  <c r="H422" i="4"/>
  <c r="I422" i="4" s="1"/>
  <c r="H421" i="4"/>
  <c r="I421" i="4" s="1"/>
  <c r="H420" i="4"/>
  <c r="I420" i="4" s="1"/>
  <c r="H419" i="4"/>
  <c r="I419" i="4" s="1"/>
  <c r="H418" i="4"/>
  <c r="I418" i="4" s="1"/>
  <c r="H417" i="4"/>
  <c r="I417" i="4" s="1"/>
  <c r="H416" i="4"/>
  <c r="I416" i="4" s="1"/>
  <c r="H415" i="4"/>
  <c r="I415" i="4" s="1"/>
  <c r="H414" i="4"/>
  <c r="I414" i="4" s="1"/>
  <c r="H413" i="4"/>
  <c r="I413" i="4" s="1"/>
  <c r="H412" i="4"/>
  <c r="I412" i="4" s="1"/>
  <c r="H411" i="4"/>
  <c r="I411" i="4" s="1"/>
  <c r="H410" i="4"/>
  <c r="I410" i="4" s="1"/>
  <c r="H409" i="4"/>
  <c r="I409" i="4" s="1"/>
  <c r="H408" i="4"/>
  <c r="I408" i="4" s="1"/>
  <c r="H407" i="4"/>
  <c r="I407" i="4" s="1"/>
  <c r="H406" i="4"/>
  <c r="I406" i="4" s="1"/>
  <c r="H405" i="4"/>
  <c r="I405" i="4" s="1"/>
  <c r="H404" i="4"/>
  <c r="I404" i="4" s="1"/>
  <c r="H403" i="4"/>
  <c r="I403" i="4" s="1"/>
  <c r="H402" i="4"/>
  <c r="I402" i="4" s="1"/>
  <c r="H401" i="4"/>
  <c r="I401" i="4" s="1"/>
  <c r="H400" i="4"/>
  <c r="I400" i="4" s="1"/>
  <c r="H399" i="4"/>
  <c r="I399" i="4" s="1"/>
  <c r="H398" i="4"/>
  <c r="I398" i="4" s="1"/>
  <c r="H397" i="4"/>
  <c r="I397" i="4" s="1"/>
  <c r="H396" i="4"/>
  <c r="I396" i="4" s="1"/>
  <c r="H395" i="4"/>
  <c r="I395" i="4" s="1"/>
  <c r="H394" i="4"/>
  <c r="I394" i="4" s="1"/>
  <c r="H393" i="4"/>
  <c r="I393" i="4" s="1"/>
  <c r="H392" i="4"/>
  <c r="I392" i="4" s="1"/>
  <c r="H391" i="4"/>
  <c r="I391" i="4" s="1"/>
  <c r="H390" i="4"/>
  <c r="I390" i="4" s="1"/>
  <c r="H389" i="4"/>
  <c r="I389" i="4" s="1"/>
  <c r="H388" i="4"/>
  <c r="I388" i="4" s="1"/>
  <c r="H387" i="4"/>
  <c r="I387" i="4" s="1"/>
  <c r="H386" i="4"/>
  <c r="I386" i="4" s="1"/>
  <c r="H385" i="4"/>
  <c r="I385" i="4" s="1"/>
  <c r="H384" i="4"/>
  <c r="I384" i="4" s="1"/>
  <c r="H383" i="4"/>
  <c r="I383" i="4" s="1"/>
  <c r="H382" i="4"/>
  <c r="I382" i="4" s="1"/>
  <c r="H381" i="4"/>
  <c r="I381" i="4" s="1"/>
  <c r="H380" i="4"/>
  <c r="I380" i="4" s="1"/>
  <c r="H379" i="4"/>
  <c r="I379" i="4" s="1"/>
  <c r="H378" i="4"/>
  <c r="I378" i="4" s="1"/>
  <c r="H377" i="4"/>
  <c r="I377" i="4" s="1"/>
  <c r="H376" i="4"/>
  <c r="I376" i="4" s="1"/>
  <c r="H375" i="4"/>
  <c r="I375" i="4" s="1"/>
  <c r="H374" i="4"/>
  <c r="I374" i="4" s="1"/>
  <c r="H373" i="4"/>
  <c r="I373" i="4" s="1"/>
  <c r="H372" i="4"/>
  <c r="I372" i="4" s="1"/>
  <c r="H371" i="4"/>
  <c r="I371" i="4" s="1"/>
  <c r="H370" i="4"/>
  <c r="I370" i="4" s="1"/>
  <c r="H369" i="4"/>
  <c r="I369" i="4" s="1"/>
  <c r="H368" i="4"/>
  <c r="I368" i="4" s="1"/>
  <c r="H367" i="4"/>
  <c r="I367" i="4" s="1"/>
  <c r="H366" i="4"/>
  <c r="I366" i="4" s="1"/>
  <c r="H365" i="4"/>
  <c r="I365" i="4" s="1"/>
  <c r="H364" i="4"/>
  <c r="I364" i="4" s="1"/>
  <c r="H363" i="4"/>
  <c r="I363" i="4" s="1"/>
  <c r="H362" i="4"/>
  <c r="I362" i="4" s="1"/>
  <c r="H361" i="4"/>
  <c r="I361" i="4" s="1"/>
  <c r="H360" i="4"/>
  <c r="I360" i="4" s="1"/>
  <c r="H359" i="4"/>
  <c r="I359" i="4" s="1"/>
  <c r="H358" i="4"/>
  <c r="I358" i="4" s="1"/>
  <c r="H357" i="4"/>
  <c r="I357" i="4" s="1"/>
  <c r="H356" i="4"/>
  <c r="I356" i="4" s="1"/>
  <c r="H355" i="4"/>
  <c r="I355" i="4" s="1"/>
  <c r="H354" i="4"/>
  <c r="I354" i="4" s="1"/>
  <c r="H353" i="4"/>
  <c r="I353" i="4" s="1"/>
  <c r="H352" i="4"/>
  <c r="I352" i="4" s="1"/>
  <c r="H351" i="4"/>
  <c r="I351" i="4" s="1"/>
  <c r="H350" i="4"/>
  <c r="I350" i="4" s="1"/>
  <c r="H349" i="4"/>
  <c r="I349" i="4" s="1"/>
  <c r="H348" i="4"/>
  <c r="I348" i="4" s="1"/>
  <c r="H347" i="4"/>
  <c r="I347" i="4" s="1"/>
  <c r="H346" i="4"/>
  <c r="I346" i="4" s="1"/>
  <c r="H345" i="4"/>
  <c r="I345" i="4" s="1"/>
  <c r="H344" i="4"/>
  <c r="I344" i="4" s="1"/>
  <c r="H343" i="4"/>
  <c r="I343" i="4" s="1"/>
  <c r="H342" i="4"/>
  <c r="I342" i="4" s="1"/>
  <c r="H341" i="4"/>
  <c r="I341" i="4" s="1"/>
  <c r="H340" i="4"/>
  <c r="I340" i="4" s="1"/>
  <c r="H339" i="4"/>
  <c r="I339" i="4" s="1"/>
  <c r="H338" i="4"/>
  <c r="I338" i="4" s="1"/>
  <c r="H337" i="4"/>
  <c r="I337" i="4" s="1"/>
  <c r="H336" i="4"/>
  <c r="I336" i="4" s="1"/>
  <c r="H335" i="4"/>
  <c r="I335" i="4" s="1"/>
  <c r="H334" i="4"/>
  <c r="I334" i="4" s="1"/>
  <c r="H333" i="4"/>
  <c r="I333" i="4" s="1"/>
  <c r="I332" i="4"/>
  <c r="H332" i="4"/>
  <c r="H331" i="4"/>
  <c r="I331" i="4" s="1"/>
  <c r="H330" i="4"/>
  <c r="I330" i="4" s="1"/>
  <c r="H329" i="4"/>
  <c r="I329" i="4" s="1"/>
  <c r="H328" i="4"/>
  <c r="I328" i="4" s="1"/>
  <c r="H327" i="4"/>
  <c r="I327" i="4" s="1"/>
  <c r="H326" i="4"/>
  <c r="I326" i="4" s="1"/>
  <c r="H325" i="4"/>
  <c r="I325" i="4" s="1"/>
  <c r="H324" i="4"/>
  <c r="I324" i="4" s="1"/>
  <c r="H323" i="4"/>
  <c r="I323" i="4" s="1"/>
  <c r="H322" i="4"/>
  <c r="I322" i="4" s="1"/>
  <c r="H321" i="4"/>
  <c r="I321" i="4" s="1"/>
  <c r="H320" i="4"/>
  <c r="I320" i="4" s="1"/>
  <c r="H319" i="4"/>
  <c r="I319" i="4" s="1"/>
  <c r="H318" i="4"/>
  <c r="I318" i="4" s="1"/>
  <c r="H317" i="4"/>
  <c r="I317" i="4" s="1"/>
  <c r="H316" i="4"/>
  <c r="I316" i="4" s="1"/>
  <c r="H315" i="4"/>
  <c r="I315" i="4" s="1"/>
  <c r="H314" i="4"/>
  <c r="I314" i="4" s="1"/>
  <c r="H313" i="4"/>
  <c r="I313" i="4" s="1"/>
  <c r="H312" i="4"/>
  <c r="I312" i="4" s="1"/>
  <c r="H311" i="4"/>
  <c r="I311" i="4" s="1"/>
  <c r="H310" i="4"/>
  <c r="I310" i="4" s="1"/>
  <c r="H309" i="4"/>
  <c r="I309" i="4" s="1"/>
  <c r="H308" i="4"/>
  <c r="I308" i="4" s="1"/>
  <c r="H307" i="4"/>
  <c r="I307" i="4" s="1"/>
  <c r="H306" i="4"/>
  <c r="I306" i="4" s="1"/>
  <c r="H305" i="4"/>
  <c r="I305" i="4" s="1"/>
  <c r="H304" i="4"/>
  <c r="I304" i="4" s="1"/>
  <c r="H303" i="4"/>
  <c r="I303" i="4" s="1"/>
  <c r="H302" i="4"/>
  <c r="I302" i="4" s="1"/>
  <c r="H301" i="4"/>
  <c r="I301" i="4" s="1"/>
  <c r="H300" i="4"/>
  <c r="I300" i="4" s="1"/>
  <c r="H299" i="4"/>
  <c r="I299" i="4" s="1"/>
  <c r="H298" i="4"/>
  <c r="I298" i="4" s="1"/>
  <c r="H297" i="4"/>
  <c r="I297" i="4" s="1"/>
  <c r="H296" i="4"/>
  <c r="I296" i="4" s="1"/>
  <c r="H295" i="4"/>
  <c r="I295" i="4" s="1"/>
  <c r="H294" i="4"/>
  <c r="I294" i="4" s="1"/>
  <c r="H293" i="4"/>
  <c r="I293" i="4" s="1"/>
  <c r="H292" i="4"/>
  <c r="I292" i="4" s="1"/>
  <c r="H291" i="4"/>
  <c r="I291" i="4" s="1"/>
  <c r="H290" i="4"/>
  <c r="I290" i="4" s="1"/>
  <c r="H289" i="4"/>
  <c r="I289" i="4" s="1"/>
  <c r="H288" i="4"/>
  <c r="I288" i="4" s="1"/>
  <c r="H287" i="4"/>
  <c r="I287" i="4" s="1"/>
  <c r="H286" i="4"/>
  <c r="I286" i="4" s="1"/>
  <c r="H285" i="4"/>
  <c r="I285" i="4" s="1"/>
  <c r="H284" i="4"/>
  <c r="I284" i="4" s="1"/>
  <c r="H283" i="4"/>
  <c r="I283" i="4" s="1"/>
  <c r="H282" i="4"/>
  <c r="I282" i="4" s="1"/>
  <c r="H281" i="4"/>
  <c r="I281" i="4" s="1"/>
  <c r="H280" i="4"/>
  <c r="I280" i="4" s="1"/>
  <c r="H279" i="4"/>
  <c r="I279" i="4" s="1"/>
  <c r="H278" i="4"/>
  <c r="I278" i="4" s="1"/>
  <c r="H277" i="4"/>
  <c r="I277" i="4" s="1"/>
  <c r="H276" i="4"/>
  <c r="I276" i="4" s="1"/>
  <c r="H275" i="4"/>
  <c r="I275" i="4" s="1"/>
  <c r="H274" i="4"/>
  <c r="I274" i="4" s="1"/>
  <c r="H273" i="4"/>
  <c r="I273" i="4" s="1"/>
  <c r="H272" i="4"/>
  <c r="I272" i="4" s="1"/>
  <c r="H271" i="4"/>
  <c r="I271" i="4" s="1"/>
  <c r="H270" i="4"/>
  <c r="I270" i="4" s="1"/>
  <c r="H269" i="4"/>
  <c r="I269" i="4" s="1"/>
  <c r="H268" i="4"/>
  <c r="I268" i="4" s="1"/>
  <c r="H267" i="4"/>
  <c r="I267" i="4" s="1"/>
  <c r="H266" i="4"/>
  <c r="I266" i="4" s="1"/>
  <c r="H265" i="4"/>
  <c r="I265" i="4" s="1"/>
  <c r="H264" i="4"/>
  <c r="I264" i="4" s="1"/>
  <c r="H263" i="4"/>
  <c r="I263" i="4" s="1"/>
  <c r="H262" i="4"/>
  <c r="I262" i="4" s="1"/>
  <c r="H261" i="4"/>
  <c r="I261" i="4" s="1"/>
  <c r="H260" i="4"/>
  <c r="I260" i="4" s="1"/>
  <c r="H259" i="4"/>
  <c r="I259" i="4" s="1"/>
  <c r="H258" i="4"/>
  <c r="I258" i="4" s="1"/>
  <c r="H257" i="4"/>
  <c r="I257" i="4" s="1"/>
  <c r="H256" i="4"/>
  <c r="I256" i="4" s="1"/>
  <c r="H255" i="4"/>
  <c r="I255" i="4" s="1"/>
  <c r="H254" i="4"/>
  <c r="I254" i="4" s="1"/>
  <c r="H253" i="4"/>
  <c r="I253" i="4" s="1"/>
  <c r="H252" i="4"/>
  <c r="I252" i="4" s="1"/>
  <c r="H251" i="4"/>
  <c r="I251" i="4" s="1"/>
  <c r="H250" i="4"/>
  <c r="I250" i="4" s="1"/>
  <c r="H249" i="4"/>
  <c r="I249" i="4" s="1"/>
  <c r="H248" i="4"/>
  <c r="I248" i="4" s="1"/>
  <c r="H247" i="4"/>
  <c r="I247" i="4" s="1"/>
  <c r="H246" i="4"/>
  <c r="I246" i="4" s="1"/>
  <c r="H245" i="4"/>
  <c r="I245" i="4" s="1"/>
  <c r="H244" i="4"/>
  <c r="I244" i="4" s="1"/>
  <c r="H243" i="4"/>
  <c r="I243" i="4" s="1"/>
  <c r="H242" i="4"/>
  <c r="I242" i="4" s="1"/>
  <c r="H241" i="4"/>
  <c r="I241" i="4" s="1"/>
  <c r="H240" i="4"/>
  <c r="I240" i="4" s="1"/>
  <c r="H239" i="4"/>
  <c r="I239" i="4" s="1"/>
  <c r="H238" i="4"/>
  <c r="I238" i="4" s="1"/>
  <c r="H237" i="4"/>
  <c r="I237" i="4" s="1"/>
  <c r="H236" i="4"/>
  <c r="I236" i="4" s="1"/>
  <c r="H235" i="4"/>
  <c r="I235" i="4" s="1"/>
  <c r="H234" i="4"/>
  <c r="I234" i="4" s="1"/>
  <c r="H233" i="4"/>
  <c r="I233" i="4" s="1"/>
  <c r="H232" i="4"/>
  <c r="I232" i="4" s="1"/>
  <c r="H231" i="4"/>
  <c r="I231" i="4" s="1"/>
  <c r="H230" i="4"/>
  <c r="I230" i="4" s="1"/>
  <c r="H229" i="4"/>
  <c r="I229" i="4" s="1"/>
  <c r="H228" i="4"/>
  <c r="I228" i="4" s="1"/>
  <c r="H227" i="4"/>
  <c r="I227" i="4" s="1"/>
  <c r="H226" i="4"/>
  <c r="I226" i="4" s="1"/>
  <c r="H225" i="4"/>
  <c r="I225" i="4" s="1"/>
  <c r="H224" i="4"/>
  <c r="I224" i="4" s="1"/>
  <c r="H223" i="4"/>
  <c r="I223" i="4" s="1"/>
  <c r="H222" i="4"/>
  <c r="I222" i="4" s="1"/>
  <c r="H221" i="4"/>
  <c r="I221" i="4" s="1"/>
  <c r="H220" i="4"/>
  <c r="I220" i="4" s="1"/>
  <c r="H219" i="4"/>
  <c r="I219" i="4" s="1"/>
  <c r="H218" i="4"/>
  <c r="I218" i="4" s="1"/>
  <c r="H217" i="4"/>
  <c r="I217" i="4" s="1"/>
  <c r="H216" i="4"/>
  <c r="I216" i="4" s="1"/>
  <c r="H215" i="4"/>
  <c r="I215" i="4" s="1"/>
  <c r="H214" i="4"/>
  <c r="I214" i="4" s="1"/>
  <c r="H213" i="4"/>
  <c r="I213" i="4" s="1"/>
  <c r="H212" i="4"/>
  <c r="I212" i="4" s="1"/>
  <c r="H211" i="4"/>
  <c r="I211" i="4" s="1"/>
  <c r="H210" i="4"/>
  <c r="I210" i="4" s="1"/>
  <c r="H209" i="4"/>
  <c r="I209" i="4" s="1"/>
  <c r="H208" i="4"/>
  <c r="I208" i="4" s="1"/>
  <c r="H207" i="4"/>
  <c r="I207" i="4" s="1"/>
  <c r="H206" i="4"/>
  <c r="I206" i="4" s="1"/>
  <c r="H205" i="4"/>
  <c r="I205" i="4" s="1"/>
  <c r="H204" i="4"/>
  <c r="I204" i="4" s="1"/>
  <c r="H203" i="4"/>
  <c r="I203" i="4" s="1"/>
  <c r="H202" i="4"/>
  <c r="I202" i="4" s="1"/>
  <c r="H201" i="4"/>
  <c r="I201" i="4" s="1"/>
  <c r="H200" i="4"/>
  <c r="I200" i="4" s="1"/>
  <c r="H199" i="4"/>
  <c r="I199" i="4" s="1"/>
  <c r="H198" i="4"/>
  <c r="I198" i="4" s="1"/>
  <c r="H197" i="4"/>
  <c r="I197" i="4" s="1"/>
  <c r="H196" i="4"/>
  <c r="I196" i="4" s="1"/>
  <c r="H195" i="4"/>
  <c r="I195" i="4" s="1"/>
  <c r="H194" i="4"/>
  <c r="I194" i="4" s="1"/>
  <c r="H193" i="4"/>
  <c r="I193" i="4" s="1"/>
  <c r="H192" i="4"/>
  <c r="I192" i="4" s="1"/>
  <c r="H191" i="4"/>
  <c r="I191" i="4" s="1"/>
  <c r="H190" i="4"/>
  <c r="I190" i="4" s="1"/>
  <c r="H189" i="4"/>
  <c r="I189" i="4" s="1"/>
  <c r="H188" i="4"/>
  <c r="I188" i="4" s="1"/>
  <c r="H187" i="4"/>
  <c r="I187" i="4" s="1"/>
  <c r="H186" i="4"/>
  <c r="I186" i="4" s="1"/>
  <c r="H185" i="4"/>
  <c r="I185" i="4" s="1"/>
  <c r="H184" i="4"/>
  <c r="I184" i="4" s="1"/>
  <c r="H183" i="4"/>
  <c r="I183" i="4" s="1"/>
  <c r="H182" i="4"/>
  <c r="I182" i="4" s="1"/>
  <c r="H181" i="4"/>
  <c r="I181" i="4" s="1"/>
  <c r="H180" i="4"/>
  <c r="I180" i="4" s="1"/>
  <c r="H179" i="4"/>
  <c r="I179" i="4" s="1"/>
  <c r="H178" i="4"/>
  <c r="I178" i="4" s="1"/>
  <c r="H177" i="4"/>
  <c r="I177" i="4" s="1"/>
  <c r="H176" i="4"/>
  <c r="I176" i="4" s="1"/>
  <c r="H175" i="4"/>
  <c r="I175" i="4" s="1"/>
  <c r="H174" i="4"/>
  <c r="I174" i="4" s="1"/>
  <c r="H173" i="4"/>
  <c r="I173" i="4" s="1"/>
  <c r="H172" i="4"/>
  <c r="I172" i="4" s="1"/>
  <c r="H171" i="4"/>
  <c r="I171" i="4" s="1"/>
  <c r="H170" i="4"/>
  <c r="I170" i="4" s="1"/>
  <c r="H169" i="4"/>
  <c r="I169" i="4" s="1"/>
  <c r="H168" i="4"/>
  <c r="I168" i="4" s="1"/>
  <c r="H167" i="4"/>
  <c r="I167" i="4" s="1"/>
  <c r="H166" i="4"/>
  <c r="I166" i="4" s="1"/>
  <c r="H165" i="4"/>
  <c r="I165" i="4" s="1"/>
  <c r="H164" i="4"/>
  <c r="I164" i="4" s="1"/>
  <c r="H163" i="4"/>
  <c r="I163" i="4" s="1"/>
  <c r="H162" i="4"/>
  <c r="I162" i="4" s="1"/>
  <c r="H161" i="4"/>
  <c r="I161" i="4" s="1"/>
  <c r="H160" i="4"/>
  <c r="I160" i="4" s="1"/>
  <c r="H159" i="4"/>
  <c r="I159" i="4" s="1"/>
  <c r="H158" i="4"/>
  <c r="I158" i="4" s="1"/>
  <c r="H157" i="4"/>
  <c r="I157" i="4" s="1"/>
  <c r="H156" i="4"/>
  <c r="I156" i="4" s="1"/>
  <c r="H155" i="4"/>
  <c r="I155" i="4" s="1"/>
  <c r="H154" i="4"/>
  <c r="I154" i="4" s="1"/>
  <c r="H153" i="4"/>
  <c r="I153" i="4" s="1"/>
  <c r="H152" i="4"/>
  <c r="I152" i="4" s="1"/>
  <c r="H151" i="4"/>
  <c r="I151" i="4" s="1"/>
  <c r="H150" i="4"/>
  <c r="I150" i="4" s="1"/>
  <c r="H149" i="4"/>
  <c r="I149" i="4" s="1"/>
  <c r="H148" i="4"/>
  <c r="I148" i="4" s="1"/>
  <c r="H147" i="4"/>
  <c r="I147" i="4" s="1"/>
  <c r="H146" i="4"/>
  <c r="I146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7" i="4"/>
  <c r="I127" i="4" s="1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120" i="4"/>
  <c r="I120" i="4" s="1"/>
  <c r="H119" i="4"/>
  <c r="I119" i="4" s="1"/>
  <c r="H118" i="4"/>
  <c r="I118" i="4" s="1"/>
  <c r="H117" i="4"/>
  <c r="I117" i="4" s="1"/>
  <c r="H116" i="4"/>
  <c r="I116" i="4" s="1"/>
  <c r="H115" i="4"/>
  <c r="I115" i="4" s="1"/>
  <c r="H114" i="4"/>
  <c r="I114" i="4" s="1"/>
  <c r="H113" i="4"/>
  <c r="I113" i="4" s="1"/>
  <c r="H112" i="4"/>
  <c r="I112" i="4" s="1"/>
  <c r="H111" i="4"/>
  <c r="I111" i="4" s="1"/>
  <c r="H110" i="4"/>
  <c r="I110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3" i="4"/>
  <c r="I93" i="4" s="1"/>
  <c r="H92" i="4"/>
  <c r="I92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L44" i="14" l="1"/>
  <c r="L20" i="14"/>
  <c r="L21" i="14"/>
  <c r="L22" i="14"/>
  <c r="L23" i="14"/>
  <c r="L24" i="14"/>
  <c r="L25" i="14"/>
  <c r="L26" i="14"/>
  <c r="H224" i="6"/>
  <c r="L27" i="14"/>
  <c r="G216" i="6"/>
  <c r="G220" i="6"/>
  <c r="H230" i="6"/>
  <c r="G227" i="6" s="1"/>
  <c r="L45" i="14"/>
  <c r="H212" i="6"/>
  <c r="L38" i="14"/>
  <c r="G199" i="6"/>
  <c r="G204" i="6"/>
  <c r="H205" i="6"/>
  <c r="G196" i="6" s="1"/>
  <c r="Q90" i="14"/>
  <c r="G46" i="14"/>
  <c r="T46" i="14"/>
  <c r="V46" i="14"/>
  <c r="K46" i="14"/>
  <c r="J416" i="18"/>
  <c r="J96" i="18"/>
  <c r="J116" i="18"/>
  <c r="J121" i="18"/>
  <c r="J125" i="18"/>
  <c r="J129" i="18"/>
  <c r="J133" i="18"/>
  <c r="J137" i="18"/>
  <c r="J146" i="18"/>
  <c r="J150" i="18"/>
  <c r="J155" i="18"/>
  <c r="J159" i="18"/>
  <c r="J163" i="18"/>
  <c r="J167" i="18"/>
  <c r="J171" i="18"/>
  <c r="J175" i="18"/>
  <c r="J179" i="18"/>
  <c r="J183" i="18"/>
  <c r="J187" i="18"/>
  <c r="J191" i="18"/>
  <c r="J195" i="18"/>
  <c r="J196" i="18"/>
  <c r="J200" i="18"/>
  <c r="J204" i="18"/>
  <c r="J208" i="18"/>
  <c r="J212" i="18"/>
  <c r="J216" i="18"/>
  <c r="J220" i="18"/>
  <c r="J224" i="18"/>
  <c r="J228" i="18"/>
  <c r="J232" i="18"/>
  <c r="J236" i="18"/>
  <c r="J240" i="18"/>
  <c r="J244" i="18"/>
  <c r="J248" i="18"/>
  <c r="J252" i="18"/>
  <c r="J256" i="18"/>
  <c r="J260" i="18"/>
  <c r="J264" i="18"/>
  <c r="J268" i="18"/>
  <c r="J272" i="18"/>
  <c r="J276" i="18"/>
  <c r="J280" i="18"/>
  <c r="J284" i="18"/>
  <c r="J288" i="18"/>
  <c r="J292" i="18"/>
  <c r="J296" i="18"/>
  <c r="J300" i="18"/>
  <c r="J304" i="18"/>
  <c r="J308" i="18"/>
  <c r="J312" i="18"/>
  <c r="J316" i="18"/>
  <c r="J320" i="18"/>
  <c r="J324" i="18"/>
  <c r="J328" i="18"/>
  <c r="J332" i="18"/>
  <c r="J336" i="18"/>
  <c r="J340" i="18"/>
  <c r="J345" i="18"/>
  <c r="J349" i="18"/>
  <c r="J353" i="18"/>
  <c r="J357" i="18"/>
  <c r="J361" i="18"/>
  <c r="J365" i="18"/>
  <c r="J369" i="18"/>
  <c r="J373" i="18"/>
  <c r="J374" i="18"/>
  <c r="J375" i="18"/>
  <c r="J379" i="18"/>
  <c r="J383" i="18"/>
  <c r="J387" i="18"/>
  <c r="J391" i="18"/>
  <c r="J395" i="18"/>
  <c r="J399" i="18"/>
  <c r="J403" i="18"/>
  <c r="J407" i="18"/>
  <c r="J411" i="18"/>
  <c r="J499" i="18"/>
  <c r="J552" i="18"/>
  <c r="J573" i="18"/>
  <c r="J589" i="18"/>
  <c r="J593" i="18"/>
  <c r="J617" i="18"/>
  <c r="J665" i="18"/>
  <c r="J669" i="18"/>
  <c r="J673" i="18"/>
  <c r="J685" i="18"/>
  <c r="J707" i="18"/>
  <c r="J711" i="18"/>
  <c r="J715" i="18"/>
  <c r="J719" i="18"/>
  <c r="J723" i="18"/>
  <c r="J727" i="18"/>
  <c r="J731" i="18"/>
  <c r="J735" i="18"/>
  <c r="J739" i="18"/>
  <c r="J743" i="18"/>
  <c r="J747" i="18"/>
  <c r="J751" i="18"/>
  <c r="J755" i="18"/>
  <c r="J759" i="18"/>
  <c r="J763" i="18"/>
  <c r="J767" i="18"/>
  <c r="J771" i="18"/>
  <c r="J775" i="18"/>
  <c r="J779" i="18"/>
  <c r="J783" i="18"/>
  <c r="J787" i="18"/>
  <c r="J791" i="18"/>
  <c r="J795" i="18"/>
  <c r="J799" i="18"/>
  <c r="J803" i="18"/>
  <c r="J807" i="18"/>
  <c r="J811" i="18"/>
  <c r="J815" i="18"/>
  <c r="J819" i="18"/>
  <c r="J823" i="18"/>
  <c r="J827" i="18"/>
  <c r="J831" i="18"/>
  <c r="J835" i="18"/>
  <c r="J839" i="18"/>
  <c r="J843" i="18"/>
  <c r="J847" i="18"/>
  <c r="J851" i="18"/>
  <c r="J855" i="18"/>
  <c r="J859" i="18"/>
  <c r="J863" i="18"/>
  <c r="J867" i="18"/>
  <c r="J871" i="18"/>
  <c r="J875" i="18"/>
  <c r="J879" i="18"/>
  <c r="J883" i="18"/>
  <c r="J887" i="18"/>
  <c r="J891" i="18"/>
  <c r="J895" i="18"/>
  <c r="J899" i="18"/>
  <c r="J903" i="18"/>
  <c r="J907" i="18"/>
  <c r="J911" i="18"/>
  <c r="J915" i="18"/>
  <c r="J919" i="18"/>
  <c r="J923" i="18"/>
  <c r="J927" i="18"/>
  <c r="J931" i="18"/>
  <c r="J935" i="18"/>
  <c r="J939" i="18"/>
  <c r="J943" i="18"/>
  <c r="J947" i="18"/>
  <c r="J951" i="18"/>
  <c r="J955" i="18"/>
  <c r="J959" i="18"/>
  <c r="J963" i="18"/>
  <c r="J967" i="18"/>
  <c r="J971" i="18"/>
  <c r="J975" i="18"/>
  <c r="J979" i="18"/>
  <c r="J983" i="18"/>
  <c r="J987" i="18"/>
  <c r="J991" i="18"/>
  <c r="J995" i="18"/>
  <c r="J999" i="18"/>
  <c r="J1003" i="18"/>
  <c r="J1007" i="18"/>
  <c r="J1011" i="18"/>
  <c r="J1015" i="18"/>
  <c r="J1019" i="18"/>
  <c r="J1023" i="18"/>
  <c r="J1027" i="18"/>
  <c r="J1031" i="18"/>
  <c r="J1035" i="18"/>
  <c r="J1039" i="18"/>
  <c r="J1043" i="18"/>
  <c r="J1047" i="18"/>
  <c r="J1051" i="18"/>
  <c r="J1055" i="18"/>
  <c r="J1059" i="18"/>
  <c r="J1063" i="18"/>
  <c r="J1067" i="18"/>
  <c r="J1071" i="18"/>
  <c r="J1075" i="18"/>
  <c r="J1079" i="18"/>
  <c r="J1083" i="18"/>
  <c r="J1087" i="18"/>
  <c r="J1091" i="18"/>
  <c r="J1095" i="18"/>
  <c r="J1099" i="18"/>
  <c r="J1103" i="18"/>
  <c r="J1107" i="18"/>
  <c r="J1111" i="18"/>
  <c r="J1115" i="18"/>
  <c r="J1119" i="18"/>
  <c r="J1123" i="18"/>
  <c r="J1127" i="18"/>
  <c r="J1131" i="18"/>
  <c r="J1135" i="18"/>
  <c r="J1139" i="18"/>
  <c r="J1143" i="18"/>
  <c r="J1147" i="18"/>
  <c r="J1151" i="18"/>
  <c r="J1155" i="18"/>
  <c r="J1159" i="18"/>
  <c r="J1163" i="18"/>
  <c r="J1167" i="18"/>
  <c r="J1171" i="18"/>
  <c r="J1175" i="18"/>
  <c r="J1180" i="18"/>
  <c r="J1184" i="18"/>
  <c r="J1188" i="18"/>
  <c r="J1192" i="18"/>
  <c r="J1196" i="18"/>
  <c r="J1200" i="18"/>
  <c r="J1204" i="18"/>
  <c r="J1208" i="18"/>
  <c r="J1212" i="18"/>
  <c r="J1216" i="18"/>
  <c r="J1220" i="18"/>
  <c r="J1224" i="18"/>
  <c r="J1228" i="18"/>
  <c r="J1232" i="18"/>
  <c r="J1236" i="18"/>
  <c r="J1240" i="18"/>
  <c r="J1244" i="18"/>
  <c r="J1248" i="18"/>
  <c r="J1252" i="18"/>
  <c r="J1256" i="18"/>
  <c r="J1260" i="18"/>
  <c r="J1264" i="18"/>
  <c r="J1268" i="18"/>
  <c r="J1272" i="18"/>
  <c r="J1276" i="18"/>
  <c r="J1280" i="18"/>
  <c r="J1284" i="18"/>
  <c r="J1288" i="18"/>
  <c r="J1292" i="18"/>
  <c r="J1296" i="18"/>
  <c r="J1300" i="18"/>
  <c r="J1304" i="18"/>
  <c r="J1308" i="18"/>
  <c r="J1312" i="18"/>
  <c r="J1316" i="18"/>
  <c r="J1320" i="18"/>
  <c r="J1324" i="18"/>
  <c r="J1328" i="18"/>
  <c r="J1332" i="18"/>
  <c r="J1336" i="18"/>
  <c r="J1340" i="18"/>
  <c r="J1344" i="18"/>
  <c r="J1348" i="18"/>
  <c r="J1352" i="18"/>
  <c r="J1356" i="18"/>
  <c r="J1360" i="18"/>
  <c r="J1364" i="18"/>
  <c r="J1368" i="18"/>
  <c r="J1372" i="18"/>
  <c r="J1376" i="18"/>
  <c r="J6" i="18"/>
  <c r="J7" i="18"/>
  <c r="J12" i="18"/>
  <c r="J13" i="18"/>
  <c r="J17" i="18"/>
  <c r="J21" i="18"/>
  <c r="J25" i="18"/>
  <c r="J29" i="18"/>
  <c r="J33" i="18"/>
  <c r="J37" i="18"/>
  <c r="J41" i="18"/>
  <c r="J45" i="18"/>
  <c r="J49" i="18"/>
  <c r="J53" i="18"/>
  <c r="J57" i="18"/>
  <c r="J61" i="18"/>
  <c r="J65" i="18"/>
  <c r="J69" i="18"/>
  <c r="J73" i="18"/>
  <c r="J77" i="18"/>
  <c r="J81" i="18"/>
  <c r="J85" i="18"/>
  <c r="J89" i="18"/>
  <c r="J93" i="18"/>
  <c r="J94" i="18"/>
  <c r="J98" i="18"/>
  <c r="J102" i="18"/>
  <c r="J106" i="18"/>
  <c r="J110" i="18"/>
  <c r="J114" i="18"/>
  <c r="J118" i="18"/>
  <c r="J119" i="18"/>
  <c r="J123" i="18"/>
  <c r="J127" i="18"/>
  <c r="J131" i="18"/>
  <c r="J135" i="18"/>
  <c r="J140" i="18"/>
  <c r="J144" i="18"/>
  <c r="J148" i="18"/>
  <c r="J153" i="18"/>
  <c r="J157" i="18"/>
  <c r="J161" i="18"/>
  <c r="J165" i="18"/>
  <c r="J169" i="18"/>
  <c r="J173" i="18"/>
  <c r="J177" i="18"/>
  <c r="J181" i="18"/>
  <c r="J185" i="18"/>
  <c r="J189" i="18"/>
  <c r="J193" i="18"/>
  <c r="J198" i="18"/>
  <c r="J202" i="18"/>
  <c r="J206" i="18"/>
  <c r="J210" i="18"/>
  <c r="J214" i="18"/>
  <c r="J218" i="18"/>
  <c r="J222" i="18"/>
  <c r="J226" i="18"/>
  <c r="J230" i="18"/>
  <c r="J234" i="18"/>
  <c r="J238" i="18"/>
  <c r="J242" i="18"/>
  <c r="J246" i="18"/>
  <c r="J250" i="18"/>
  <c r="J254" i="18"/>
  <c r="J258" i="18"/>
  <c r="J262" i="18"/>
  <c r="J266" i="18"/>
  <c r="J270" i="18"/>
  <c r="J274" i="18"/>
  <c r="J278" i="18"/>
  <c r="J282" i="18"/>
  <c r="J286" i="18"/>
  <c r="J290" i="18"/>
  <c r="J294" i="18"/>
  <c r="J298" i="18"/>
  <c r="J302" i="18"/>
  <c r="J306" i="18"/>
  <c r="J310" i="18"/>
  <c r="J314" i="18"/>
  <c r="J318" i="18"/>
  <c r="J322" i="18"/>
  <c r="J326" i="18"/>
  <c r="J330" i="18"/>
  <c r="J334" i="18"/>
  <c r="J338" i="18"/>
  <c r="J342" i="18"/>
  <c r="J343" i="18"/>
  <c r="J347" i="18"/>
  <c r="J351" i="18"/>
  <c r="J355" i="18"/>
  <c r="J359" i="18"/>
  <c r="J363" i="18"/>
  <c r="J367" i="18"/>
  <c r="J371" i="18"/>
  <c r="J377" i="18"/>
  <c r="J381" i="18"/>
  <c r="J385" i="18"/>
  <c r="J389" i="18"/>
  <c r="J393" i="18"/>
  <c r="J397" i="18"/>
  <c r="J574" i="18"/>
  <c r="J960" i="18"/>
  <c r="J968" i="18"/>
  <c r="J976" i="18"/>
  <c r="J984" i="18"/>
  <c r="J992" i="18"/>
  <c r="J1000" i="18"/>
  <c r="J1008" i="18"/>
  <c r="J1016" i="18"/>
  <c r="J1024" i="18"/>
  <c r="J1032" i="18"/>
  <c r="J1040" i="18"/>
  <c r="J1044" i="18"/>
  <c r="J1048" i="18"/>
  <c r="J1056" i="18"/>
  <c r="J1064" i="18"/>
  <c r="J1072" i="18"/>
  <c r="J1080" i="18"/>
  <c r="J1084" i="18"/>
  <c r="J1088" i="18"/>
  <c r="J1092" i="18"/>
  <c r="J1096" i="18"/>
  <c r="J1104" i="18"/>
  <c r="J1112" i="18"/>
  <c r="J1120" i="18"/>
  <c r="J1128" i="18"/>
  <c r="J1136" i="18"/>
  <c r="J1144" i="18"/>
  <c r="J1152" i="18"/>
  <c r="J1160" i="18"/>
  <c r="J1168" i="18"/>
  <c r="J1176" i="18"/>
  <c r="J1349" i="18"/>
  <c r="J1357" i="18"/>
  <c r="J1365" i="18"/>
  <c r="J1373" i="18"/>
  <c r="J550" i="18"/>
  <c r="J611" i="18"/>
  <c r="J615" i="18"/>
  <c r="J623" i="18"/>
  <c r="J683" i="18"/>
  <c r="J753" i="18"/>
  <c r="J1339" i="18"/>
  <c r="J1343" i="18"/>
  <c r="J1347" i="18"/>
  <c r="J1351" i="18"/>
  <c r="J1355" i="18"/>
  <c r="J1359" i="18"/>
  <c r="J1363" i="18"/>
  <c r="J1367" i="18"/>
  <c r="J1371" i="18"/>
  <c r="J1375" i="18"/>
  <c r="J635" i="18"/>
  <c r="J663" i="18"/>
  <c r="J687" i="18"/>
  <c r="J744" i="18"/>
  <c r="J752" i="18"/>
  <c r="J760" i="18"/>
  <c r="J768" i="18"/>
  <c r="J773" i="18"/>
  <c r="J776" i="18"/>
  <c r="J784" i="18"/>
  <c r="J789" i="18"/>
  <c r="J792" i="18"/>
  <c r="J793" i="18"/>
  <c r="J800" i="18"/>
  <c r="J805" i="18"/>
  <c r="J808" i="18"/>
  <c r="J816" i="18"/>
  <c r="J824" i="18"/>
  <c r="J829" i="18"/>
  <c r="J832" i="18"/>
  <c r="J840" i="18"/>
  <c r="J848" i="18"/>
  <c r="J849" i="18"/>
  <c r="J853" i="18"/>
  <c r="J856" i="18"/>
  <c r="J864" i="18"/>
  <c r="J872" i="18"/>
  <c r="J139" i="18"/>
  <c r="J606" i="18"/>
  <c r="J8" i="18"/>
  <c r="J54" i="18"/>
  <c r="J255" i="18"/>
  <c r="J283" i="18"/>
  <c r="J311" i="18"/>
  <c r="J368" i="18"/>
  <c r="J474" i="18"/>
  <c r="J510" i="18"/>
  <c r="J531" i="18"/>
  <c r="J584" i="18"/>
  <c r="J616" i="18"/>
  <c r="J648" i="18"/>
  <c r="J680" i="18"/>
  <c r="J734" i="18"/>
  <c r="J401" i="18"/>
  <c r="J405" i="18"/>
  <c r="J409" i="18"/>
  <c r="J425" i="18"/>
  <c r="J505" i="18"/>
  <c r="J563" i="18"/>
  <c r="J567" i="18"/>
  <c r="J575" i="18"/>
  <c r="J869" i="18"/>
  <c r="J880" i="18"/>
  <c r="J888" i="18"/>
  <c r="J896" i="18"/>
  <c r="J904" i="18"/>
  <c r="J905" i="18"/>
  <c r="J912" i="18"/>
  <c r="J917" i="18"/>
  <c r="J920" i="18"/>
  <c r="J928" i="18"/>
  <c r="J929" i="18"/>
  <c r="J936" i="18"/>
  <c r="J944" i="18"/>
  <c r="J952" i="18"/>
  <c r="J957" i="18"/>
  <c r="J961" i="18"/>
  <c r="J997" i="18"/>
  <c r="J1005" i="18"/>
  <c r="J1045" i="18"/>
  <c r="J1065" i="18"/>
  <c r="J1085" i="18"/>
  <c r="J1108" i="18"/>
  <c r="J1116" i="18"/>
  <c r="J1117" i="18"/>
  <c r="J1124" i="18"/>
  <c r="J1129" i="18"/>
  <c r="J1132" i="18"/>
  <c r="J1140" i="18"/>
  <c r="J1145" i="18"/>
  <c r="J1148" i="18"/>
  <c r="J1153" i="18"/>
  <c r="J1156" i="18"/>
  <c r="J1164" i="18"/>
  <c r="J1172" i="18"/>
  <c r="J1173" i="18"/>
  <c r="J1181" i="18"/>
  <c r="J1185" i="18"/>
  <c r="J1189" i="18"/>
  <c r="J1193" i="18"/>
  <c r="J1197" i="18"/>
  <c r="J1201" i="18"/>
  <c r="J1205" i="18"/>
  <c r="J1209" i="18"/>
  <c r="J1213" i="18"/>
  <c r="J1217" i="18"/>
  <c r="J1221" i="18"/>
  <c r="J1225" i="18"/>
  <c r="J1229" i="18"/>
  <c r="J1233" i="18"/>
  <c r="J1237" i="18"/>
  <c r="J1241" i="18"/>
  <c r="J1245" i="18"/>
  <c r="J1249" i="18"/>
  <c r="J1253" i="18"/>
  <c r="J1257" i="18"/>
  <c r="J1261" i="18"/>
  <c r="J1265" i="18"/>
  <c r="J1269" i="18"/>
  <c r="J1273" i="18"/>
  <c r="J1277" i="18"/>
  <c r="J1281" i="18"/>
  <c r="J1285" i="18"/>
  <c r="J1289" i="18"/>
  <c r="J1293" i="18"/>
  <c r="J1297" i="18"/>
  <c r="J1301" i="18"/>
  <c r="J1305" i="18"/>
  <c r="J1309" i="18"/>
  <c r="J1313" i="18"/>
  <c r="J1317" i="18"/>
  <c r="J1321" i="18"/>
  <c r="J1325" i="18"/>
  <c r="J1329" i="18"/>
  <c r="J1333" i="18"/>
  <c r="J1337" i="18"/>
  <c r="J1341" i="18"/>
  <c r="J1345" i="18"/>
  <c r="J1353" i="18"/>
  <c r="J1361" i="18"/>
  <c r="J1369" i="18"/>
  <c r="J1377" i="18"/>
  <c r="J11" i="18"/>
  <c r="J396" i="18"/>
  <c r="J182" i="18"/>
  <c r="J415" i="18"/>
  <c r="J419" i="18"/>
  <c r="J423" i="18"/>
  <c r="J427" i="18"/>
  <c r="J431" i="18"/>
  <c r="J435" i="18"/>
  <c r="J439" i="18"/>
  <c r="J443" i="18"/>
  <c r="J447" i="18"/>
  <c r="J451" i="18"/>
  <c r="J455" i="18"/>
  <c r="J459" i="18"/>
  <c r="J463" i="18"/>
  <c r="J467" i="18"/>
  <c r="J471" i="18"/>
  <c r="J475" i="18"/>
  <c r="J479" i="18"/>
  <c r="J483" i="18"/>
  <c r="J487" i="18"/>
  <c r="J491" i="18"/>
  <c r="J495" i="18"/>
  <c r="J503" i="18"/>
  <c r="J507" i="18"/>
  <c r="J511" i="18"/>
  <c r="J515" i="18"/>
  <c r="J516" i="18"/>
  <c r="J520" i="18"/>
  <c r="J524" i="18"/>
  <c r="J528" i="18"/>
  <c r="J532" i="18"/>
  <c r="J536" i="18"/>
  <c r="J540" i="18"/>
  <c r="J544" i="18"/>
  <c r="J548" i="18"/>
  <c r="J556" i="18"/>
  <c r="J561" i="18"/>
  <c r="J565" i="18"/>
  <c r="J569" i="18"/>
  <c r="J577" i="18"/>
  <c r="J581" i="18"/>
  <c r="J585" i="18"/>
  <c r="J597" i="18"/>
  <c r="J601" i="18"/>
  <c r="J605" i="18"/>
  <c r="J609" i="18"/>
  <c r="J613" i="18"/>
  <c r="J621" i="18"/>
  <c r="J625" i="18"/>
  <c r="J629" i="18"/>
  <c r="J633" i="18"/>
  <c r="J637" i="18"/>
  <c r="J641" i="18"/>
  <c r="J645" i="18"/>
  <c r="J649" i="18"/>
  <c r="J653" i="18"/>
  <c r="J657" i="18"/>
  <c r="J661" i="18"/>
  <c r="J677" i="18"/>
  <c r="J681" i="18"/>
  <c r="J689" i="18"/>
  <c r="J693" i="18"/>
  <c r="J697" i="18"/>
  <c r="J701" i="18"/>
  <c r="J702" i="18"/>
  <c r="J413" i="18"/>
  <c r="J417" i="18"/>
  <c r="J421" i="18"/>
  <c r="J429" i="18"/>
  <c r="J433" i="18"/>
  <c r="J437" i="18"/>
  <c r="J441" i="18"/>
  <c r="J444" i="18"/>
  <c r="J445" i="18"/>
  <c r="J449" i="18"/>
  <c r="J453" i="18"/>
  <c r="J457" i="18"/>
  <c r="J461" i="18"/>
  <c r="J465" i="18"/>
  <c r="J469" i="18"/>
  <c r="J473" i="18"/>
  <c r="J477" i="18"/>
  <c r="J481" i="18"/>
  <c r="J485" i="18"/>
  <c r="J489" i="18"/>
  <c r="J493" i="18"/>
  <c r="J497" i="18"/>
  <c r="J501" i="18"/>
  <c r="J509" i="18"/>
  <c r="J513" i="18"/>
  <c r="J518" i="18"/>
  <c r="J522" i="18"/>
  <c r="J526" i="18"/>
  <c r="J530" i="18"/>
  <c r="J534" i="18"/>
  <c r="J538" i="18"/>
  <c r="J542" i="18"/>
  <c r="J546" i="18"/>
  <c r="J554" i="18"/>
  <c r="J558" i="18"/>
  <c r="J559" i="18"/>
  <c r="J571" i="18"/>
  <c r="J579" i="18"/>
  <c r="J583" i="18"/>
  <c r="J587" i="18"/>
  <c r="J591" i="18"/>
  <c r="J595" i="18"/>
  <c r="J599" i="18"/>
  <c r="J603" i="18"/>
  <c r="J607" i="18"/>
  <c r="J619" i="18"/>
  <c r="J627" i="18"/>
  <c r="J631" i="18"/>
  <c r="J638" i="18"/>
  <c r="J639" i="18"/>
  <c r="J643" i="18"/>
  <c r="J647" i="18"/>
  <c r="J651" i="18"/>
  <c r="J655" i="18"/>
  <c r="J659" i="18"/>
  <c r="J667" i="18"/>
  <c r="J670" i="18"/>
  <c r="J671" i="18"/>
  <c r="J675" i="18"/>
  <c r="J679" i="18"/>
  <c r="J691" i="18"/>
  <c r="J695" i="18"/>
  <c r="J699" i="18"/>
  <c r="J704" i="18"/>
  <c r="J705" i="18"/>
  <c r="J709" i="18"/>
  <c r="J712" i="18"/>
  <c r="J713" i="18"/>
  <c r="J717" i="18"/>
  <c r="J721" i="18"/>
  <c r="J725" i="18"/>
  <c r="J729" i="18"/>
  <c r="J733" i="18"/>
  <c r="J737" i="18"/>
  <c r="J741" i="18"/>
  <c r="J745" i="18"/>
  <c r="J749" i="18"/>
  <c r="J757" i="18"/>
  <c r="J761" i="18"/>
  <c r="J765" i="18"/>
  <c r="J769" i="18"/>
  <c r="J777" i="18"/>
  <c r="J781" i="18"/>
  <c r="J785" i="18"/>
  <c r="J797" i="18"/>
  <c r="J801" i="18"/>
  <c r="J809" i="18"/>
  <c r="J813" i="18"/>
  <c r="J817" i="18"/>
  <c r="J821" i="18"/>
  <c r="J825" i="18"/>
  <c r="J833" i="18"/>
  <c r="J837" i="18"/>
  <c r="J841" i="18"/>
  <c r="J845" i="18"/>
  <c r="J857" i="18"/>
  <c r="J861" i="18"/>
  <c r="J865" i="18"/>
  <c r="J873" i="18"/>
  <c r="J877" i="18"/>
  <c r="J881" i="18"/>
  <c r="J885" i="18"/>
  <c r="J889" i="18"/>
  <c r="J893" i="18"/>
  <c r="J897" i="18"/>
  <c r="J901" i="18"/>
  <c r="J909" i="18"/>
  <c r="J913" i="18"/>
  <c r="J921" i="18"/>
  <c r="J925" i="18"/>
  <c r="J933" i="18"/>
  <c r="J937" i="18"/>
  <c r="J941" i="18"/>
  <c r="J945" i="18"/>
  <c r="J949" i="18"/>
  <c r="J953" i="18"/>
  <c r="J965" i="18"/>
  <c r="J969" i="18"/>
  <c r="J973" i="18"/>
  <c r="J977" i="18"/>
  <c r="J981" i="18"/>
  <c r="J985" i="18"/>
  <c r="J989" i="18"/>
  <c r="J993" i="18"/>
  <c r="J1001" i="18"/>
  <c r="J1009" i="18"/>
  <c r="J1013" i="18"/>
  <c r="J1017" i="18"/>
  <c r="J1021" i="18"/>
  <c r="J1025" i="18"/>
  <c r="J1029" i="18"/>
  <c r="J1033" i="18"/>
  <c r="J1037" i="18"/>
  <c r="J1041" i="18"/>
  <c r="J1049" i="18"/>
  <c r="J1053" i="18"/>
  <c r="J1057" i="18"/>
  <c r="J1061" i="18"/>
  <c r="J1069" i="18"/>
  <c r="J1073" i="18"/>
  <c r="J1077" i="18"/>
  <c r="J1081" i="18"/>
  <c r="J1089" i="18"/>
  <c r="J1093" i="18"/>
  <c r="J1097" i="18"/>
  <c r="J1101" i="18"/>
  <c r="J1105" i="18"/>
  <c r="J1109" i="18"/>
  <c r="J1113" i="18"/>
  <c r="J1121" i="18"/>
  <c r="J1125" i="18"/>
  <c r="J1133" i="18"/>
  <c r="J1137" i="18"/>
  <c r="J1141" i="18"/>
  <c r="J1149" i="18"/>
  <c r="J1157" i="18"/>
  <c r="J1161" i="18"/>
  <c r="J1165" i="18"/>
  <c r="J1169" i="18"/>
  <c r="J1177" i="18"/>
  <c r="J964" i="18"/>
  <c r="J972" i="18"/>
  <c r="J980" i="18"/>
  <c r="J988" i="18"/>
  <c r="J996" i="18"/>
  <c r="J1004" i="18"/>
  <c r="J1012" i="18"/>
  <c r="J1020" i="18"/>
  <c r="J1028" i="18"/>
  <c r="J1036" i="18"/>
  <c r="J1052" i="18"/>
  <c r="J1060" i="18"/>
  <c r="J1068" i="18"/>
  <c r="J1076" i="18"/>
  <c r="J1100" i="18"/>
  <c r="H1379" i="18"/>
  <c r="I1379" i="18"/>
  <c r="J16" i="18"/>
  <c r="J20" i="18"/>
  <c r="J24" i="18"/>
  <c r="J28" i="18"/>
  <c r="J32" i="18"/>
  <c r="J36" i="18"/>
  <c r="J40" i="18"/>
  <c r="J44" i="18"/>
  <c r="J48" i="18"/>
  <c r="J52" i="18"/>
  <c r="J56" i="18"/>
  <c r="J60" i="18"/>
  <c r="J64" i="18"/>
  <c r="J68" i="18"/>
  <c r="J72" i="18"/>
  <c r="J76" i="18"/>
  <c r="J80" i="18"/>
  <c r="J84" i="18"/>
  <c r="J88" i="18"/>
  <c r="J92" i="18"/>
  <c r="J97" i="18"/>
  <c r="J101" i="18"/>
  <c r="J105" i="18"/>
  <c r="J109" i="18"/>
  <c r="J113" i="18"/>
  <c r="J117" i="18"/>
  <c r="J122" i="18"/>
  <c r="J126" i="18"/>
  <c r="J130" i="18"/>
  <c r="J134" i="18"/>
  <c r="J138" i="18"/>
  <c r="J143" i="18"/>
  <c r="J147" i="18"/>
  <c r="J151" i="18"/>
  <c r="J152" i="18"/>
  <c r="J156" i="18"/>
  <c r="J160" i="18"/>
  <c r="J164" i="18"/>
  <c r="J168" i="18"/>
  <c r="J172" i="18"/>
  <c r="J176" i="18"/>
  <c r="J180" i="18"/>
  <c r="J184" i="18"/>
  <c r="J188" i="18"/>
  <c r="J192" i="18"/>
  <c r="J197" i="18"/>
  <c r="J201" i="18"/>
  <c r="J205" i="18"/>
  <c r="J209" i="18"/>
  <c r="J213" i="18"/>
  <c r="J217" i="18"/>
  <c r="J221" i="18"/>
  <c r="J225" i="18"/>
  <c r="J229" i="18"/>
  <c r="J233" i="18"/>
  <c r="J237" i="18"/>
  <c r="J241" i="18"/>
  <c r="J245" i="18"/>
  <c r="J249" i="18"/>
  <c r="J253" i="18"/>
  <c r="J257" i="18"/>
  <c r="J261" i="18"/>
  <c r="J265" i="18"/>
  <c r="J269" i="18"/>
  <c r="J273" i="18"/>
  <c r="J277" i="18"/>
  <c r="J281" i="18"/>
  <c r="J285" i="18"/>
  <c r="J289" i="18"/>
  <c r="J293" i="18"/>
  <c r="J297" i="18"/>
  <c r="J301" i="18"/>
  <c r="J305" i="18"/>
  <c r="J309" i="18"/>
  <c r="J313" i="18"/>
  <c r="J317" i="18"/>
  <c r="J321" i="18"/>
  <c r="J325" i="18"/>
  <c r="J329" i="18"/>
  <c r="J333" i="18"/>
  <c r="J337" i="18"/>
  <c r="J341" i="18"/>
  <c r="J346" i="18"/>
  <c r="J350" i="18"/>
  <c r="J354" i="18"/>
  <c r="J358" i="18"/>
  <c r="J362" i="18"/>
  <c r="J366" i="18"/>
  <c r="J370" i="18"/>
  <c r="J376" i="18"/>
  <c r="J380" i="18"/>
  <c r="J384" i="18"/>
  <c r="J388" i="18"/>
  <c r="J392" i="18"/>
  <c r="J400" i="18"/>
  <c r="J404" i="18"/>
  <c r="J408" i="18"/>
  <c r="J412" i="18"/>
  <c r="J420" i="18"/>
  <c r="J424" i="18"/>
  <c r="J428" i="18"/>
  <c r="J432" i="18"/>
  <c r="J436" i="18"/>
  <c r="J440" i="18"/>
  <c r="J448" i="18"/>
  <c r="J452" i="18"/>
  <c r="J456" i="18"/>
  <c r="J460" i="18"/>
  <c r="J464" i="18"/>
  <c r="J468" i="18"/>
  <c r="J472" i="18"/>
  <c r="J476" i="18"/>
  <c r="J480" i="18"/>
  <c r="J484" i="18"/>
  <c r="J488" i="18"/>
  <c r="J492" i="18"/>
  <c r="J496" i="18"/>
  <c r="J500" i="18"/>
  <c r="J504" i="18"/>
  <c r="J508" i="18"/>
  <c r="J512" i="18"/>
  <c r="J517" i="18"/>
  <c r="J521" i="18"/>
  <c r="J525" i="18"/>
  <c r="J529" i="18"/>
  <c r="J533" i="18"/>
  <c r="J537" i="18"/>
  <c r="J541" i="18"/>
  <c r="J545" i="18"/>
  <c r="J549" i="18"/>
  <c r="J553" i="18"/>
  <c r="J557" i="18"/>
  <c r="J562" i="18"/>
  <c r="J566" i="18"/>
  <c r="J570" i="18"/>
  <c r="J578" i="18"/>
  <c r="J582" i="18"/>
  <c r="J586" i="18"/>
  <c r="J590" i="18"/>
  <c r="J594" i="18"/>
  <c r="J598" i="18"/>
  <c r="J602" i="18"/>
  <c r="J610" i="18"/>
  <c r="J614" i="18"/>
  <c r="J618" i="18"/>
  <c r="J622" i="18"/>
  <c r="J626" i="18"/>
  <c r="J630" i="18"/>
  <c r="J634" i="18"/>
  <c r="J650" i="18"/>
  <c r="J654" i="18"/>
  <c r="J666" i="18"/>
  <c r="J682" i="18"/>
  <c r="J686" i="18"/>
  <c r="J698" i="18"/>
  <c r="J703" i="18"/>
  <c r="J708" i="18"/>
  <c r="J724" i="18"/>
  <c r="J728" i="18"/>
  <c r="J740" i="18"/>
  <c r="J748" i="18"/>
  <c r="J756" i="18"/>
  <c r="J764" i="18"/>
  <c r="J772" i="18"/>
  <c r="J780" i="18"/>
  <c r="J788" i="18"/>
  <c r="J796" i="18"/>
  <c r="J804" i="18"/>
  <c r="J812" i="18"/>
  <c r="J820" i="18"/>
  <c r="J828" i="18"/>
  <c r="J836" i="18"/>
  <c r="J844" i="18"/>
  <c r="J852" i="18"/>
  <c r="J860" i="18"/>
  <c r="J868" i="18"/>
  <c r="J876" i="18"/>
  <c r="J884" i="18"/>
  <c r="J892" i="18"/>
  <c r="J900" i="18"/>
  <c r="J908" i="18"/>
  <c r="J916" i="18"/>
  <c r="J924" i="18"/>
  <c r="J932" i="18"/>
  <c r="J940" i="18"/>
  <c r="J948" i="18"/>
  <c r="J956" i="18"/>
  <c r="J4" i="18"/>
  <c r="J10" i="18"/>
  <c r="J15" i="18"/>
  <c r="J19" i="18"/>
  <c r="J23" i="18"/>
  <c r="J27" i="18"/>
  <c r="J31" i="18"/>
  <c r="J35" i="18"/>
  <c r="J39" i="18"/>
  <c r="J43" i="18"/>
  <c r="J47" i="18"/>
  <c r="J51" i="18"/>
  <c r="J55" i="18"/>
  <c r="J59" i="18"/>
  <c r="J63" i="18"/>
  <c r="J67" i="18"/>
  <c r="J71" i="18"/>
  <c r="J75" i="18"/>
  <c r="J79" i="18"/>
  <c r="J83" i="18"/>
  <c r="J87" i="18"/>
  <c r="J91" i="18"/>
  <c r="J100" i="18"/>
  <c r="J104" i="18"/>
  <c r="J108" i="18"/>
  <c r="J112" i="18"/>
  <c r="J142" i="18"/>
  <c r="J9" i="18"/>
  <c r="J14" i="18"/>
  <c r="J18" i="18"/>
  <c r="J22" i="18"/>
  <c r="J26" i="18"/>
  <c r="J30" i="18"/>
  <c r="J34" i="18"/>
  <c r="J38" i="18"/>
  <c r="J42" i="18"/>
  <c r="J46" i="18"/>
  <c r="J50" i="18"/>
  <c r="J58" i="18"/>
  <c r="J62" i="18"/>
  <c r="J66" i="18"/>
  <c r="J70" i="18"/>
  <c r="J74" i="18"/>
  <c r="J78" i="18"/>
  <c r="J82" i="18"/>
  <c r="J86" i="18"/>
  <c r="J90" i="18"/>
  <c r="J95" i="18"/>
  <c r="J99" i="18"/>
  <c r="J103" i="18"/>
  <c r="J107" i="18"/>
  <c r="J111" i="18"/>
  <c r="J115" i="18"/>
  <c r="J120" i="18"/>
  <c r="J124" i="18"/>
  <c r="J128" i="18"/>
  <c r="J132" i="18"/>
  <c r="J136" i="18"/>
  <c r="J141" i="18"/>
  <c r="J145" i="18"/>
  <c r="J149" i="18"/>
  <c r="J154" i="18"/>
  <c r="J158" i="18"/>
  <c r="J162" i="18"/>
  <c r="J166" i="18"/>
  <c r="J170" i="18"/>
  <c r="J174" i="18"/>
  <c r="J178" i="18"/>
  <c r="J186" i="18"/>
  <c r="J190" i="18"/>
  <c r="J194" i="18"/>
  <c r="J199" i="18"/>
  <c r="J203" i="18"/>
  <c r="J207" i="18"/>
  <c r="J211" i="18"/>
  <c r="J215" i="18"/>
  <c r="J219" i="18"/>
  <c r="J223" i="18"/>
  <c r="J227" i="18"/>
  <c r="J231" i="18"/>
  <c r="J235" i="18"/>
  <c r="J239" i="18"/>
  <c r="J243" i="18"/>
  <c r="J247" i="18"/>
  <c r="J251" i="18"/>
  <c r="J259" i="18"/>
  <c r="J263" i="18"/>
  <c r="J267" i="18"/>
  <c r="J271" i="18"/>
  <c r="J275" i="18"/>
  <c r="J279" i="18"/>
  <c r="J287" i="18"/>
  <c r="J291" i="18"/>
  <c r="J295" i="18"/>
  <c r="J299" i="18"/>
  <c r="J303" i="18"/>
  <c r="J307" i="18"/>
  <c r="J315" i="18"/>
  <c r="J319" i="18"/>
  <c r="J323" i="18"/>
  <c r="J327" i="18"/>
  <c r="J331" i="18"/>
  <c r="J335" i="18"/>
  <c r="J339" i="18"/>
  <c r="J344" i="18"/>
  <c r="J348" i="18"/>
  <c r="J352" i="18"/>
  <c r="J356" i="18"/>
  <c r="J360" i="18"/>
  <c r="J364" i="18"/>
  <c r="J372" i="18"/>
  <c r="J378" i="18"/>
  <c r="J382" i="18"/>
  <c r="J386" i="18"/>
  <c r="J390" i="18"/>
  <c r="J394" i="18"/>
  <c r="J398" i="18"/>
  <c r="J402" i="18"/>
  <c r="J406" i="18"/>
  <c r="J410" i="18"/>
  <c r="J414" i="18"/>
  <c r="J418" i="18"/>
  <c r="J422" i="18"/>
  <c r="J426" i="18"/>
  <c r="J430" i="18"/>
  <c r="J434" i="18"/>
  <c r="J438" i="18"/>
  <c r="J442" i="18"/>
  <c r="J446" i="18"/>
  <c r="J450" i="18"/>
  <c r="J454" i="18"/>
  <c r="J458" i="18"/>
  <c r="J462" i="18"/>
  <c r="J466" i="18"/>
  <c r="J470" i="18"/>
  <c r="J478" i="18"/>
  <c r="J482" i="18"/>
  <c r="J486" i="18"/>
  <c r="J490" i="18"/>
  <c r="J494" i="18"/>
  <c r="J498" i="18"/>
  <c r="J502" i="18"/>
  <c r="J506" i="18"/>
  <c r="J514" i="18"/>
  <c r="J519" i="18"/>
  <c r="J523" i="18"/>
  <c r="J527" i="18"/>
  <c r="J535" i="18"/>
  <c r="J539" i="18"/>
  <c r="J543" i="18"/>
  <c r="J547" i="18"/>
  <c r="J551" i="18"/>
  <c r="J555" i="18"/>
  <c r="J560" i="18"/>
  <c r="J564" i="18"/>
  <c r="J568" i="18"/>
  <c r="J572" i="18"/>
  <c r="J576" i="18"/>
  <c r="J580" i="18"/>
  <c r="J588" i="18"/>
  <c r="J592" i="18"/>
  <c r="J596" i="18"/>
  <c r="J600" i="18"/>
  <c r="J604" i="18"/>
  <c r="J608" i="18"/>
  <c r="J612" i="18"/>
  <c r="J620" i="18"/>
  <c r="J624" i="18"/>
  <c r="J628" i="18"/>
  <c r="J632" i="18"/>
  <c r="J636" i="18"/>
  <c r="J640" i="18"/>
  <c r="J644" i="18"/>
  <c r="J652" i="18"/>
  <c r="J656" i="18"/>
  <c r="J660" i="18"/>
  <c r="J664" i="18"/>
  <c r="J668" i="18"/>
  <c r="J672" i="18"/>
  <c r="J676" i="18"/>
  <c r="J684" i="18"/>
  <c r="J688" i="18"/>
  <c r="J692" i="18"/>
  <c r="J696" i="18"/>
  <c r="J700" i="18"/>
  <c r="J706" i="18"/>
  <c r="J710" i="18"/>
  <c r="J714" i="18"/>
  <c r="J718" i="18"/>
  <c r="J722" i="18"/>
  <c r="J726" i="18"/>
  <c r="J730" i="18"/>
  <c r="J738" i="18"/>
  <c r="J742" i="18"/>
  <c r="J746" i="18"/>
  <c r="J750" i="18"/>
  <c r="J754" i="18"/>
  <c r="J758" i="18"/>
  <c r="J762" i="18"/>
  <c r="J766" i="18"/>
  <c r="J770" i="18"/>
  <c r="J774" i="18"/>
  <c r="J778" i="18"/>
  <c r="J782" i="18"/>
  <c r="J786" i="18"/>
  <c r="J790" i="18"/>
  <c r="J794" i="18"/>
  <c r="J798" i="18"/>
  <c r="J802" i="18"/>
  <c r="J806" i="18"/>
  <c r="J810" i="18"/>
  <c r="J814" i="18"/>
  <c r="J818" i="18"/>
  <c r="J822" i="18"/>
  <c r="J826" i="18"/>
  <c r="J830" i="18"/>
  <c r="J834" i="18"/>
  <c r="J838" i="18"/>
  <c r="J842" i="18"/>
  <c r="J846" i="18"/>
  <c r="J850" i="18"/>
  <c r="J854" i="18"/>
  <c r="J858" i="18"/>
  <c r="J862" i="18"/>
  <c r="J866" i="18"/>
  <c r="J870" i="18"/>
  <c r="J874" i="18"/>
  <c r="J878" i="18"/>
  <c r="J882" i="18"/>
  <c r="J886" i="18"/>
  <c r="J890" i="18"/>
  <c r="J894" i="18"/>
  <c r="J898" i="18"/>
  <c r="J902" i="18"/>
  <c r="J906" i="18"/>
  <c r="J910" i="18"/>
  <c r="J914" i="18"/>
  <c r="J918" i="18"/>
  <c r="J922" i="18"/>
  <c r="J926" i="18"/>
  <c r="J930" i="18"/>
  <c r="J934" i="18"/>
  <c r="J938" i="18"/>
  <c r="J942" i="18"/>
  <c r="J946" i="18"/>
  <c r="J950" i="18"/>
  <c r="J954" i="18"/>
  <c r="J958" i="18"/>
  <c r="J962" i="18"/>
  <c r="J966" i="18"/>
  <c r="J970" i="18"/>
  <c r="J974" i="18"/>
  <c r="J978" i="18"/>
  <c r="J982" i="18"/>
  <c r="J986" i="18"/>
  <c r="J990" i="18"/>
  <c r="J994" i="18"/>
  <c r="J998" i="18"/>
  <c r="J1002" i="18"/>
  <c r="J1006" i="18"/>
  <c r="J1010" i="18"/>
  <c r="J1014" i="18"/>
  <c r="J1018" i="18"/>
  <c r="J1022" i="18"/>
  <c r="J1026" i="18"/>
  <c r="J1030" i="18"/>
  <c r="J1034" i="18"/>
  <c r="J1038" i="18"/>
  <c r="J1042" i="18"/>
  <c r="J1046" i="18"/>
  <c r="J1050" i="18"/>
  <c r="J1054" i="18"/>
  <c r="J1058" i="18"/>
  <c r="J1062" i="18"/>
  <c r="J1066" i="18"/>
  <c r="J1070" i="18"/>
  <c r="J1074" i="18"/>
  <c r="J1078" i="18"/>
  <c r="J1082" i="18"/>
  <c r="J1086" i="18"/>
  <c r="J1090" i="18"/>
  <c r="J1094" i="18"/>
  <c r="J1098" i="18"/>
  <c r="J1102" i="18"/>
  <c r="J1106" i="18"/>
  <c r="J1110" i="18"/>
  <c r="J1114" i="18"/>
  <c r="J1118" i="18"/>
  <c r="J1122" i="18"/>
  <c r="J1126" i="18"/>
  <c r="J1130" i="18"/>
  <c r="J1134" i="18"/>
  <c r="J1138" i="18"/>
  <c r="J1142" i="18"/>
  <c r="J1146" i="18"/>
  <c r="J1150" i="18"/>
  <c r="J1154" i="18"/>
  <c r="J1158" i="18"/>
  <c r="J1162" i="18"/>
  <c r="J1166" i="18"/>
  <c r="J1170" i="18"/>
  <c r="J1174" i="18"/>
  <c r="J1179" i="18"/>
  <c r="J1183" i="18"/>
  <c r="J1187" i="18"/>
  <c r="J1191" i="18"/>
  <c r="J1195" i="18"/>
  <c r="J1199" i="18"/>
  <c r="J1203" i="18"/>
  <c r="J1207" i="18"/>
  <c r="J1211" i="18"/>
  <c r="J1215" i="18"/>
  <c r="J1219" i="18"/>
  <c r="J1223" i="18"/>
  <c r="J1227" i="18"/>
  <c r="J1231" i="18"/>
  <c r="J1235" i="18"/>
  <c r="J1239" i="18"/>
  <c r="J1243" i="18"/>
  <c r="J1247" i="18"/>
  <c r="J1251" i="18"/>
  <c r="J1255" i="18"/>
  <c r="J1259" i="18"/>
  <c r="J1263" i="18"/>
  <c r="J1267" i="18"/>
  <c r="J1271" i="18"/>
  <c r="J1275" i="18"/>
  <c r="J1279" i="18"/>
  <c r="J1283" i="18"/>
  <c r="J1287" i="18"/>
  <c r="J1291" i="18"/>
  <c r="J1295" i="18"/>
  <c r="J1299" i="18"/>
  <c r="J1303" i="18"/>
  <c r="J1307" i="18"/>
  <c r="J1311" i="18"/>
  <c r="J1315" i="18"/>
  <c r="J1319" i="18"/>
  <c r="J1323" i="18"/>
  <c r="J1327" i="18"/>
  <c r="J1331" i="18"/>
  <c r="J1335" i="18"/>
  <c r="J1178" i="18"/>
  <c r="J1182" i="18"/>
  <c r="J1186" i="18"/>
  <c r="J1190" i="18"/>
  <c r="J1194" i="18"/>
  <c r="J1198" i="18"/>
  <c r="J1202" i="18"/>
  <c r="J1206" i="18"/>
  <c r="J1210" i="18"/>
  <c r="J1214" i="18"/>
  <c r="J1218" i="18"/>
  <c r="J1222" i="18"/>
  <c r="J1226" i="18"/>
  <c r="J1230" i="18"/>
  <c r="J1234" i="18"/>
  <c r="J1238" i="18"/>
  <c r="J1242" i="18"/>
  <c r="J1246" i="18"/>
  <c r="J1250" i="18"/>
  <c r="J1254" i="18"/>
  <c r="J1258" i="18"/>
  <c r="J1262" i="18"/>
  <c r="J1266" i="18"/>
  <c r="J1270" i="18"/>
  <c r="J1274" i="18"/>
  <c r="J1278" i="18"/>
  <c r="J1282" i="18"/>
  <c r="J1286" i="18"/>
  <c r="J1290" i="18"/>
  <c r="J1294" i="18"/>
  <c r="J1298" i="18"/>
  <c r="J1302" i="18"/>
  <c r="J1306" i="18"/>
  <c r="J1310" i="18"/>
  <c r="J1314" i="18"/>
  <c r="J1318" i="18"/>
  <c r="J1322" i="18"/>
  <c r="J1326" i="18"/>
  <c r="J1330" i="18"/>
  <c r="J1334" i="18"/>
  <c r="J1338" i="18"/>
  <c r="J1342" i="18"/>
  <c r="J1346" i="18"/>
  <c r="J1350" i="18"/>
  <c r="J1354" i="18"/>
  <c r="J1358" i="18"/>
  <c r="J1362" i="18"/>
  <c r="J1366" i="18"/>
  <c r="J1370" i="18"/>
  <c r="J1374" i="18"/>
  <c r="J1378" i="18"/>
  <c r="J642" i="18"/>
  <c r="J646" i="18"/>
  <c r="J658" i="18"/>
  <c r="J662" i="18"/>
  <c r="J674" i="18"/>
  <c r="J678" i="18"/>
  <c r="J690" i="18"/>
  <c r="J694" i="18"/>
  <c r="J716" i="18"/>
  <c r="J720" i="18"/>
  <c r="J732" i="18"/>
  <c r="J736" i="18"/>
  <c r="M1379" i="18"/>
  <c r="L1379" i="18"/>
  <c r="O93" i="14"/>
  <c r="R88" i="14"/>
  <c r="R89" i="14"/>
  <c r="R81" i="14"/>
  <c r="Q46" i="14"/>
  <c r="Q53" i="14"/>
  <c r="F84" i="14"/>
  <c r="F83" i="14"/>
  <c r="J92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5" i="14"/>
  <c r="J54" i="14"/>
  <c r="J53" i="14"/>
  <c r="J84" i="14"/>
  <c r="J83" i="14"/>
  <c r="N92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5" i="14"/>
  <c r="N54" i="14"/>
  <c r="N53" i="14"/>
  <c r="N84" i="14"/>
  <c r="N83" i="14"/>
  <c r="R92" i="14"/>
  <c r="R9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5" i="14"/>
  <c r="R54" i="14"/>
  <c r="R53" i="14"/>
  <c r="V92" i="14"/>
  <c r="V91" i="14"/>
  <c r="V80" i="14"/>
  <c r="V79" i="14"/>
  <c r="V78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5" i="14"/>
  <c r="V54" i="14"/>
  <c r="V53" i="14"/>
  <c r="H93" i="14"/>
  <c r="T53" i="14"/>
  <c r="K57" i="14"/>
  <c r="G60" i="14"/>
  <c r="S60" i="14"/>
  <c r="K61" i="14"/>
  <c r="W61" i="14"/>
  <c r="G64" i="14"/>
  <c r="S64" i="14"/>
  <c r="K65" i="14"/>
  <c r="W65" i="14"/>
  <c r="G68" i="14"/>
  <c r="S68" i="14"/>
  <c r="K69" i="14"/>
  <c r="S69" i="14"/>
  <c r="G70" i="14"/>
  <c r="W71" i="14"/>
  <c r="K73" i="14"/>
  <c r="S73" i="14"/>
  <c r="G74" i="14"/>
  <c r="G75" i="14"/>
  <c r="K75" i="14"/>
  <c r="G76" i="14"/>
  <c r="K76" i="14"/>
  <c r="G77" i="14"/>
  <c r="K77" i="14"/>
  <c r="G78" i="14"/>
  <c r="K78" i="14"/>
  <c r="G79" i="14"/>
  <c r="K79" i="14"/>
  <c r="G80" i="14"/>
  <c r="K80" i="14"/>
  <c r="F82" i="14"/>
  <c r="F93" i="14" s="1"/>
  <c r="R82" i="14"/>
  <c r="E83" i="14"/>
  <c r="V83" i="14"/>
  <c r="R84" i="14"/>
  <c r="E85" i="14"/>
  <c r="R85" i="14"/>
  <c r="V86" i="14"/>
  <c r="N87" i="14"/>
  <c r="V87" i="14"/>
  <c r="N88" i="14"/>
  <c r="V88" i="14"/>
  <c r="N89" i="14"/>
  <c r="V89" i="14"/>
  <c r="N90" i="14"/>
  <c r="V90" i="14"/>
  <c r="N91" i="14"/>
  <c r="R83" i="14"/>
  <c r="R86" i="14"/>
  <c r="R87" i="14"/>
  <c r="R90" i="14"/>
  <c r="G84" i="14"/>
  <c r="G83" i="14"/>
  <c r="G86" i="14"/>
  <c r="G85" i="14"/>
  <c r="G82" i="14"/>
  <c r="G57" i="14"/>
  <c r="K84" i="14"/>
  <c r="K83" i="14"/>
  <c r="K86" i="14"/>
  <c r="K85" i="14"/>
  <c r="K82" i="14"/>
  <c r="K56" i="14"/>
  <c r="O56" i="14"/>
  <c r="S85" i="14"/>
  <c r="S84" i="14"/>
  <c r="S83" i="14"/>
  <c r="S82" i="14"/>
  <c r="S56" i="14"/>
  <c r="W85" i="14"/>
  <c r="W84" i="14"/>
  <c r="W83" i="14"/>
  <c r="W82" i="14"/>
  <c r="W56" i="14"/>
  <c r="I93" i="14"/>
  <c r="G55" i="14"/>
  <c r="S55" i="14"/>
  <c r="S93" i="14" s="1"/>
  <c r="N56" i="14"/>
  <c r="V56" i="14"/>
  <c r="S57" i="14"/>
  <c r="K58" i="14"/>
  <c r="W58" i="14"/>
  <c r="G61" i="14"/>
  <c r="S61" i="14"/>
  <c r="K62" i="14"/>
  <c r="W62" i="14"/>
  <c r="G65" i="14"/>
  <c r="S65" i="14"/>
  <c r="K66" i="14"/>
  <c r="W66" i="14"/>
  <c r="W93" i="14" s="1"/>
  <c r="G69" i="14"/>
  <c r="W70" i="14"/>
  <c r="K72" i="14"/>
  <c r="S72" i="14"/>
  <c r="G73" i="14"/>
  <c r="W74" i="14"/>
  <c r="N75" i="14"/>
  <c r="W75" i="14"/>
  <c r="N76" i="14"/>
  <c r="W76" i="14"/>
  <c r="N77" i="14"/>
  <c r="W77" i="14"/>
  <c r="N78" i="14"/>
  <c r="W78" i="14"/>
  <c r="N79" i="14"/>
  <c r="W79" i="14"/>
  <c r="N80" i="14"/>
  <c r="W80" i="14"/>
  <c r="N81" i="14"/>
  <c r="V81" i="14"/>
  <c r="N82" i="14"/>
  <c r="N85" i="14"/>
  <c r="N86" i="14"/>
  <c r="W86" i="14"/>
  <c r="W87" i="14"/>
  <c r="W88" i="14"/>
  <c r="W89" i="14"/>
  <c r="W90" i="14"/>
  <c r="K92" i="14"/>
  <c r="S92" i="14"/>
  <c r="M69" i="14"/>
  <c r="M93" i="14" s="1"/>
  <c r="Q69" i="14"/>
  <c r="U69" i="14"/>
  <c r="U93" i="14" s="1"/>
  <c r="M70" i="14"/>
  <c r="Q70" i="14"/>
  <c r="U70" i="14"/>
  <c r="M71" i="14"/>
  <c r="Q71" i="14"/>
  <c r="U71" i="14"/>
  <c r="M72" i="14"/>
  <c r="Q72" i="14"/>
  <c r="U72" i="14"/>
  <c r="M73" i="14"/>
  <c r="Q73" i="14"/>
  <c r="U73" i="14"/>
  <c r="M74" i="14"/>
  <c r="Q74" i="14"/>
  <c r="U74" i="14"/>
  <c r="Q75" i="14"/>
  <c r="U75" i="14"/>
  <c r="Q76" i="14"/>
  <c r="U76" i="14"/>
  <c r="Q77" i="14"/>
  <c r="U77" i="14"/>
  <c r="Q78" i="14"/>
  <c r="U78" i="14"/>
  <c r="Q79" i="14"/>
  <c r="U79" i="14"/>
  <c r="Q80" i="14"/>
  <c r="U80" i="14"/>
  <c r="P81" i="14"/>
  <c r="T81" i="14"/>
  <c r="X81" i="14"/>
  <c r="P86" i="14"/>
  <c r="T86" i="14"/>
  <c r="X86" i="14"/>
  <c r="P87" i="14"/>
  <c r="T87" i="14"/>
  <c r="X87" i="14"/>
  <c r="P88" i="14"/>
  <c r="T88" i="14"/>
  <c r="X88" i="14"/>
  <c r="P89" i="14"/>
  <c r="T89" i="14"/>
  <c r="X89" i="14"/>
  <c r="P90" i="14"/>
  <c r="T90" i="14"/>
  <c r="X90" i="14"/>
  <c r="Q91" i="14"/>
  <c r="U91" i="14"/>
  <c r="M92" i="14"/>
  <c r="Q92" i="14"/>
  <c r="U92" i="14"/>
  <c r="E54" i="14"/>
  <c r="E55" i="14"/>
  <c r="E56" i="14"/>
  <c r="P56" i="14"/>
  <c r="T56" i="14"/>
  <c r="X56" i="14"/>
  <c r="X93" i="14" s="1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M75" i="14"/>
  <c r="E76" i="14"/>
  <c r="M76" i="14"/>
  <c r="E77" i="14"/>
  <c r="M77" i="14"/>
  <c r="E78" i="14"/>
  <c r="M78" i="14"/>
  <c r="E79" i="14"/>
  <c r="M79" i="14"/>
  <c r="E80" i="14"/>
  <c r="M80" i="14"/>
  <c r="E81" i="14"/>
  <c r="M81" i="14"/>
  <c r="Q81" i="14"/>
  <c r="U81" i="14"/>
  <c r="P82" i="14"/>
  <c r="P93" i="14" s="1"/>
  <c r="T82" i="14"/>
  <c r="X82" i="14"/>
  <c r="P83" i="14"/>
  <c r="T83" i="14"/>
  <c r="X83" i="14"/>
  <c r="P84" i="14"/>
  <c r="T84" i="14"/>
  <c r="X84" i="14"/>
  <c r="Q86" i="14"/>
  <c r="U86" i="14"/>
  <c r="M87" i="14"/>
  <c r="Q87" i="14"/>
  <c r="U87" i="14"/>
  <c r="M88" i="14"/>
  <c r="Q88" i="14"/>
  <c r="U88" i="14"/>
  <c r="M89" i="14"/>
  <c r="Q89" i="14"/>
  <c r="U89" i="14"/>
  <c r="M90" i="14"/>
  <c r="J1379" i="18" l="1"/>
  <c r="G221" i="6"/>
  <c r="G217" i="6"/>
  <c r="G222" i="6"/>
  <c r="G218" i="6"/>
  <c r="G223" i="6"/>
  <c r="G219" i="6"/>
  <c r="G215" i="6"/>
  <c r="G228" i="6"/>
  <c r="G229" i="6"/>
  <c r="G230" i="6" s="1"/>
  <c r="G203" i="6"/>
  <c r="G195" i="6"/>
  <c r="G197" i="6"/>
  <c r="G202" i="6"/>
  <c r="G194" i="6"/>
  <c r="G200" i="6"/>
  <c r="G201" i="6"/>
  <c r="G193" i="6"/>
  <c r="G198" i="6"/>
  <c r="G93" i="14"/>
  <c r="K93" i="14"/>
  <c r="V93" i="14"/>
  <c r="N93" i="14"/>
  <c r="J93" i="14"/>
  <c r="Q93" i="14"/>
  <c r="E93" i="14"/>
  <c r="T93" i="14"/>
  <c r="R93" i="14"/>
  <c r="H179" i="6"/>
  <c r="L7" i="14" s="1"/>
  <c r="H180" i="6"/>
  <c r="L8" i="14" s="1"/>
  <c r="H182" i="6"/>
  <c r="H186" i="6"/>
  <c r="L43" i="14" s="1"/>
  <c r="H181" i="6"/>
  <c r="L9" i="14" s="1"/>
  <c r="H183" i="6"/>
  <c r="H184" i="6"/>
  <c r="L12" i="14" s="1"/>
  <c r="H185" i="6"/>
  <c r="L13" i="14"/>
  <c r="H187" i="6"/>
  <c r="L17" i="14" s="1"/>
  <c r="H188" i="6"/>
  <c r="H189" i="6"/>
  <c r="L19" i="14" s="1"/>
  <c r="C171" i="6"/>
  <c r="I229" i="6" l="1"/>
  <c r="I218" i="6"/>
  <c r="I222" i="6"/>
  <c r="I210" i="6"/>
  <c r="I195" i="6"/>
  <c r="I199" i="6"/>
  <c r="I203" i="6"/>
  <c r="I180" i="6"/>
  <c r="I184" i="6"/>
  <c r="I188" i="6"/>
  <c r="I216" i="6"/>
  <c r="I220" i="6"/>
  <c r="I215" i="6"/>
  <c r="I208" i="6"/>
  <c r="I212" i="6" s="1"/>
  <c r="I201" i="6"/>
  <c r="I193" i="6"/>
  <c r="I186" i="6"/>
  <c r="I217" i="6"/>
  <c r="I209" i="6"/>
  <c r="I198" i="6"/>
  <c r="I183" i="6"/>
  <c r="I227" i="6"/>
  <c r="I230" i="6" s="1"/>
  <c r="I219" i="6"/>
  <c r="I223" i="6"/>
  <c r="I211" i="6"/>
  <c r="I196" i="6"/>
  <c r="I200" i="6"/>
  <c r="I204" i="6"/>
  <c r="I181" i="6"/>
  <c r="I185" i="6"/>
  <c r="I189" i="6"/>
  <c r="I197" i="6"/>
  <c r="I182" i="6"/>
  <c r="I178" i="6"/>
  <c r="I190" i="6" s="1"/>
  <c r="I228" i="6"/>
  <c r="I221" i="6"/>
  <c r="I194" i="6"/>
  <c r="I202" i="6"/>
  <c r="I179" i="6"/>
  <c r="I187" i="6"/>
  <c r="L10" i="14"/>
  <c r="G224" i="6"/>
  <c r="G205" i="6"/>
  <c r="D167" i="6"/>
  <c r="E167" i="6" s="1"/>
  <c r="D166" i="6"/>
  <c r="E166" i="6" s="1"/>
  <c r="H190" i="6"/>
  <c r="G182" i="6" s="1"/>
  <c r="D169" i="6"/>
  <c r="E169" i="6" s="1"/>
  <c r="D168" i="6"/>
  <c r="E168" i="6" s="1"/>
  <c r="L18" i="14"/>
  <c r="L11" i="14"/>
  <c r="L6" i="14"/>
  <c r="D170" i="6"/>
  <c r="E170" i="6" s="1"/>
  <c r="I224" i="6" l="1"/>
  <c r="G179" i="6"/>
  <c r="I205" i="6"/>
  <c r="G181" i="6"/>
  <c r="G180" i="6"/>
  <c r="G187" i="6"/>
  <c r="G183" i="6"/>
  <c r="G185" i="6"/>
  <c r="G189" i="6"/>
  <c r="G184" i="6"/>
  <c r="G186" i="6"/>
  <c r="G178" i="6"/>
  <c r="L46" i="14"/>
  <c r="L89" i="14" s="1"/>
  <c r="Y89" i="14" s="1"/>
  <c r="F39" i="17" s="1"/>
  <c r="G188" i="6"/>
  <c r="D171" i="6"/>
  <c r="E171" i="6"/>
  <c r="G190" i="6" l="1"/>
  <c r="L54" i="14"/>
  <c r="Y54" i="14" s="1"/>
  <c r="F4" i="17" s="1"/>
  <c r="L79" i="14"/>
  <c r="Y79" i="14" s="1"/>
  <c r="F29" i="17" s="1"/>
  <c r="L74" i="14"/>
  <c r="Y74" i="14" s="1"/>
  <c r="F24" i="17" s="1"/>
  <c r="L84" i="14"/>
  <c r="Y84" i="14" s="1"/>
  <c r="F34" i="17" s="1"/>
  <c r="L67" i="14"/>
  <c r="Y67" i="14" s="1"/>
  <c r="F17" i="17" s="1"/>
  <c r="L92" i="14"/>
  <c r="Y92" i="14" s="1"/>
  <c r="F42" i="17" s="1"/>
  <c r="L71" i="14"/>
  <c r="Y71" i="14" s="1"/>
  <c r="F21" i="17" s="1"/>
  <c r="L78" i="14"/>
  <c r="Y78" i="14" s="1"/>
  <c r="F28" i="17" s="1"/>
  <c r="L58" i="14"/>
  <c r="Y58" i="14" s="1"/>
  <c r="F8" i="17" s="1"/>
  <c r="L86" i="14"/>
  <c r="Y86" i="14" s="1"/>
  <c r="F36" i="17" s="1"/>
  <c r="L63" i="14"/>
  <c r="Y63" i="14" s="1"/>
  <c r="F13" i="17" s="1"/>
  <c r="L62" i="14"/>
  <c r="Y62" i="14" s="1"/>
  <c r="F12" i="17" s="1"/>
  <c r="L82" i="14"/>
  <c r="Y82" i="14" s="1"/>
  <c r="F32" i="17" s="1"/>
  <c r="L72" i="14"/>
  <c r="Y72" i="14" s="1"/>
  <c r="F22" i="17" s="1"/>
  <c r="L87" i="14"/>
  <c r="Y87" i="14" s="1"/>
  <c r="F37" i="17" s="1"/>
  <c r="L90" i="14"/>
  <c r="Y90" i="14" s="1"/>
  <c r="F40" i="17" s="1"/>
  <c r="L73" i="14"/>
  <c r="Y73" i="14" s="1"/>
  <c r="F23" i="17" s="1"/>
  <c r="L70" i="14"/>
  <c r="Y70" i="14" s="1"/>
  <c r="F20" i="17" s="1"/>
  <c r="L88" i="14"/>
  <c r="Y88" i="14" s="1"/>
  <c r="F38" i="17" s="1"/>
  <c r="L55" i="14"/>
  <c r="Y55" i="14" s="1"/>
  <c r="F5" i="17" s="1"/>
  <c r="L60" i="14"/>
  <c r="Y60" i="14" s="1"/>
  <c r="F10" i="17" s="1"/>
  <c r="L69" i="14"/>
  <c r="Y69" i="14" s="1"/>
  <c r="F19" i="17" s="1"/>
  <c r="L81" i="14"/>
  <c r="Y81" i="14" s="1"/>
  <c r="F31" i="17" s="1"/>
  <c r="L76" i="14"/>
  <c r="Y76" i="14" s="1"/>
  <c r="F26" i="17" s="1"/>
  <c r="L64" i="14"/>
  <c r="Y64" i="14" s="1"/>
  <c r="F14" i="17" s="1"/>
  <c r="L77" i="14"/>
  <c r="Y77" i="14" s="1"/>
  <c r="F27" i="17" s="1"/>
  <c r="L66" i="14"/>
  <c r="Y66" i="14" s="1"/>
  <c r="F16" i="17" s="1"/>
  <c r="L56" i="14"/>
  <c r="Y56" i="14" s="1"/>
  <c r="F6" i="17" s="1"/>
  <c r="L68" i="14"/>
  <c r="Y68" i="14" s="1"/>
  <c r="F18" i="17" s="1"/>
  <c r="L75" i="14"/>
  <c r="Y75" i="14" s="1"/>
  <c r="F25" i="17" s="1"/>
  <c r="L80" i="14"/>
  <c r="Y80" i="14" s="1"/>
  <c r="F30" i="17" s="1"/>
  <c r="L65" i="14"/>
  <c r="Y65" i="14" s="1"/>
  <c r="F15" i="17" s="1"/>
  <c r="L61" i="14"/>
  <c r="Y61" i="14" s="1"/>
  <c r="F11" i="17" s="1"/>
  <c r="L83" i="14"/>
  <c r="Y83" i="14" s="1"/>
  <c r="F33" i="17" s="1"/>
  <c r="L91" i="14"/>
  <c r="Y91" i="14" s="1"/>
  <c r="F41" i="17" s="1"/>
  <c r="L59" i="14"/>
  <c r="Y59" i="14" s="1"/>
  <c r="F9" i="17" s="1"/>
  <c r="L57" i="14"/>
  <c r="Y57" i="14" s="1"/>
  <c r="F7" i="17" s="1"/>
  <c r="L85" i="14"/>
  <c r="Y85" i="14" s="1"/>
  <c r="F35" i="17" s="1"/>
  <c r="L53" i="14"/>
  <c r="Y53" i="14" s="1"/>
  <c r="J8" i="17" l="1"/>
  <c r="J6" i="17"/>
  <c r="J9" i="17"/>
  <c r="L93" i="14"/>
  <c r="J7" i="17"/>
  <c r="J5" i="17"/>
  <c r="Y93" i="14"/>
  <c r="F3" i="17"/>
  <c r="J4" i="17" l="1"/>
  <c r="F43" i="17"/>
  <c r="F44" i="17" s="1"/>
  <c r="K1350" i="18" l="1"/>
  <c r="N1350" i="18" s="1"/>
  <c r="K1271" i="18"/>
  <c r="N1271" i="18" s="1"/>
  <c r="K1296" i="18"/>
  <c r="N1296" i="18" s="1"/>
  <c r="K1372" i="18"/>
  <c r="N1372" i="18" s="1"/>
  <c r="K1185" i="18"/>
  <c r="N1185" i="18" s="1"/>
  <c r="K1203" i="18"/>
  <c r="N1203" i="18" s="1"/>
  <c r="K1165" i="18"/>
  <c r="N1165" i="18" s="1"/>
  <c r="K1289" i="18"/>
  <c r="N1289" i="18" s="1"/>
  <c r="K959" i="18"/>
  <c r="N959" i="18" s="1"/>
  <c r="K863" i="18"/>
  <c r="N863" i="18" s="1"/>
  <c r="K1158" i="18"/>
  <c r="N1158" i="18" s="1"/>
  <c r="K960" i="18"/>
  <c r="N960" i="18" s="1"/>
  <c r="K864" i="18"/>
  <c r="N864" i="18" s="1"/>
  <c r="K1102" i="18"/>
  <c r="N1102" i="18" s="1"/>
  <c r="K938" i="18"/>
  <c r="N938" i="18" s="1"/>
  <c r="K842" i="18"/>
  <c r="N842" i="18" s="1"/>
  <c r="K745" i="18"/>
  <c r="N745" i="18" s="1"/>
  <c r="K683" i="18"/>
  <c r="N683" i="18" s="1"/>
  <c r="K1241" i="18"/>
  <c r="N1241" i="18" s="1"/>
  <c r="K710" i="18"/>
  <c r="N710" i="18" s="1"/>
  <c r="K676" i="18"/>
  <c r="N676" i="18" s="1"/>
  <c r="K644" i="18"/>
  <c r="N644" i="18" s="1"/>
  <c r="K612" i="18"/>
  <c r="N612" i="18" s="1"/>
  <c r="K917" i="18"/>
  <c r="N917" i="18" s="1"/>
  <c r="K1194" i="18"/>
  <c r="N1194" i="18" s="1"/>
  <c r="K889" i="18"/>
  <c r="N889" i="18" s="1"/>
  <c r="K921" i="18"/>
  <c r="N921" i="18" s="1"/>
  <c r="K760" i="18"/>
  <c r="N760" i="18" s="1"/>
  <c r="K1026" i="18"/>
  <c r="N1026" i="18" s="1"/>
  <c r="K769" i="18"/>
  <c r="N769" i="18" s="1"/>
  <c r="K707" i="18"/>
  <c r="N707" i="18" s="1"/>
  <c r="K673" i="18"/>
  <c r="N673" i="18" s="1"/>
  <c r="K641" i="18"/>
  <c r="N641" i="18" s="1"/>
  <c r="K609" i="18"/>
  <c r="N609" i="18" s="1"/>
  <c r="K571" i="18"/>
  <c r="N571" i="18" s="1"/>
  <c r="K542" i="18"/>
  <c r="N542" i="18" s="1"/>
  <c r="K509" i="18"/>
  <c r="N509" i="18" s="1"/>
  <c r="K477" i="18"/>
  <c r="N477" i="18" s="1"/>
  <c r="K445" i="18"/>
  <c r="N445" i="18" s="1"/>
  <c r="K413" i="18"/>
  <c r="N413" i="18" s="1"/>
  <c r="K381" i="18"/>
  <c r="N381" i="18" s="1"/>
  <c r="K347" i="18"/>
  <c r="N347" i="18" s="1"/>
  <c r="K318" i="18"/>
  <c r="N318" i="18" s="1"/>
  <c r="K286" i="18"/>
  <c r="N286" i="18" s="1"/>
  <c r="K254" i="18"/>
  <c r="N254" i="18" s="1"/>
  <c r="K222" i="18"/>
  <c r="N222" i="18" s="1"/>
  <c r="K189" i="18"/>
  <c r="N189" i="18" s="1"/>
  <c r="K157" i="18"/>
  <c r="N157" i="18" s="1"/>
  <c r="K123" i="18"/>
  <c r="N123" i="18" s="1"/>
  <c r="K1376" i="18"/>
  <c r="N1376" i="18" s="1"/>
  <c r="K809" i="18"/>
  <c r="N809" i="18" s="1"/>
  <c r="K594" i="18"/>
  <c r="N594" i="18" s="1"/>
  <c r="K560" i="18"/>
  <c r="N560" i="18" s="1"/>
  <c r="K527" i="18"/>
  <c r="N527" i="18" s="1"/>
  <c r="K494" i="18"/>
  <c r="N494" i="18" s="1"/>
  <c r="K462" i="18"/>
  <c r="N462" i="18" s="1"/>
  <c r="K430" i="18"/>
  <c r="N430" i="18" s="1"/>
  <c r="K398" i="18"/>
  <c r="N398" i="18" s="1"/>
  <c r="K364" i="18"/>
  <c r="N364" i="18" s="1"/>
  <c r="K331" i="18"/>
  <c r="N331" i="18" s="1"/>
  <c r="K299" i="18"/>
  <c r="N299" i="18" s="1"/>
  <c r="K267" i="18"/>
  <c r="N267" i="18" s="1"/>
  <c r="K235" i="18"/>
  <c r="N235" i="18" s="1"/>
  <c r="K203" i="18"/>
  <c r="N203" i="18" s="1"/>
  <c r="K1361" i="18"/>
  <c r="N1361" i="18" s="1"/>
  <c r="K1329" i="18"/>
  <c r="N1329" i="18" s="1"/>
  <c r="K1297" i="18"/>
  <c r="N1297" i="18" s="1"/>
  <c r="K1318" i="18"/>
  <c r="N1318" i="18" s="1"/>
  <c r="K1363" i="18"/>
  <c r="N1363" i="18" s="1"/>
  <c r="K1331" i="18"/>
  <c r="N1331" i="18" s="1"/>
  <c r="K1299" i="18"/>
  <c r="N1299" i="18" s="1"/>
  <c r="K1239" i="18"/>
  <c r="N1239" i="18" s="1"/>
  <c r="K1272" i="18"/>
  <c r="N1272" i="18" s="1"/>
  <c r="K1240" i="18"/>
  <c r="N1240" i="18" s="1"/>
  <c r="K1200" i="18"/>
  <c r="N1200" i="18" s="1"/>
  <c r="K1167" i="18"/>
  <c r="N1167" i="18" s="1"/>
  <c r="K1135" i="18"/>
  <c r="N1135" i="18" s="1"/>
  <c r="K1282" i="18"/>
  <c r="N1282" i="18" s="1"/>
  <c r="K1250" i="18"/>
  <c r="N1250" i="18" s="1"/>
  <c r="K1217" i="18"/>
  <c r="N1217" i="18" s="1"/>
  <c r="K1152" i="18"/>
  <c r="N1152" i="18" s="1"/>
  <c r="K1120" i="18"/>
  <c r="N1120" i="18" s="1"/>
  <c r="K1249" i="18"/>
  <c r="N1249" i="18" s="1"/>
  <c r="K1100" i="18"/>
  <c r="N1100" i="18" s="1"/>
  <c r="K1068" i="18"/>
  <c r="N1068" i="18" s="1"/>
  <c r="K1036" i="18"/>
  <c r="N1036" i="18" s="1"/>
  <c r="K1300" i="18"/>
  <c r="N1300" i="18" s="1"/>
  <c r="K1133" i="18"/>
  <c r="N1133" i="18" s="1"/>
  <c r="K1101" i="18"/>
  <c r="N1101" i="18" s="1"/>
  <c r="K1069" i="18"/>
  <c r="N1069" i="18" s="1"/>
  <c r="K1037" i="18"/>
  <c r="N1037" i="18" s="1"/>
  <c r="K1154" i="18"/>
  <c r="N1154" i="18" s="1"/>
  <c r="K991" i="18"/>
  <c r="N991" i="18" s="1"/>
  <c r="K927" i="18"/>
  <c r="N927" i="18" s="1"/>
  <c r="K895" i="18"/>
  <c r="N895" i="18" s="1"/>
  <c r="K831" i="18"/>
  <c r="N831" i="18" s="1"/>
  <c r="K799" i="18"/>
  <c r="N799" i="18" s="1"/>
  <c r="K767" i="18"/>
  <c r="N767" i="18" s="1"/>
  <c r="K1087" i="18"/>
  <c r="N1087" i="18" s="1"/>
  <c r="K1055" i="18"/>
  <c r="N1055" i="18" s="1"/>
  <c r="K1023" i="18"/>
  <c r="N1023" i="18" s="1"/>
  <c r="K992" i="18"/>
  <c r="N992" i="18" s="1"/>
  <c r="K928" i="18"/>
  <c r="N928" i="18" s="1"/>
  <c r="K896" i="18"/>
  <c r="N896" i="18" s="1"/>
  <c r="K832" i="18"/>
  <c r="N832" i="18" s="1"/>
  <c r="K800" i="18"/>
  <c r="N800" i="18" s="1"/>
  <c r="K768" i="18"/>
  <c r="N768" i="18" s="1"/>
  <c r="K1002" i="18"/>
  <c r="N1002" i="18" s="1"/>
  <c r="K970" i="18"/>
  <c r="N970" i="18" s="1"/>
  <c r="K906" i="18"/>
  <c r="N906" i="18" s="1"/>
  <c r="K874" i="18"/>
  <c r="N874" i="18" s="1"/>
  <c r="K810" i="18"/>
  <c r="N810" i="18" s="1"/>
  <c r="K778" i="18"/>
  <c r="N778" i="18" s="1"/>
  <c r="K713" i="18"/>
  <c r="N713" i="18" s="1"/>
  <c r="K651" i="18"/>
  <c r="N651" i="18" s="1"/>
  <c r="K619" i="18"/>
  <c r="N619" i="18" s="1"/>
  <c r="K1050" i="18"/>
  <c r="N1050" i="18" s="1"/>
  <c r="K742" i="18"/>
  <c r="N742" i="18" s="1"/>
  <c r="K1046" i="18"/>
  <c r="N1046" i="18" s="1"/>
  <c r="K1377" i="18"/>
  <c r="N1377" i="18" s="1"/>
  <c r="K1345" i="18"/>
  <c r="N1345" i="18" s="1"/>
  <c r="K1313" i="18"/>
  <c r="N1313" i="18" s="1"/>
  <c r="K1366" i="18"/>
  <c r="N1366" i="18" s="1"/>
  <c r="K1334" i="18"/>
  <c r="N1334" i="18" s="1"/>
  <c r="K1302" i="18"/>
  <c r="N1302" i="18" s="1"/>
  <c r="K1347" i="18"/>
  <c r="N1347" i="18" s="1"/>
  <c r="K1315" i="18"/>
  <c r="N1315" i="18" s="1"/>
  <c r="K1287" i="18"/>
  <c r="N1287" i="18" s="1"/>
  <c r="K1255" i="18"/>
  <c r="N1255" i="18" s="1"/>
  <c r="K1288" i="18"/>
  <c r="N1288" i="18" s="1"/>
  <c r="K1256" i="18"/>
  <c r="N1256" i="18" s="1"/>
  <c r="K1352" i="18"/>
  <c r="N1352" i="18" s="1"/>
  <c r="K1216" i="18"/>
  <c r="N1216" i="18" s="1"/>
  <c r="K1184" i="18"/>
  <c r="N1184" i="18" s="1"/>
  <c r="K1151" i="18"/>
  <c r="N1151" i="18" s="1"/>
  <c r="K1119" i="18"/>
  <c r="N1119" i="18" s="1"/>
  <c r="K1308" i="18"/>
  <c r="N1308" i="18" s="1"/>
  <c r="K1266" i="18"/>
  <c r="N1266" i="18" s="1"/>
  <c r="K1234" i="18"/>
  <c r="N1234" i="18" s="1"/>
  <c r="K1201" i="18"/>
  <c r="N1201" i="18" s="1"/>
  <c r="K1168" i="18"/>
  <c r="N1168" i="18" s="1"/>
  <c r="K1136" i="18"/>
  <c r="N1136" i="18" s="1"/>
  <c r="K1360" i="18"/>
  <c r="N1360" i="18" s="1"/>
  <c r="K1219" i="18"/>
  <c r="N1219" i="18" s="1"/>
  <c r="K1187" i="18"/>
  <c r="N1187" i="18" s="1"/>
  <c r="K1084" i="18"/>
  <c r="N1084" i="18" s="1"/>
  <c r="K1052" i="18"/>
  <c r="N1052" i="18" s="1"/>
  <c r="K1020" i="18"/>
  <c r="N1020" i="18" s="1"/>
  <c r="K1245" i="18"/>
  <c r="N1245" i="18" s="1"/>
  <c r="K1149" i="18"/>
  <c r="N1149" i="18" s="1"/>
  <c r="K1117" i="18"/>
  <c r="N1117" i="18" s="1"/>
  <c r="K1085" i="18"/>
  <c r="N1085" i="18" s="1"/>
  <c r="K1053" i="18"/>
  <c r="N1053" i="18" s="1"/>
  <c r="K1021" i="18"/>
  <c r="N1021" i="18" s="1"/>
  <c r="K1218" i="18"/>
  <c r="N1218" i="18" s="1"/>
  <c r="K1007" i="18"/>
  <c r="N1007" i="18" s="1"/>
  <c r="K975" i="18"/>
  <c r="N975" i="18" s="1"/>
  <c r="K943" i="18"/>
  <c r="N943" i="18" s="1"/>
  <c r="K911" i="18"/>
  <c r="N911" i="18" s="1"/>
  <c r="K879" i="18"/>
  <c r="N879" i="18" s="1"/>
  <c r="K847" i="18"/>
  <c r="N847" i="18" s="1"/>
  <c r="K815" i="18"/>
  <c r="N815" i="18" s="1"/>
  <c r="K783" i="18"/>
  <c r="N783" i="18" s="1"/>
  <c r="K1214" i="18"/>
  <c r="N1214" i="18" s="1"/>
  <c r="K1103" i="18"/>
  <c r="N1103" i="18" s="1"/>
  <c r="K1071" i="18"/>
  <c r="N1071" i="18" s="1"/>
  <c r="K1039" i="18"/>
  <c r="N1039" i="18" s="1"/>
  <c r="K1008" i="18"/>
  <c r="N1008" i="18" s="1"/>
  <c r="K976" i="18"/>
  <c r="N976" i="18" s="1"/>
  <c r="K944" i="18"/>
  <c r="N944" i="18" s="1"/>
  <c r="K912" i="18"/>
  <c r="N912" i="18" s="1"/>
  <c r="K880" i="18"/>
  <c r="N880" i="18" s="1"/>
  <c r="K848" i="18"/>
  <c r="N848" i="18" s="1"/>
  <c r="K816" i="18"/>
  <c r="N816" i="18" s="1"/>
  <c r="K784" i="18"/>
  <c r="N784" i="18" s="1"/>
  <c r="K1222" i="18"/>
  <c r="N1222" i="18" s="1"/>
  <c r="K1038" i="18"/>
  <c r="N1038" i="18" s="1"/>
  <c r="K986" i="18"/>
  <c r="N986" i="18" s="1"/>
  <c r="K954" i="18"/>
  <c r="N954" i="18" s="1"/>
  <c r="K922" i="18"/>
  <c r="N922" i="18" s="1"/>
  <c r="K858" i="18"/>
  <c r="N858" i="18" s="1"/>
  <c r="K794" i="18"/>
  <c r="N794" i="18" s="1"/>
  <c r="K729" i="18"/>
  <c r="N729" i="18" s="1"/>
  <c r="K667" i="18"/>
  <c r="N667" i="18" s="1"/>
  <c r="K603" i="18"/>
  <c r="N603" i="18" s="1"/>
  <c r="K758" i="18"/>
  <c r="N758" i="18" s="1"/>
  <c r="K692" i="18"/>
  <c r="N692" i="18" s="1"/>
  <c r="K628" i="18"/>
  <c r="N628" i="18" s="1"/>
  <c r="K981" i="18"/>
  <c r="N981" i="18" s="1"/>
  <c r="K890" i="18"/>
  <c r="N890" i="18" s="1"/>
  <c r="K826" i="18"/>
  <c r="N826" i="18" s="1"/>
  <c r="K761" i="18"/>
  <c r="N761" i="18" s="1"/>
  <c r="K699" i="18"/>
  <c r="N699" i="18" s="1"/>
  <c r="K635" i="18"/>
  <c r="N635" i="18" s="1"/>
  <c r="K1114" i="18"/>
  <c r="N1114" i="18" s="1"/>
  <c r="K726" i="18"/>
  <c r="N726" i="18" s="1"/>
  <c r="K660" i="18"/>
  <c r="N660" i="18" s="1"/>
  <c r="K1150" i="18"/>
  <c r="N1150" i="18" s="1"/>
  <c r="K833" i="18"/>
  <c r="N833" i="18" s="1"/>
  <c r="K689" i="18"/>
  <c r="N689" i="18" s="1"/>
  <c r="K558" i="18"/>
  <c r="N558" i="18" s="1"/>
  <c r="K429" i="18"/>
  <c r="N429" i="18" s="1"/>
  <c r="K302" i="18"/>
  <c r="N302" i="18" s="1"/>
  <c r="K173" i="18"/>
  <c r="N173" i="18" s="1"/>
  <c r="K747" i="18"/>
  <c r="N747" i="18" s="1"/>
  <c r="K478" i="18"/>
  <c r="N478" i="18" s="1"/>
  <c r="K348" i="18"/>
  <c r="N348" i="18" s="1"/>
  <c r="K219" i="18"/>
  <c r="N219" i="18" s="1"/>
  <c r="K103" i="18"/>
  <c r="N103" i="18" s="1"/>
  <c r="K499" i="18"/>
  <c r="N499" i="18" s="1"/>
  <c r="K370" i="18"/>
  <c r="N370" i="18" s="1"/>
  <c r="K58" i="18"/>
  <c r="N58" i="18" s="1"/>
  <c r="K464" i="18"/>
  <c r="N464" i="18" s="1"/>
  <c r="K52" i="18"/>
  <c r="N52" i="18" s="1"/>
  <c r="K337" i="18"/>
  <c r="N337" i="18" s="1"/>
  <c r="K209" i="18"/>
  <c r="N209" i="18" s="1"/>
  <c r="K15" i="18"/>
  <c r="N15" i="18" s="1"/>
  <c r="K175" i="18"/>
  <c r="N175" i="18" s="1"/>
  <c r="K320" i="18"/>
  <c r="N320" i="18" s="1"/>
  <c r="K606" i="18"/>
  <c r="N606" i="18" s="1"/>
  <c r="K147" i="18"/>
  <c r="N147" i="18" s="1"/>
  <c r="K1096" i="18"/>
  <c r="N1096" i="18" s="1"/>
  <c r="K1161" i="18"/>
  <c r="N1161" i="18" s="1"/>
  <c r="K1033" i="18"/>
  <c r="N1033" i="18" s="1"/>
  <c r="K955" i="18"/>
  <c r="N955" i="18" s="1"/>
  <c r="K827" i="18"/>
  <c r="N827" i="18" s="1"/>
  <c r="K1067" i="18"/>
  <c r="N1067" i="18" s="1"/>
  <c r="K812" i="18"/>
  <c r="N812" i="18" s="1"/>
  <c r="K457" i="18"/>
  <c r="N457" i="18" s="1"/>
  <c r="K393" i="18"/>
  <c r="N393" i="18" s="1"/>
  <c r="K330" i="18"/>
  <c r="N330" i="18" s="1"/>
  <c r="K266" i="18"/>
  <c r="N266" i="18" s="1"/>
  <c r="K202" i="18"/>
  <c r="N202" i="18" s="1"/>
  <c r="K153" i="18"/>
  <c r="N153" i="18" s="1"/>
  <c r="K1206" i="18"/>
  <c r="N1206" i="18" s="1"/>
  <c r="K588" i="18"/>
  <c r="N588" i="18" s="1"/>
  <c r="K523" i="18"/>
  <c r="N523" i="18" s="1"/>
  <c r="K458" i="18"/>
  <c r="N458" i="18" s="1"/>
  <c r="K394" i="18"/>
  <c r="N394" i="18" s="1"/>
  <c r="K327" i="18"/>
  <c r="N327" i="18" s="1"/>
  <c r="K263" i="18"/>
  <c r="N263" i="18" s="1"/>
  <c r="K199" i="18"/>
  <c r="N199" i="18" s="1"/>
  <c r="K132" i="18"/>
  <c r="N132" i="18" s="1"/>
  <c r="K759" i="18"/>
  <c r="N759" i="18" s="1"/>
  <c r="K569" i="18"/>
  <c r="N569" i="18" s="1"/>
  <c r="K463" i="18"/>
  <c r="N463" i="18" s="1"/>
  <c r="K399" i="18"/>
  <c r="N399" i="18" s="1"/>
  <c r="K184" i="18"/>
  <c r="N184" i="18" s="1"/>
  <c r="K86" i="18"/>
  <c r="N86" i="18" s="1"/>
  <c r="K22" i="18"/>
  <c r="N22" i="18" s="1"/>
  <c r="K566" i="18"/>
  <c r="N566" i="18" s="1"/>
  <c r="K420" i="18"/>
  <c r="N420" i="18" s="1"/>
  <c r="K138" i="18"/>
  <c r="N138" i="18" s="1"/>
  <c r="K694" i="18"/>
  <c r="N694" i="18" s="1"/>
  <c r="K520" i="18"/>
  <c r="N520" i="18" s="1"/>
  <c r="K301" i="18"/>
  <c r="N301" i="18" s="1"/>
  <c r="K237" i="18"/>
  <c r="N237" i="18" s="1"/>
  <c r="K108" i="18"/>
  <c r="N108" i="18" s="1"/>
  <c r="K43" i="18"/>
  <c r="N43" i="18" s="1"/>
  <c r="K602" i="18"/>
  <c r="N602" i="18" s="1"/>
  <c r="K373" i="18"/>
  <c r="N373" i="18" s="1"/>
  <c r="K40" i="18"/>
  <c r="N40" i="18" s="1"/>
  <c r="K312" i="18"/>
  <c r="N312" i="18" s="1"/>
  <c r="K77" i="18"/>
  <c r="N77" i="18" s="1"/>
  <c r="K521" i="18"/>
  <c r="N521" i="18" s="1"/>
  <c r="K260" i="18"/>
  <c r="N260" i="18" s="1"/>
  <c r="K541" i="18"/>
  <c r="N541" i="18" s="1"/>
  <c r="K25" i="18"/>
  <c r="N25" i="18" s="1"/>
  <c r="K782" i="18"/>
  <c r="N782" i="18" s="1"/>
  <c r="K704" i="18"/>
  <c r="N704" i="18" s="1"/>
  <c r="K639" i="18"/>
  <c r="N639" i="18" s="1"/>
  <c r="K1316" i="18"/>
  <c r="N1316" i="18" s="1"/>
  <c r="K746" i="18"/>
  <c r="N746" i="18" s="1"/>
  <c r="K664" i="18"/>
  <c r="N664" i="18" s="1"/>
  <c r="K1226" i="18"/>
  <c r="N1226" i="18" s="1"/>
  <c r="K869" i="18"/>
  <c r="N869" i="18" s="1"/>
  <c r="K1130" i="18"/>
  <c r="N1130" i="18" s="1"/>
  <c r="K1094" i="18"/>
  <c r="N1094" i="18" s="1"/>
  <c r="K727" i="18"/>
  <c r="N727" i="18" s="1"/>
  <c r="K645" i="18"/>
  <c r="N645" i="18" s="1"/>
  <c r="K575" i="18"/>
  <c r="N575" i="18" s="1"/>
  <c r="K513" i="18"/>
  <c r="N513" i="18" s="1"/>
  <c r="K449" i="18"/>
  <c r="N449" i="18" s="1"/>
  <c r="K385" i="18"/>
  <c r="N385" i="18" s="1"/>
  <c r="K338" i="18"/>
  <c r="N338" i="18" s="1"/>
  <c r="K274" i="18"/>
  <c r="N274" i="18" s="1"/>
  <c r="K210" i="18"/>
  <c r="N210" i="18" s="1"/>
  <c r="K144" i="18"/>
  <c r="N144" i="18" s="1"/>
  <c r="K1001" i="18"/>
  <c r="N1001" i="18" s="1"/>
  <c r="K580" i="18"/>
  <c r="N580" i="18" s="1"/>
  <c r="K514" i="18"/>
  <c r="N514" i="18" s="1"/>
  <c r="K450" i="18"/>
  <c r="N450" i="18" s="1"/>
  <c r="K386" i="18"/>
  <c r="N386" i="18" s="1"/>
  <c r="K319" i="18"/>
  <c r="N319" i="18" s="1"/>
  <c r="K255" i="18"/>
  <c r="N255" i="18" s="1"/>
  <c r="K207" i="18"/>
  <c r="N207" i="18" s="1"/>
  <c r="K141" i="18"/>
  <c r="N141" i="18" s="1"/>
  <c r="K825" i="18"/>
  <c r="N825" i="18" s="1"/>
  <c r="K577" i="18"/>
  <c r="N577" i="18" s="1"/>
  <c r="K471" i="18"/>
  <c r="N471" i="18" s="1"/>
  <c r="K407" i="18"/>
  <c r="N407" i="18" s="1"/>
  <c r="K192" i="18"/>
  <c r="N192" i="18" s="1"/>
  <c r="K94" i="18"/>
  <c r="N94" i="18" s="1"/>
  <c r="K30" i="18"/>
  <c r="N30" i="18" s="1"/>
  <c r="K574" i="18"/>
  <c r="N574" i="18" s="1"/>
  <c r="K428" i="18"/>
  <c r="N428" i="18" s="1"/>
  <c r="K179" i="18"/>
  <c r="N179" i="18" s="1"/>
  <c r="K977" i="18"/>
  <c r="N977" i="18" s="1"/>
  <c r="K544" i="18"/>
  <c r="N544" i="18" s="1"/>
  <c r="K293" i="18"/>
  <c r="N293" i="18" s="1"/>
  <c r="K229" i="18"/>
  <c r="N229" i="18" s="1"/>
  <c r="K116" i="18"/>
  <c r="N116" i="18" s="1"/>
  <c r="K83" i="18"/>
  <c r="N83" i="18" s="1"/>
  <c r="K51" i="18"/>
  <c r="N51" i="18" s="1"/>
  <c r="K1118" i="18"/>
  <c r="N1118" i="18" s="1"/>
  <c r="K496" i="18"/>
  <c r="N496" i="18" s="1"/>
  <c r="K195" i="18"/>
  <c r="N195" i="18" s="1"/>
  <c r="K28" i="18"/>
  <c r="N28" i="18" s="1"/>
  <c r="K332" i="18"/>
  <c r="N332" i="18" s="1"/>
  <c r="K216" i="18"/>
  <c r="N216" i="18" s="1"/>
  <c r="K670" i="18"/>
  <c r="N670" i="18" s="1"/>
  <c r="K308" i="18"/>
  <c r="N308" i="18" s="1"/>
  <c r="K1357" i="18"/>
  <c r="N1357" i="18" s="1"/>
  <c r="K1325" i="18"/>
  <c r="N1325" i="18" s="1"/>
  <c r="K1378" i="18"/>
  <c r="N1378" i="18" s="1"/>
  <c r="K1346" i="18"/>
  <c r="N1346" i="18" s="1"/>
  <c r="K1314" i="18"/>
  <c r="N1314" i="18" s="1"/>
  <c r="K1359" i="18"/>
  <c r="N1359" i="18" s="1"/>
  <c r="K1327" i="18"/>
  <c r="N1327" i="18" s="1"/>
  <c r="K1298" i="18"/>
  <c r="N1298" i="18" s="1"/>
  <c r="K1267" i="18"/>
  <c r="N1267" i="18" s="1"/>
  <c r="K1235" i="18"/>
  <c r="N1235" i="18" s="1"/>
  <c r="K1268" i="18"/>
  <c r="N1268" i="18" s="1"/>
  <c r="K1236" i="18"/>
  <c r="N1236" i="18" s="1"/>
  <c r="K1228" i="18"/>
  <c r="N1228" i="18" s="1"/>
  <c r="K1196" i="18"/>
  <c r="N1196" i="18" s="1"/>
  <c r="K1163" i="18"/>
  <c r="N1163" i="18" s="1"/>
  <c r="K1131" i="18"/>
  <c r="N1131" i="18" s="1"/>
  <c r="K1356" i="18"/>
  <c r="N1356" i="18" s="1"/>
  <c r="K1278" i="18"/>
  <c r="N1278" i="18" s="1"/>
  <c r="K1246" i="18"/>
  <c r="N1246" i="18" s="1"/>
  <c r="K1213" i="18"/>
  <c r="N1213" i="18" s="1"/>
  <c r="K1181" i="18"/>
  <c r="N1181" i="18" s="1"/>
  <c r="K1148" i="18"/>
  <c r="N1148" i="18" s="1"/>
  <c r="K1116" i="18"/>
  <c r="N1116" i="18" s="1"/>
  <c r="K1233" i="18"/>
  <c r="N1233" i="18" s="1"/>
  <c r="K1051" i="18"/>
  <c r="N1051" i="18" s="1"/>
  <c r="K988" i="18"/>
  <c r="N988" i="18" s="1"/>
  <c r="K924" i="18"/>
  <c r="N924" i="18" s="1"/>
  <c r="K860" i="18"/>
  <c r="N860" i="18" s="1"/>
  <c r="K780" i="18"/>
  <c r="N780" i="18" s="1"/>
  <c r="K853" i="18"/>
  <c r="N853" i="18" s="1"/>
  <c r="K744" i="18"/>
  <c r="N744" i="18" s="1"/>
  <c r="K657" i="18"/>
  <c r="N657" i="18" s="1"/>
  <c r="K526" i="18"/>
  <c r="N526" i="18" s="1"/>
  <c r="K397" i="18"/>
  <c r="N397" i="18" s="1"/>
  <c r="K270" i="18"/>
  <c r="N270" i="18" s="1"/>
  <c r="K140" i="18"/>
  <c r="N140" i="18" s="1"/>
  <c r="K576" i="18"/>
  <c r="N576" i="18" s="1"/>
  <c r="K446" i="18"/>
  <c r="N446" i="18" s="1"/>
  <c r="K315" i="18"/>
  <c r="N315" i="18" s="1"/>
  <c r="K186" i="18"/>
  <c r="N186" i="18" s="1"/>
  <c r="K781" i="18"/>
  <c r="N781" i="18" s="1"/>
  <c r="K467" i="18"/>
  <c r="N467" i="18" s="1"/>
  <c r="K188" i="18"/>
  <c r="N188" i="18" s="1"/>
  <c r="K26" i="18"/>
  <c r="N26" i="18" s="1"/>
  <c r="K424" i="18"/>
  <c r="N424" i="18" s="1"/>
  <c r="K893" i="18"/>
  <c r="N893" i="18" s="1"/>
  <c r="K305" i="18"/>
  <c r="N305" i="18" s="1"/>
  <c r="K112" i="18"/>
  <c r="N112" i="18" s="1"/>
  <c r="K698" i="18"/>
  <c r="N698" i="18" s="1"/>
  <c r="K84" i="18"/>
  <c r="N84" i="18" s="1"/>
  <c r="K252" i="18"/>
  <c r="N252" i="18" s="1"/>
  <c r="K101" i="18"/>
  <c r="N101" i="18" s="1"/>
  <c r="K105" i="18"/>
  <c r="N105" i="18" s="1"/>
  <c r="K1064" i="18"/>
  <c r="N1064" i="18" s="1"/>
  <c r="K1129" i="18"/>
  <c r="N1129" i="18" s="1"/>
  <c r="K1285" i="18"/>
  <c r="N1285" i="18" s="1"/>
  <c r="K923" i="18"/>
  <c r="N923" i="18" s="1"/>
  <c r="K795" i="18"/>
  <c r="N795" i="18" s="1"/>
  <c r="K1004" i="18"/>
  <c r="N1004" i="18" s="1"/>
  <c r="K764" i="18"/>
  <c r="N764" i="18" s="1"/>
  <c r="K934" i="18"/>
  <c r="N934" i="18" s="1"/>
  <c r="K806" i="18"/>
  <c r="N806" i="18" s="1"/>
  <c r="K679" i="18"/>
  <c r="N679" i="18" s="1"/>
  <c r="K1034" i="18"/>
  <c r="N1034" i="18" s="1"/>
  <c r="K640" i="18"/>
  <c r="N640" i="18" s="1"/>
  <c r="K1062" i="18"/>
  <c r="N1062" i="18" s="1"/>
  <c r="K740" i="18"/>
  <c r="N740" i="18" s="1"/>
  <c r="K653" i="18"/>
  <c r="N653" i="18" s="1"/>
  <c r="K522" i="18"/>
  <c r="N522" i="18" s="1"/>
  <c r="K973" i="18"/>
  <c r="N973" i="18" s="1"/>
  <c r="K881" i="18"/>
  <c r="N881" i="18" s="1"/>
  <c r="K625" i="18"/>
  <c r="N625" i="18" s="1"/>
  <c r="K493" i="18"/>
  <c r="N493" i="18" s="1"/>
  <c r="K363" i="18"/>
  <c r="N363" i="18" s="1"/>
  <c r="K238" i="18"/>
  <c r="N238" i="18" s="1"/>
  <c r="K110" i="18"/>
  <c r="N110" i="18" s="1"/>
  <c r="K543" i="18"/>
  <c r="N543" i="18" s="1"/>
  <c r="K414" i="18"/>
  <c r="N414" i="18" s="1"/>
  <c r="K283" i="18"/>
  <c r="N283" i="18" s="1"/>
  <c r="K170" i="18"/>
  <c r="N170" i="18" s="1"/>
  <c r="K642" i="18"/>
  <c r="N642" i="18" s="1"/>
  <c r="K435" i="18"/>
  <c r="N435" i="18" s="1"/>
  <c r="K156" i="18"/>
  <c r="N156" i="18" s="1"/>
  <c r="K682" i="18"/>
  <c r="N682" i="18" s="1"/>
  <c r="K357" i="18"/>
  <c r="N357" i="18" s="1"/>
  <c r="K646" i="18"/>
  <c r="N646" i="18" s="1"/>
  <c r="K273" i="18"/>
  <c r="N273" i="18" s="1"/>
  <c r="K79" i="18"/>
  <c r="N79" i="18" s="1"/>
  <c r="K492" i="18"/>
  <c r="N492" i="18" s="1"/>
  <c r="K20" i="18"/>
  <c r="N20" i="18" s="1"/>
  <c r="K549" i="18"/>
  <c r="N549" i="18" s="1"/>
  <c r="K304" i="18"/>
  <c r="N304" i="18" s="1"/>
  <c r="K33" i="18"/>
  <c r="N33" i="18" s="1"/>
  <c r="K1032" i="18"/>
  <c r="N1032" i="18" s="1"/>
  <c r="K1097" i="18"/>
  <c r="N1097" i="18" s="1"/>
  <c r="K1138" i="18"/>
  <c r="N1138" i="18" s="1"/>
  <c r="K891" i="18"/>
  <c r="N891" i="18" s="1"/>
  <c r="K763" i="18"/>
  <c r="N763" i="18" s="1"/>
  <c r="K940" i="18"/>
  <c r="N940" i="18" s="1"/>
  <c r="K587" i="18"/>
  <c r="N587" i="18" s="1"/>
  <c r="K957" i="18"/>
  <c r="N957" i="18" s="1"/>
  <c r="K136" i="18"/>
  <c r="N136" i="18" s="1"/>
  <c r="K570" i="18"/>
  <c r="N570" i="18" s="1"/>
  <c r="K47" i="18"/>
  <c r="N47" i="18" s="1"/>
  <c r="K244" i="18"/>
  <c r="N244" i="18" s="1"/>
  <c r="K987" i="18"/>
  <c r="N987" i="18" s="1"/>
  <c r="K998" i="18"/>
  <c r="N998" i="18" s="1"/>
  <c r="K706" i="18"/>
  <c r="N706" i="18" s="1"/>
  <c r="K583" i="18"/>
  <c r="N583" i="18" s="1"/>
  <c r="K1022" i="18"/>
  <c r="N1022" i="18" s="1"/>
  <c r="K950" i="18"/>
  <c r="N950" i="18" s="1"/>
  <c r="K886" i="18"/>
  <c r="N886" i="18" s="1"/>
  <c r="K822" i="18"/>
  <c r="N822" i="18" s="1"/>
  <c r="K757" i="18"/>
  <c r="N757" i="18" s="1"/>
  <c r="K695" i="18"/>
  <c r="N695" i="18" s="1"/>
  <c r="K631" i="18"/>
  <c r="N631" i="18" s="1"/>
  <c r="K1098" i="18"/>
  <c r="N1098" i="18" s="1"/>
  <c r="K722" i="18"/>
  <c r="N722" i="18" s="1"/>
  <c r="K656" i="18"/>
  <c r="N656" i="18" s="1"/>
  <c r="K1106" i="18"/>
  <c r="N1106" i="18" s="1"/>
  <c r="K837" i="18"/>
  <c r="N837" i="18" s="1"/>
  <c r="K985" i="18"/>
  <c r="N985" i="18" s="1"/>
  <c r="K1009" i="18"/>
  <c r="N1009" i="18" s="1"/>
  <c r="K701" i="18"/>
  <c r="N701" i="18" s="1"/>
  <c r="K637" i="18"/>
  <c r="N637" i="18" s="1"/>
  <c r="K567" i="18"/>
  <c r="N567" i="18" s="1"/>
  <c r="K505" i="18"/>
  <c r="N505" i="18" s="1"/>
  <c r="K441" i="18"/>
  <c r="N441" i="18" s="1"/>
  <c r="K377" i="18"/>
  <c r="N377" i="18" s="1"/>
  <c r="K314" i="18"/>
  <c r="N314" i="18" s="1"/>
  <c r="K250" i="18"/>
  <c r="N250" i="18" s="1"/>
  <c r="K169" i="18"/>
  <c r="N169" i="18" s="1"/>
  <c r="K106" i="18"/>
  <c r="N106" i="18" s="1"/>
  <c r="K739" i="18"/>
  <c r="N739" i="18" s="1"/>
  <c r="K539" i="18"/>
  <c r="N539" i="18" s="1"/>
  <c r="K474" i="18"/>
  <c r="N474" i="18" s="1"/>
  <c r="K410" i="18"/>
  <c r="N410" i="18" s="1"/>
  <c r="K344" i="18"/>
  <c r="N344" i="18" s="1"/>
  <c r="K279" i="18"/>
  <c r="N279" i="18" s="1"/>
  <c r="K215" i="18"/>
  <c r="N215" i="18" s="1"/>
  <c r="K149" i="18"/>
  <c r="N149" i="18" s="1"/>
  <c r="K989" i="18"/>
  <c r="N989" i="18" s="1"/>
  <c r="K585" i="18"/>
  <c r="N585" i="18" s="1"/>
  <c r="K479" i="18"/>
  <c r="N479" i="18" s="1"/>
  <c r="K415" i="18"/>
  <c r="N415" i="18" s="1"/>
  <c r="K350" i="18"/>
  <c r="N350" i="18" s="1"/>
  <c r="K125" i="18"/>
  <c r="N125" i="18" s="1"/>
  <c r="K38" i="18"/>
  <c r="N38" i="18" s="1"/>
  <c r="K596" i="18"/>
  <c r="N596" i="18" s="1"/>
  <c r="K444" i="18"/>
  <c r="N444" i="18" s="1"/>
  <c r="K187" i="18"/>
  <c r="N187" i="18" s="1"/>
  <c r="K16" i="18"/>
  <c r="N16" i="18" s="1"/>
  <c r="K630" i="18"/>
  <c r="N630" i="18" s="1"/>
  <c r="K333" i="18"/>
  <c r="N333" i="18" s="1"/>
  <c r="K253" i="18"/>
  <c r="N253" i="18" s="1"/>
  <c r="K146" i="18"/>
  <c r="N146" i="18" s="1"/>
  <c r="K59" i="18"/>
  <c r="N59" i="18" s="1"/>
  <c r="K861" i="18"/>
  <c r="N861" i="18" s="1"/>
  <c r="K480" i="18"/>
  <c r="N480" i="18" s="1"/>
  <c r="K171" i="18"/>
  <c r="N171" i="18" s="1"/>
  <c r="K600" i="18"/>
  <c r="N600" i="18" s="1"/>
  <c r="K284" i="18"/>
  <c r="N284" i="18" s="1"/>
  <c r="K517" i="18"/>
  <c r="N517" i="18" s="1"/>
  <c r="K553" i="18"/>
  <c r="N553" i="18" s="1"/>
  <c r="K288" i="18"/>
  <c r="N288" i="18" s="1"/>
  <c r="K139" i="18"/>
  <c r="N139" i="18" s="1"/>
  <c r="K1369" i="18"/>
  <c r="N1369" i="18" s="1"/>
  <c r="K1337" i="18"/>
  <c r="N1337" i="18" s="1"/>
  <c r="K1305" i="18"/>
  <c r="N1305" i="18" s="1"/>
  <c r="K1358" i="18"/>
  <c r="N1358" i="18" s="1"/>
  <c r="K154" i="18"/>
  <c r="N154" i="18" s="1"/>
  <c r="K120" i="18"/>
  <c r="N120" i="18" s="1"/>
  <c r="K1030" i="18"/>
  <c r="N1030" i="18" s="1"/>
  <c r="K712" i="18"/>
  <c r="N712" i="18" s="1"/>
  <c r="K589" i="18"/>
  <c r="N589" i="18" s="1"/>
  <c r="K515" i="18"/>
  <c r="N515" i="18" s="1"/>
  <c r="K483" i="18"/>
  <c r="N483" i="18" s="1"/>
  <c r="K451" i="18"/>
  <c r="N451" i="18" s="1"/>
  <c r="K419" i="18"/>
  <c r="N419" i="18" s="1"/>
  <c r="K387" i="18"/>
  <c r="N387" i="18" s="1"/>
  <c r="K354" i="18"/>
  <c r="N354" i="18" s="1"/>
  <c r="K172" i="18"/>
  <c r="N172" i="18" s="1"/>
  <c r="K129" i="18"/>
  <c r="N129" i="18" s="1"/>
  <c r="K74" i="18"/>
  <c r="N74" i="18" s="1"/>
  <c r="K42" i="18"/>
  <c r="N42" i="18" s="1"/>
  <c r="K9" i="18"/>
  <c r="N9" i="18" s="1"/>
  <c r="K618" i="18"/>
  <c r="N618" i="18" s="1"/>
  <c r="K508" i="18"/>
  <c r="N508" i="18" s="1"/>
  <c r="K448" i="18"/>
  <c r="N448" i="18" s="1"/>
  <c r="K384" i="18"/>
  <c r="N384" i="18" s="1"/>
  <c r="K191" i="18"/>
  <c r="N191" i="18" s="1"/>
  <c r="K122" i="18"/>
  <c r="N122" i="18" s="1"/>
  <c r="K24" i="18"/>
  <c r="N24" i="18" s="1"/>
  <c r="K716" i="18"/>
  <c r="N716" i="18" s="1"/>
  <c r="K556" i="18"/>
  <c r="N556" i="18" s="1"/>
  <c r="K524" i="18"/>
  <c r="N524" i="18" s="1"/>
  <c r="K321" i="18"/>
  <c r="N321" i="18" s="1"/>
  <c r="K289" i="18"/>
  <c r="N289" i="18" s="1"/>
  <c r="K257" i="18"/>
  <c r="N257" i="18" s="1"/>
  <c r="K225" i="18"/>
  <c r="N225" i="18" s="1"/>
  <c r="K150" i="18"/>
  <c r="N150" i="18" s="1"/>
  <c r="K96" i="18"/>
  <c r="N96" i="18" s="1"/>
  <c r="K63" i="18"/>
  <c r="N63" i="18" s="1"/>
  <c r="K31" i="18"/>
  <c r="N31" i="18" s="1"/>
  <c r="K945" i="18"/>
  <c r="N945" i="18" s="1"/>
  <c r="K582" i="18"/>
  <c r="N582" i="18" s="1"/>
  <c r="K440" i="18"/>
  <c r="N440" i="18" s="1"/>
  <c r="K376" i="18"/>
  <c r="N376" i="18" s="1"/>
  <c r="K155" i="18"/>
  <c r="N155" i="18" s="1"/>
  <c r="K56" i="18"/>
  <c r="N56" i="18" s="1"/>
  <c r="K654" i="18"/>
  <c r="N654" i="18" s="1"/>
  <c r="K937" i="18"/>
  <c r="N937" i="18" s="1"/>
  <c r="K292" i="18"/>
  <c r="N292" i="18" s="1"/>
  <c r="K200" i="18"/>
  <c r="N200" i="18" s="1"/>
  <c r="K89" i="18"/>
  <c r="N89" i="18" s="1"/>
  <c r="K29" i="18"/>
  <c r="N29" i="18" s="1"/>
  <c r="K529" i="18"/>
  <c r="N529" i="18" s="1"/>
  <c r="K328" i="18"/>
  <c r="N328" i="18" s="1"/>
  <c r="K264" i="18"/>
  <c r="N264" i="18" s="1"/>
  <c r="K220" i="18"/>
  <c r="N220" i="18" s="1"/>
  <c r="K638" i="18"/>
  <c r="N638" i="18" s="1"/>
  <c r="K69" i="18"/>
  <c r="N69" i="18" s="1"/>
  <c r="K1215" i="18"/>
  <c r="N1215" i="18" s="1"/>
  <c r="K1183" i="18"/>
  <c r="N1183" i="18" s="1"/>
  <c r="K1080" i="18"/>
  <c r="N1080" i="18" s="1"/>
  <c r="K1048" i="18"/>
  <c r="N1048" i="18" s="1"/>
  <c r="K1016" i="18"/>
  <c r="N1016" i="18" s="1"/>
  <c r="K1177" i="18"/>
  <c r="N1177" i="18" s="1"/>
  <c r="K1145" i="18"/>
  <c r="N1145" i="18" s="1"/>
  <c r="K1113" i="18"/>
  <c r="N1113" i="18" s="1"/>
  <c r="K1081" i="18"/>
  <c r="N1081" i="18" s="1"/>
  <c r="K1049" i="18"/>
  <c r="N1049" i="18" s="1"/>
  <c r="K1017" i="18"/>
  <c r="N1017" i="18" s="1"/>
  <c r="K1202" i="18"/>
  <c r="N1202" i="18" s="1"/>
  <c r="K1003" i="18"/>
  <c r="N1003" i="18" s="1"/>
  <c r="K971" i="18"/>
  <c r="N971" i="18" s="1"/>
  <c r="K939" i="18"/>
  <c r="N939" i="18" s="1"/>
  <c r="K907" i="18"/>
  <c r="N907" i="18" s="1"/>
  <c r="K875" i="18"/>
  <c r="N875" i="18" s="1"/>
  <c r="K843" i="18"/>
  <c r="N843" i="18" s="1"/>
  <c r="K811" i="18"/>
  <c r="N811" i="18" s="1"/>
  <c r="K779" i="18"/>
  <c r="N779" i="18" s="1"/>
  <c r="K1142" i="18"/>
  <c r="N1142" i="18" s="1"/>
  <c r="K1083" i="18"/>
  <c r="N1083" i="18" s="1"/>
  <c r="K1035" i="18"/>
  <c r="N1035" i="18" s="1"/>
  <c r="K972" i="18"/>
  <c r="N972" i="18" s="1"/>
  <c r="K908" i="18"/>
  <c r="N908" i="18" s="1"/>
  <c r="K844" i="18"/>
  <c r="N844" i="18" s="1"/>
  <c r="K796" i="18"/>
  <c r="N796" i="18" s="1"/>
  <c r="K1086" i="18"/>
  <c r="N1086" i="18" s="1"/>
  <c r="K966" i="18"/>
  <c r="N966" i="18" s="1"/>
  <c r="K902" i="18"/>
  <c r="N902" i="18" s="1"/>
  <c r="K838" i="18"/>
  <c r="N838" i="18" s="1"/>
  <c r="K774" i="18"/>
  <c r="N774" i="18" s="1"/>
  <c r="K709" i="18"/>
  <c r="N709" i="18" s="1"/>
  <c r="K647" i="18"/>
  <c r="N647" i="18" s="1"/>
  <c r="K1210" i="18"/>
  <c r="N1210" i="18" s="1"/>
  <c r="K738" i="18"/>
  <c r="N738" i="18" s="1"/>
  <c r="K672" i="18"/>
  <c r="N672" i="18" s="1"/>
  <c r="K608" i="18"/>
  <c r="N608" i="18" s="1"/>
  <c r="K965" i="18"/>
  <c r="N965" i="18" s="1"/>
  <c r="K865" i="18"/>
  <c r="N865" i="18" s="1"/>
  <c r="K756" i="18"/>
  <c r="N756" i="18" s="1"/>
  <c r="K841" i="18"/>
  <c r="N841" i="18" s="1"/>
  <c r="K685" i="18"/>
  <c r="N685" i="18" s="1"/>
  <c r="K621" i="18"/>
  <c r="N621" i="18" s="1"/>
  <c r="K554" i="18"/>
  <c r="N554" i="18" s="1"/>
  <c r="K489" i="18"/>
  <c r="N489" i="18" s="1"/>
  <c r="K425" i="18"/>
  <c r="N425" i="18" s="1"/>
  <c r="K359" i="18"/>
  <c r="N359" i="18" s="1"/>
  <c r="K298" i="18"/>
  <c r="N298" i="18" s="1"/>
  <c r="K234" i="18"/>
  <c r="N234" i="18" s="1"/>
  <c r="K185" i="18"/>
  <c r="N185" i="18" s="1"/>
  <c r="K119" i="18"/>
  <c r="N119" i="18" s="1"/>
  <c r="K785" i="18"/>
  <c r="N785" i="18" s="1"/>
  <c r="K555" i="18"/>
  <c r="N555" i="18" s="1"/>
  <c r="K490" i="18"/>
  <c r="N490" i="18" s="1"/>
  <c r="K426" i="18"/>
  <c r="N426" i="18" s="1"/>
  <c r="K360" i="18"/>
  <c r="N360" i="18" s="1"/>
  <c r="K295" i="18"/>
  <c r="N295" i="18" s="1"/>
  <c r="K231" i="18"/>
  <c r="N231" i="18" s="1"/>
  <c r="K166" i="18"/>
  <c r="N166" i="18" s="1"/>
  <c r="K99" i="18"/>
  <c r="N99" i="18" s="1"/>
  <c r="K461" i="18"/>
  <c r="N461" i="18" s="1"/>
  <c r="K510" i="18"/>
  <c r="N510" i="18" s="1"/>
  <c r="K573" i="18"/>
  <c r="N573" i="18" s="1"/>
  <c r="K159" i="18"/>
  <c r="N159" i="18" s="1"/>
  <c r="K404" i="18"/>
  <c r="N404" i="18" s="1"/>
  <c r="K1199" i="18"/>
  <c r="N1199" i="18" s="1"/>
  <c r="K859" i="18"/>
  <c r="N859" i="18" s="1"/>
  <c r="K870" i="18"/>
  <c r="N870" i="18" s="1"/>
  <c r="K1042" i="18"/>
  <c r="N1042" i="18" s="1"/>
  <c r="K1005" i="18"/>
  <c r="N1005" i="18" s="1"/>
  <c r="K334" i="18"/>
  <c r="N334" i="18" s="1"/>
  <c r="K382" i="18"/>
  <c r="N382" i="18" s="1"/>
  <c r="K403" i="18"/>
  <c r="N403" i="18" s="1"/>
  <c r="K540" i="18"/>
  <c r="N540" i="18" s="1"/>
  <c r="K151" i="18"/>
  <c r="N151" i="18" s="1"/>
  <c r="K1293" i="18"/>
  <c r="N1293" i="18" s="1"/>
  <c r="K1099" i="18"/>
  <c r="N1099" i="18" s="1"/>
  <c r="K741" i="18"/>
  <c r="N741" i="18" s="1"/>
  <c r="K897" i="18"/>
  <c r="N897" i="18" s="1"/>
  <c r="K723" i="18"/>
  <c r="N723" i="18" s="1"/>
  <c r="K241" i="18"/>
  <c r="N241" i="18" s="1"/>
  <c r="K615" i="18"/>
  <c r="N615" i="18" s="1"/>
  <c r="K206" i="18"/>
  <c r="N206" i="18" s="1"/>
  <c r="K53" i="18"/>
  <c r="N53" i="18" s="1"/>
  <c r="K719" i="18"/>
  <c r="N719" i="18" s="1"/>
  <c r="K251" i="18"/>
  <c r="N251" i="18" s="1"/>
  <c r="K1065" i="18"/>
  <c r="N1065" i="18" s="1"/>
  <c r="K626" i="18"/>
  <c r="N626" i="18" s="1"/>
  <c r="K495" i="18"/>
  <c r="N495" i="18" s="1"/>
  <c r="K431" i="18"/>
  <c r="N431" i="18" s="1"/>
  <c r="K366" i="18"/>
  <c r="N366" i="18" s="1"/>
  <c r="K152" i="18"/>
  <c r="N152" i="18" s="1"/>
  <c r="K54" i="18"/>
  <c r="N54" i="18" s="1"/>
  <c r="K666" i="18"/>
  <c r="N666" i="18" s="1"/>
  <c r="K460" i="18"/>
  <c r="N460" i="18" s="1"/>
  <c r="K353" i="18"/>
  <c r="N353" i="18" s="1"/>
  <c r="K48" i="18"/>
  <c r="N48" i="18" s="1"/>
  <c r="K552" i="18"/>
  <c r="N552" i="18" s="1"/>
  <c r="K317" i="18"/>
  <c r="N317" i="18" s="1"/>
  <c r="K269" i="18"/>
  <c r="N269" i="18" s="1"/>
  <c r="K205" i="18"/>
  <c r="N205" i="18" s="1"/>
  <c r="K75" i="18"/>
  <c r="N75" i="18" s="1"/>
  <c r="K10" i="18"/>
  <c r="N10" i="18" s="1"/>
  <c r="K436" i="18"/>
  <c r="N436" i="18" s="1"/>
  <c r="K130" i="18"/>
  <c r="N130" i="18" s="1"/>
  <c r="K143" i="18"/>
  <c r="N143" i="18" s="1"/>
  <c r="K232" i="18"/>
  <c r="N232" i="18" s="1"/>
  <c r="K17" i="18"/>
  <c r="N17" i="18" s="1"/>
  <c r="K324" i="18"/>
  <c r="N324" i="18" s="1"/>
  <c r="K212" i="18"/>
  <c r="N212" i="18" s="1"/>
  <c r="K65" i="18"/>
  <c r="N65" i="18" s="1"/>
  <c r="K1043" i="18"/>
  <c r="N1043" i="18" s="1"/>
  <c r="K733" i="18"/>
  <c r="N733" i="18" s="1"/>
  <c r="K671" i="18"/>
  <c r="N671" i="18" s="1"/>
  <c r="K607" i="18"/>
  <c r="N607" i="18" s="1"/>
  <c r="K1066" i="18"/>
  <c r="N1066" i="18" s="1"/>
  <c r="K696" i="18"/>
  <c r="N696" i="18" s="1"/>
  <c r="K632" i="18"/>
  <c r="N632" i="18" s="1"/>
  <c r="K997" i="18"/>
  <c r="N997" i="18" s="1"/>
  <c r="K993" i="18"/>
  <c r="N993" i="18" s="1"/>
  <c r="K857" i="18"/>
  <c r="N857" i="18" s="1"/>
  <c r="K925" i="18"/>
  <c r="N925" i="18" s="1"/>
  <c r="K693" i="18"/>
  <c r="N693" i="18" s="1"/>
  <c r="K613" i="18"/>
  <c r="N613" i="18" s="1"/>
  <c r="K546" i="18"/>
  <c r="N546" i="18" s="1"/>
  <c r="K481" i="18"/>
  <c r="N481" i="18" s="1"/>
  <c r="K417" i="18"/>
  <c r="N417" i="18" s="1"/>
  <c r="K351" i="18"/>
  <c r="N351" i="18" s="1"/>
  <c r="K306" i="18"/>
  <c r="N306" i="18" s="1"/>
  <c r="K242" i="18"/>
  <c r="N242" i="18" s="1"/>
  <c r="K177" i="18"/>
  <c r="N177" i="18" s="1"/>
  <c r="K114" i="18"/>
  <c r="N114" i="18" s="1"/>
  <c r="K755" i="18"/>
  <c r="N755" i="18" s="1"/>
  <c r="K547" i="18"/>
  <c r="N547" i="18" s="1"/>
  <c r="K482" i="18"/>
  <c r="N482" i="18" s="1"/>
  <c r="K418" i="18"/>
  <c r="N418" i="18" s="1"/>
  <c r="K352" i="18"/>
  <c r="N352" i="18" s="1"/>
  <c r="K287" i="18"/>
  <c r="N287" i="18" s="1"/>
  <c r="K223" i="18"/>
  <c r="N223" i="18" s="1"/>
  <c r="K174" i="18"/>
  <c r="N174" i="18" s="1"/>
  <c r="K107" i="18"/>
  <c r="N107" i="18" s="1"/>
  <c r="K658" i="18"/>
  <c r="N658" i="18" s="1"/>
  <c r="K503" i="18"/>
  <c r="N503" i="18" s="1"/>
  <c r="K439" i="18"/>
  <c r="N439" i="18" s="1"/>
  <c r="K375" i="18"/>
  <c r="N375" i="18" s="1"/>
  <c r="K160" i="18"/>
  <c r="N160" i="18" s="1"/>
  <c r="K62" i="18"/>
  <c r="N62" i="18" s="1"/>
  <c r="K703" i="18"/>
  <c r="N703" i="18" s="1"/>
  <c r="K468" i="18"/>
  <c r="N468" i="18" s="1"/>
  <c r="K361" i="18"/>
  <c r="N361" i="18" s="1"/>
  <c r="K64" i="18"/>
  <c r="N64" i="18" s="1"/>
  <c r="K662" i="18"/>
  <c r="N662" i="18" s="1"/>
  <c r="K325" i="18"/>
  <c r="N325" i="18" s="1"/>
  <c r="K261" i="18"/>
  <c r="N261" i="18" s="1"/>
  <c r="K197" i="18"/>
  <c r="N197" i="18" s="1"/>
  <c r="K100" i="18"/>
  <c r="N100" i="18" s="1"/>
  <c r="K67" i="18"/>
  <c r="N67" i="18" s="1"/>
  <c r="K35" i="18"/>
  <c r="N35" i="18" s="1"/>
  <c r="K720" i="18"/>
  <c r="N720" i="18" s="1"/>
  <c r="K408" i="18"/>
  <c r="N408" i="18" s="1"/>
  <c r="K88" i="18"/>
  <c r="N88" i="18" s="1"/>
  <c r="K374" i="18"/>
  <c r="N374" i="18" s="1"/>
  <c r="K296" i="18"/>
  <c r="N296" i="18" s="1"/>
  <c r="K97" i="18"/>
  <c r="N97" i="18" s="1"/>
  <c r="K109" i="18"/>
  <c r="N109" i="18" s="1"/>
  <c r="K1373" i="18"/>
  <c r="N1373" i="18" s="1"/>
  <c r="K1341" i="18"/>
  <c r="N1341" i="18" s="1"/>
  <c r="K1309" i="18"/>
  <c r="N1309" i="18" s="1"/>
  <c r="K1362" i="18"/>
  <c r="N1362" i="18" s="1"/>
  <c r="K1330" i="18"/>
  <c r="N1330" i="18" s="1"/>
  <c r="K1375" i="18"/>
  <c r="N1375" i="18" s="1"/>
  <c r="K1343" i="18"/>
  <c r="N1343" i="18" s="1"/>
  <c r="K1311" i="18"/>
  <c r="N1311" i="18" s="1"/>
  <c r="K1283" i="18"/>
  <c r="N1283" i="18" s="1"/>
  <c r="K1251" i="18"/>
  <c r="N1251" i="18" s="1"/>
  <c r="K1284" i="18"/>
  <c r="N1284" i="18" s="1"/>
  <c r="K1252" i="18"/>
  <c r="N1252" i="18" s="1"/>
  <c r="K1336" i="18"/>
  <c r="N1336" i="18" s="1"/>
  <c r="K1212" i="18"/>
  <c r="N1212" i="18" s="1"/>
  <c r="K1180" i="18"/>
  <c r="N1180" i="18" s="1"/>
  <c r="K1147" i="18"/>
  <c r="N1147" i="18" s="1"/>
  <c r="K1115" i="18"/>
  <c r="N1115" i="18" s="1"/>
  <c r="K1294" i="18"/>
  <c r="N1294" i="18" s="1"/>
  <c r="K1262" i="18"/>
  <c r="N1262" i="18" s="1"/>
  <c r="K1229" i="18"/>
  <c r="N1229" i="18" s="1"/>
  <c r="K1197" i="18"/>
  <c r="N1197" i="18" s="1"/>
  <c r="K1164" i="18"/>
  <c r="N1164" i="18" s="1"/>
  <c r="K1132" i="18"/>
  <c r="N1132" i="18" s="1"/>
  <c r="K1328" i="18"/>
  <c r="N1328" i="18" s="1"/>
  <c r="K1198" i="18"/>
  <c r="N1198" i="18" s="1"/>
  <c r="K1019" i="18"/>
  <c r="N1019" i="18" s="1"/>
  <c r="K956" i="18"/>
  <c r="N956" i="18" s="1"/>
  <c r="K892" i="18"/>
  <c r="N892" i="18" s="1"/>
  <c r="K828" i="18"/>
  <c r="N828" i="18" s="1"/>
  <c r="K1190" i="18"/>
  <c r="N1190" i="18" s="1"/>
  <c r="K982" i="18"/>
  <c r="N982" i="18" s="1"/>
  <c r="K918" i="18"/>
  <c r="N918" i="18" s="1"/>
  <c r="K854" i="18"/>
  <c r="N854" i="18" s="1"/>
  <c r="K790" i="18"/>
  <c r="N790" i="18" s="1"/>
  <c r="K725" i="18"/>
  <c r="N725" i="18" s="1"/>
  <c r="K663" i="18"/>
  <c r="N663" i="18" s="1"/>
  <c r="K599" i="18"/>
  <c r="N599" i="18" s="1"/>
  <c r="K754" i="18"/>
  <c r="N754" i="18" s="1"/>
  <c r="K688" i="18"/>
  <c r="N688" i="18" s="1"/>
  <c r="K624" i="18"/>
  <c r="N624" i="18" s="1"/>
  <c r="K901" i="18"/>
  <c r="N901" i="18" s="1"/>
  <c r="K953" i="18"/>
  <c r="N953" i="18" s="1"/>
  <c r="K805" i="18"/>
  <c r="N805" i="18" s="1"/>
  <c r="K735" i="18"/>
  <c r="N735" i="18" s="1"/>
  <c r="K669" i="18"/>
  <c r="N669" i="18" s="1"/>
  <c r="K605" i="18"/>
  <c r="N605" i="18" s="1"/>
  <c r="K538" i="18"/>
  <c r="N538" i="18" s="1"/>
  <c r="K473" i="18"/>
  <c r="N473" i="18" s="1"/>
  <c r="K409" i="18"/>
  <c r="N409" i="18" s="1"/>
  <c r="K343" i="18"/>
  <c r="N343" i="18" s="1"/>
  <c r="K282" i="18"/>
  <c r="N282" i="18" s="1"/>
  <c r="K218" i="18"/>
  <c r="N218" i="18" s="1"/>
  <c r="K135" i="18"/>
  <c r="N135" i="18" s="1"/>
  <c r="K913" i="18"/>
  <c r="N913" i="18" s="1"/>
  <c r="K572" i="18"/>
  <c r="N572" i="18" s="1"/>
  <c r="K506" i="18"/>
  <c r="N506" i="18" s="1"/>
  <c r="K442" i="18"/>
  <c r="N442" i="18" s="1"/>
  <c r="K378" i="18"/>
  <c r="N378" i="18" s="1"/>
  <c r="K311" i="18"/>
  <c r="N311" i="18" s="1"/>
  <c r="K247" i="18"/>
  <c r="N247" i="18" s="1"/>
  <c r="K182" i="18"/>
  <c r="N182" i="18" s="1"/>
  <c r="K115" i="18"/>
  <c r="N115" i="18" s="1"/>
  <c r="K690" i="18"/>
  <c r="N690" i="18" s="1"/>
  <c r="K511" i="18"/>
  <c r="N511" i="18" s="1"/>
  <c r="K447" i="18"/>
  <c r="N447" i="18" s="1"/>
  <c r="K383" i="18"/>
  <c r="N383" i="18" s="1"/>
  <c r="K168" i="18"/>
  <c r="N168" i="18" s="1"/>
  <c r="K70" i="18"/>
  <c r="N70" i="18" s="1"/>
  <c r="K8" i="18"/>
  <c r="N8" i="18" s="1"/>
  <c r="K488" i="18"/>
  <c r="N488" i="18" s="1"/>
  <c r="K380" i="18"/>
  <c r="N380" i="18" s="1"/>
  <c r="K80" i="18"/>
  <c r="N80" i="18" s="1"/>
  <c r="K817" i="18"/>
  <c r="N817" i="18" s="1"/>
  <c r="K536" i="18"/>
  <c r="N536" i="18" s="1"/>
  <c r="K285" i="18"/>
  <c r="N285" i="18" s="1"/>
  <c r="K221" i="18"/>
  <c r="N221" i="18" s="1"/>
  <c r="K91" i="18"/>
  <c r="N91" i="18" s="1"/>
  <c r="K27" i="18"/>
  <c r="N27" i="18" s="1"/>
  <c r="K504" i="18"/>
  <c r="N504" i="18" s="1"/>
  <c r="K400" i="18"/>
  <c r="N400" i="18" s="1"/>
  <c r="K72" i="18"/>
  <c r="N72" i="18" s="1"/>
  <c r="K622" i="18"/>
  <c r="N622" i="18" s="1"/>
  <c r="K196" i="18"/>
  <c r="N196" i="18" s="1"/>
  <c r="K49" i="18"/>
  <c r="N49" i="18" s="1"/>
  <c r="K12" i="18"/>
  <c r="N12" i="18" s="1"/>
  <c r="K240" i="18"/>
  <c r="N240" i="18" s="1"/>
  <c r="K93" i="18"/>
  <c r="N93" i="18" s="1"/>
  <c r="K1353" i="18"/>
  <c r="N1353" i="18" s="1"/>
  <c r="K1321" i="18"/>
  <c r="N1321" i="18" s="1"/>
  <c r="K1374" i="18"/>
  <c r="N1374" i="18" s="1"/>
  <c r="K1326" i="18"/>
  <c r="N1326" i="18" s="1"/>
  <c r="K1371" i="18"/>
  <c r="N1371" i="18" s="1"/>
  <c r="K1339" i="18"/>
  <c r="N1339" i="18" s="1"/>
  <c r="K1307" i="18"/>
  <c r="N1307" i="18" s="1"/>
  <c r="K1279" i="18"/>
  <c r="N1279" i="18" s="1"/>
  <c r="K1247" i="18"/>
  <c r="N1247" i="18" s="1"/>
  <c r="K1280" i="18"/>
  <c r="N1280" i="18" s="1"/>
  <c r="K1248" i="18"/>
  <c r="N1248" i="18" s="1"/>
  <c r="K1320" i="18"/>
  <c r="N1320" i="18" s="1"/>
  <c r="K1208" i="18"/>
  <c r="N1208" i="18" s="1"/>
  <c r="K1175" i="18"/>
  <c r="N1175" i="18" s="1"/>
  <c r="K1143" i="18"/>
  <c r="N1143" i="18" s="1"/>
  <c r="K1111" i="18"/>
  <c r="N1111" i="18" s="1"/>
  <c r="K1290" i="18"/>
  <c r="N1290" i="18" s="1"/>
  <c r="K1258" i="18"/>
  <c r="N1258" i="18" s="1"/>
  <c r="K1225" i="18"/>
  <c r="N1225" i="18" s="1"/>
  <c r="K1193" i="18"/>
  <c r="N1193" i="18" s="1"/>
  <c r="K1160" i="18"/>
  <c r="N1160" i="18" s="1"/>
  <c r="K1128" i="18"/>
  <c r="N1128" i="18" s="1"/>
  <c r="K1281" i="18"/>
  <c r="N1281" i="18" s="1"/>
  <c r="K1211" i="18"/>
  <c r="N1211" i="18" s="1"/>
  <c r="K1179" i="18"/>
  <c r="N1179" i="18" s="1"/>
  <c r="K1076" i="18"/>
  <c r="N1076" i="18" s="1"/>
  <c r="K1044" i="18"/>
  <c r="N1044" i="18" s="1"/>
  <c r="K1364" i="18"/>
  <c r="N1364" i="18" s="1"/>
  <c r="K1173" i="18"/>
  <c r="N1173" i="18" s="1"/>
  <c r="K1141" i="18"/>
  <c r="N1141" i="18" s="1"/>
  <c r="K1109" i="18"/>
  <c r="N1109" i="18" s="1"/>
  <c r="K1077" i="18"/>
  <c r="N1077" i="18" s="1"/>
  <c r="K1045" i="18"/>
  <c r="N1045" i="18" s="1"/>
  <c r="K1013" i="18"/>
  <c r="N1013" i="18" s="1"/>
  <c r="K1186" i="18"/>
  <c r="N1186" i="18" s="1"/>
  <c r="K999" i="18"/>
  <c r="N999" i="18" s="1"/>
  <c r="K967" i="18"/>
  <c r="N967" i="18" s="1"/>
  <c r="K935" i="18"/>
  <c r="N935" i="18" s="1"/>
  <c r="K903" i="18"/>
  <c r="N903" i="18" s="1"/>
  <c r="K871" i="18"/>
  <c r="N871" i="18" s="1"/>
  <c r="K839" i="18"/>
  <c r="N839" i="18" s="1"/>
  <c r="K807" i="18"/>
  <c r="N807" i="18" s="1"/>
  <c r="K775" i="18"/>
  <c r="N775" i="18" s="1"/>
  <c r="K1182" i="18"/>
  <c r="N1182" i="18" s="1"/>
  <c r="K1095" i="18"/>
  <c r="N1095" i="18" s="1"/>
  <c r="K1063" i="18"/>
  <c r="N1063" i="18" s="1"/>
  <c r="K1031" i="18"/>
  <c r="N1031" i="18" s="1"/>
  <c r="K1000" i="18"/>
  <c r="N1000" i="18" s="1"/>
  <c r="K968" i="18"/>
  <c r="N968" i="18" s="1"/>
  <c r="K936" i="18"/>
  <c r="N936" i="18" s="1"/>
  <c r="K904" i="18"/>
  <c r="N904" i="18" s="1"/>
  <c r="K872" i="18"/>
  <c r="N872" i="18" s="1"/>
  <c r="K840" i="18"/>
  <c r="N840" i="18" s="1"/>
  <c r="K808" i="18"/>
  <c r="N808" i="18" s="1"/>
  <c r="K776" i="18"/>
  <c r="N776" i="18" s="1"/>
  <c r="K1166" i="18"/>
  <c r="N1166" i="18" s="1"/>
  <c r="K1010" i="18"/>
  <c r="N1010" i="18" s="1"/>
  <c r="K978" i="18"/>
  <c r="N978" i="18" s="1"/>
  <c r="K946" i="18"/>
  <c r="N946" i="18" s="1"/>
  <c r="K914" i="18"/>
  <c r="N914" i="18" s="1"/>
  <c r="K882" i="18"/>
  <c r="N882" i="18" s="1"/>
  <c r="K850" i="18"/>
  <c r="N850" i="18" s="1"/>
  <c r="K818" i="18"/>
  <c r="N818" i="18" s="1"/>
  <c r="K786" i="18"/>
  <c r="N786" i="18" s="1"/>
  <c r="K753" i="18"/>
  <c r="N753" i="18" s="1"/>
  <c r="K721" i="18"/>
  <c r="N721" i="18" s="1"/>
  <c r="K691" i="18"/>
  <c r="N691" i="18" s="1"/>
  <c r="K659" i="18"/>
  <c r="N659" i="18" s="1"/>
  <c r="K627" i="18"/>
  <c r="N627" i="18" s="1"/>
  <c r="K595" i="18"/>
  <c r="N595" i="18" s="1"/>
  <c r="K1082" i="18"/>
  <c r="N1082" i="18" s="1"/>
  <c r="K750" i="18"/>
  <c r="N750" i="18" s="1"/>
  <c r="K718" i="18"/>
  <c r="N718" i="18" s="1"/>
  <c r="K684" i="18"/>
  <c r="N684" i="18" s="1"/>
  <c r="K652" i="18"/>
  <c r="N652" i="18" s="1"/>
  <c r="K620" i="18"/>
  <c r="N620" i="18" s="1"/>
  <c r="K1078" i="18"/>
  <c r="N1078" i="18" s="1"/>
  <c r="K949" i="18"/>
  <c r="N949" i="18" s="1"/>
  <c r="K821" i="18"/>
  <c r="N821" i="18" s="1"/>
  <c r="K929" i="18"/>
  <c r="N929" i="18" s="1"/>
  <c r="K961" i="18"/>
  <c r="N961" i="18" s="1"/>
  <c r="K789" i="18"/>
  <c r="N789" i="18" s="1"/>
  <c r="K736" i="18"/>
  <c r="N736" i="18" s="1"/>
  <c r="K813" i="18"/>
  <c r="N813" i="18" s="1"/>
  <c r="K715" i="18"/>
  <c r="N715" i="18" s="1"/>
  <c r="K681" i="18"/>
  <c r="N681" i="18" s="1"/>
  <c r="K649" i="18"/>
  <c r="N649" i="18" s="1"/>
  <c r="K617" i="18"/>
  <c r="N617" i="18" s="1"/>
  <c r="K579" i="18"/>
  <c r="N579" i="18" s="1"/>
  <c r="K550" i="18"/>
  <c r="N550" i="18" s="1"/>
  <c r="K518" i="18"/>
  <c r="N518" i="18" s="1"/>
  <c r="K485" i="18"/>
  <c r="N485" i="18" s="1"/>
  <c r="K453" i="18"/>
  <c r="N453" i="18" s="1"/>
  <c r="K421" i="18"/>
  <c r="N421" i="18" s="1"/>
  <c r="K389" i="18"/>
  <c r="N389" i="18" s="1"/>
  <c r="K355" i="18"/>
  <c r="N355" i="18" s="1"/>
  <c r="K326" i="18"/>
  <c r="N326" i="18" s="1"/>
  <c r="K294" i="18"/>
  <c r="N294" i="18" s="1"/>
  <c r="K262" i="18"/>
  <c r="N262" i="18" s="1"/>
  <c r="K230" i="18"/>
  <c r="N230" i="18" s="1"/>
  <c r="K198" i="18"/>
  <c r="N198" i="18" s="1"/>
  <c r="K165" i="18"/>
  <c r="N165" i="18" s="1"/>
  <c r="K131" i="18"/>
  <c r="N131" i="18" s="1"/>
  <c r="K876" i="18"/>
  <c r="N876" i="18" s="1"/>
  <c r="K102" i="18"/>
  <c r="N102" i="18" s="1"/>
  <c r="K873" i="18"/>
  <c r="N873" i="18" s="1"/>
  <c r="K702" i="18"/>
  <c r="N702" i="18" s="1"/>
  <c r="K568" i="18"/>
  <c r="N568" i="18" s="1"/>
  <c r="K535" i="18"/>
  <c r="N535" i="18" s="1"/>
  <c r="K502" i="18"/>
  <c r="N502" i="18" s="1"/>
  <c r="K470" i="18"/>
  <c r="N470" i="18" s="1"/>
  <c r="K438" i="18"/>
  <c r="N438" i="18" s="1"/>
  <c r="K406" i="18"/>
  <c r="N406" i="18" s="1"/>
  <c r="K372" i="18"/>
  <c r="N372" i="18" s="1"/>
  <c r="K339" i="18"/>
  <c r="N339" i="18" s="1"/>
  <c r="K307" i="18"/>
  <c r="N307" i="18" s="1"/>
  <c r="K275" i="18"/>
  <c r="N275" i="18" s="1"/>
  <c r="K243" i="18"/>
  <c r="N243" i="18" s="1"/>
  <c r="K211" i="18"/>
  <c r="N211" i="18" s="1"/>
  <c r="K1342" i="18"/>
  <c r="N1342" i="18" s="1"/>
  <c r="K1310" i="18"/>
  <c r="N1310" i="18" s="1"/>
  <c r="K1355" i="18"/>
  <c r="N1355" i="18" s="1"/>
  <c r="K1323" i="18"/>
  <c r="N1323" i="18" s="1"/>
  <c r="K1295" i="18"/>
  <c r="N1295" i="18" s="1"/>
  <c r="K1263" i="18"/>
  <c r="N1263" i="18" s="1"/>
  <c r="K1231" i="18"/>
  <c r="N1231" i="18" s="1"/>
  <c r="K1264" i="18"/>
  <c r="N1264" i="18" s="1"/>
  <c r="K1232" i="18"/>
  <c r="N1232" i="18" s="1"/>
  <c r="K1224" i="18"/>
  <c r="N1224" i="18" s="1"/>
  <c r="K1192" i="18"/>
  <c r="N1192" i="18" s="1"/>
  <c r="K1159" i="18"/>
  <c r="N1159" i="18" s="1"/>
  <c r="K1127" i="18"/>
  <c r="N1127" i="18" s="1"/>
  <c r="K1340" i="18"/>
  <c r="N1340" i="18" s="1"/>
  <c r="K1274" i="18"/>
  <c r="N1274" i="18" s="1"/>
  <c r="K1242" i="18"/>
  <c r="N1242" i="18" s="1"/>
  <c r="K1209" i="18"/>
  <c r="N1209" i="18" s="1"/>
  <c r="K1176" i="18"/>
  <c r="N1176" i="18" s="1"/>
  <c r="K1144" i="18"/>
  <c r="N1144" i="18" s="1"/>
  <c r="K1112" i="18"/>
  <c r="N1112" i="18" s="1"/>
  <c r="K1227" i="18"/>
  <c r="N1227" i="18" s="1"/>
  <c r="K1195" i="18"/>
  <c r="N1195" i="18" s="1"/>
  <c r="K1092" i="18"/>
  <c r="N1092" i="18" s="1"/>
  <c r="K1060" i="18"/>
  <c r="N1060" i="18" s="1"/>
  <c r="K1028" i="18"/>
  <c r="N1028" i="18" s="1"/>
  <c r="K1277" i="18"/>
  <c r="N1277" i="18" s="1"/>
  <c r="K1157" i="18"/>
  <c r="N1157" i="18" s="1"/>
  <c r="K1125" i="18"/>
  <c r="N1125" i="18" s="1"/>
  <c r="K1093" i="18"/>
  <c r="N1093" i="18" s="1"/>
  <c r="K1061" i="18"/>
  <c r="N1061" i="18" s="1"/>
  <c r="K1029" i="18"/>
  <c r="N1029" i="18" s="1"/>
  <c r="K1257" i="18"/>
  <c r="N1257" i="18" s="1"/>
  <c r="K1122" i="18"/>
  <c r="N1122" i="18" s="1"/>
  <c r="K983" i="18"/>
  <c r="N983" i="18" s="1"/>
  <c r="K951" i="18"/>
  <c r="N951" i="18" s="1"/>
  <c r="K919" i="18"/>
  <c r="N919" i="18" s="1"/>
  <c r="K887" i="18"/>
  <c r="N887" i="18" s="1"/>
  <c r="K855" i="18"/>
  <c r="N855" i="18" s="1"/>
  <c r="K823" i="18"/>
  <c r="N823" i="18" s="1"/>
  <c r="K791" i="18"/>
  <c r="N791" i="18" s="1"/>
  <c r="K1348" i="18"/>
  <c r="N1348" i="18" s="1"/>
  <c r="K1126" i="18"/>
  <c r="N1126" i="18" s="1"/>
  <c r="K1079" i="18"/>
  <c r="N1079" i="18" s="1"/>
  <c r="K1047" i="18"/>
  <c r="N1047" i="18" s="1"/>
  <c r="K1015" i="18"/>
  <c r="N1015" i="18" s="1"/>
  <c r="K984" i="18"/>
  <c r="N984" i="18" s="1"/>
  <c r="K952" i="18"/>
  <c r="N952" i="18" s="1"/>
  <c r="K920" i="18"/>
  <c r="N920" i="18" s="1"/>
  <c r="K888" i="18"/>
  <c r="N888" i="18" s="1"/>
  <c r="K856" i="18"/>
  <c r="N856" i="18" s="1"/>
  <c r="K824" i="18"/>
  <c r="N824" i="18" s="1"/>
  <c r="K792" i="18"/>
  <c r="N792" i="18" s="1"/>
  <c r="K1312" i="18"/>
  <c r="N1312" i="18" s="1"/>
  <c r="K1070" i="18"/>
  <c r="N1070" i="18" s="1"/>
  <c r="K994" i="18"/>
  <c r="N994" i="18" s="1"/>
  <c r="K962" i="18"/>
  <c r="N962" i="18" s="1"/>
  <c r="K930" i="18"/>
  <c r="N930" i="18" s="1"/>
  <c r="K898" i="18"/>
  <c r="N898" i="18" s="1"/>
  <c r="K866" i="18"/>
  <c r="N866" i="18" s="1"/>
  <c r="K834" i="18"/>
  <c r="N834" i="18" s="1"/>
  <c r="K802" i="18"/>
  <c r="N802" i="18" s="1"/>
  <c r="K770" i="18"/>
  <c r="N770" i="18" s="1"/>
  <c r="K737" i="18"/>
  <c r="N737" i="18" s="1"/>
  <c r="K705" i="18"/>
  <c r="N705" i="18" s="1"/>
  <c r="K675" i="18"/>
  <c r="N675" i="18" s="1"/>
  <c r="K643" i="18"/>
  <c r="N643" i="18" s="1"/>
  <c r="K611" i="18"/>
  <c r="N611" i="18" s="1"/>
  <c r="K1178" i="18"/>
  <c r="N1178" i="18" s="1"/>
  <c r="K1018" i="18"/>
  <c r="N1018" i="18" s="1"/>
  <c r="K734" i="18"/>
  <c r="N734" i="18" s="1"/>
  <c r="K700" i="18"/>
  <c r="N700" i="18" s="1"/>
  <c r="K668" i="18"/>
  <c r="N668" i="18" s="1"/>
  <c r="K636" i="18"/>
  <c r="N636" i="18" s="1"/>
  <c r="K604" i="18"/>
  <c r="N604" i="18" s="1"/>
  <c r="K1014" i="18"/>
  <c r="N1014" i="18" s="1"/>
  <c r="K885" i="18"/>
  <c r="N885" i="18" s="1"/>
  <c r="K1058" i="18"/>
  <c r="N1058" i="18" s="1"/>
  <c r="K845" i="18"/>
  <c r="N845" i="18" s="1"/>
  <c r="K877" i="18"/>
  <c r="N877" i="18" s="1"/>
  <c r="K752" i="18"/>
  <c r="N752" i="18" s="1"/>
  <c r="K969" i="18"/>
  <c r="N969" i="18" s="1"/>
  <c r="K731" i="18"/>
  <c r="N731" i="18" s="1"/>
  <c r="K697" i="18"/>
  <c r="N697" i="18" s="1"/>
  <c r="K665" i="18"/>
  <c r="N665" i="18" s="1"/>
  <c r="K633" i="18"/>
  <c r="N633" i="18" s="1"/>
  <c r="K601" i="18"/>
  <c r="N601" i="18" s="1"/>
  <c r="K563" i="18"/>
  <c r="N563" i="18" s="1"/>
  <c r="K534" i="18"/>
  <c r="N534" i="18" s="1"/>
  <c r="K501" i="18"/>
  <c r="N501" i="18" s="1"/>
  <c r="K469" i="18"/>
  <c r="N469" i="18" s="1"/>
  <c r="K437" i="18"/>
  <c r="N437" i="18" s="1"/>
  <c r="K405" i="18"/>
  <c r="N405" i="18" s="1"/>
  <c r="K371" i="18"/>
  <c r="N371" i="18" s="1"/>
  <c r="K342" i="18"/>
  <c r="N342" i="18" s="1"/>
  <c r="K310" i="18"/>
  <c r="N310" i="18" s="1"/>
  <c r="K278" i="18"/>
  <c r="N278" i="18" s="1"/>
  <c r="K246" i="18"/>
  <c r="N246" i="18" s="1"/>
  <c r="K214" i="18"/>
  <c r="N214" i="18" s="1"/>
  <c r="K181" i="18"/>
  <c r="N181" i="18" s="1"/>
  <c r="K148" i="18"/>
  <c r="N148" i="18" s="1"/>
  <c r="K118" i="18"/>
  <c r="N118" i="18" s="1"/>
  <c r="K1090" i="18"/>
  <c r="N1090" i="18" s="1"/>
  <c r="K765" i="18"/>
  <c r="N765" i="18" s="1"/>
  <c r="K584" i="18"/>
  <c r="N584" i="18" s="1"/>
  <c r="K551" i="18"/>
  <c r="N551" i="18" s="1"/>
  <c r="K519" i="18"/>
  <c r="N519" i="18" s="1"/>
  <c r="K486" i="18"/>
  <c r="N486" i="18" s="1"/>
  <c r="K454" i="18"/>
  <c r="N454" i="18" s="1"/>
  <c r="K422" i="18"/>
  <c r="N422" i="18" s="1"/>
  <c r="K390" i="18"/>
  <c r="N390" i="18" s="1"/>
  <c r="K356" i="18"/>
  <c r="N356" i="18" s="1"/>
  <c r="K323" i="18"/>
  <c r="N323" i="18" s="1"/>
  <c r="K291" i="18"/>
  <c r="N291" i="18" s="1"/>
  <c r="K259" i="18"/>
  <c r="N259" i="18" s="1"/>
  <c r="K227" i="18"/>
  <c r="N227" i="18" s="1"/>
  <c r="K194" i="18"/>
  <c r="N194" i="18" s="1"/>
  <c r="K178" i="18"/>
  <c r="N178" i="18" s="1"/>
  <c r="K145" i="18"/>
  <c r="N145" i="18" s="1"/>
  <c r="K111" i="18"/>
  <c r="N111" i="18" s="1"/>
  <c r="K905" i="18"/>
  <c r="N905" i="18" s="1"/>
  <c r="K674" i="18"/>
  <c r="N674" i="18" s="1"/>
  <c r="K581" i="18"/>
  <c r="N581" i="18" s="1"/>
  <c r="K507" i="18"/>
  <c r="N507" i="18" s="1"/>
  <c r="K475" i="18"/>
  <c r="N475" i="18" s="1"/>
  <c r="K443" i="18"/>
  <c r="N443" i="18" s="1"/>
  <c r="K411" i="18"/>
  <c r="N411" i="18" s="1"/>
  <c r="K379" i="18"/>
  <c r="N379" i="18" s="1"/>
  <c r="K346" i="18"/>
  <c r="N346" i="18" s="1"/>
  <c r="K164" i="18"/>
  <c r="N164" i="18" s="1"/>
  <c r="K121" i="18"/>
  <c r="N121" i="18" s="1"/>
  <c r="K66" i="18"/>
  <c r="N66" i="18" s="1"/>
  <c r="K34" i="18"/>
  <c r="N34" i="18" s="1"/>
  <c r="K751" i="18"/>
  <c r="N751" i="18" s="1"/>
  <c r="K578" i="18"/>
  <c r="N578" i="18" s="1"/>
  <c r="K484" i="18"/>
  <c r="N484" i="18" s="1"/>
  <c r="K432" i="18"/>
  <c r="N432" i="18" s="1"/>
  <c r="K369" i="18"/>
  <c r="N369" i="18" s="1"/>
  <c r="K183" i="18"/>
  <c r="N183" i="18" s="1"/>
  <c r="K76" i="18"/>
  <c r="N76" i="18" s="1"/>
  <c r="K11" i="18"/>
  <c r="N11" i="18" s="1"/>
  <c r="K678" i="18"/>
  <c r="N678" i="18" s="1"/>
  <c r="K548" i="18"/>
  <c r="N548" i="18" s="1"/>
  <c r="K516" i="18"/>
  <c r="N516" i="18" s="1"/>
  <c r="K313" i="18"/>
  <c r="N313" i="18" s="1"/>
  <c r="K281" i="18"/>
  <c r="N281" i="18" s="1"/>
  <c r="K249" i="18"/>
  <c r="N249" i="18" s="1"/>
  <c r="K217" i="18"/>
  <c r="N217" i="18" s="1"/>
  <c r="K142" i="18"/>
  <c r="N142" i="18" s="1"/>
  <c r="K87" i="18"/>
  <c r="N87" i="18" s="1"/>
  <c r="K55" i="18"/>
  <c r="N55" i="18" s="1"/>
  <c r="K23" i="18"/>
  <c r="N23" i="18" s="1"/>
  <c r="K590" i="18"/>
  <c r="N590" i="18" s="1"/>
  <c r="K476" i="18"/>
  <c r="N476" i="18" s="1"/>
  <c r="K396" i="18"/>
  <c r="N396" i="18" s="1"/>
  <c r="K167" i="18"/>
  <c r="N167" i="18" s="1"/>
  <c r="K68" i="18"/>
  <c r="N68" i="18" s="1"/>
  <c r="K797" i="18"/>
  <c r="N797" i="18" s="1"/>
  <c r="K6" i="18"/>
  <c r="N6" i="18" s="1"/>
  <c r="K300" i="18"/>
  <c r="N300" i="18" s="1"/>
  <c r="K224" i="18"/>
  <c r="N224" i="18" s="1"/>
  <c r="K113" i="18"/>
  <c r="N113" i="18" s="1"/>
  <c r="K45" i="18"/>
  <c r="N45" i="18" s="1"/>
  <c r="K545" i="18"/>
  <c r="N545" i="18" s="1"/>
  <c r="K686" i="18"/>
  <c r="N686" i="18" s="1"/>
  <c r="K280" i="18"/>
  <c r="N280" i="18" s="1"/>
  <c r="K236" i="18"/>
  <c r="N236" i="18" s="1"/>
  <c r="K849" i="18"/>
  <c r="N849" i="18" s="1"/>
  <c r="K85" i="18"/>
  <c r="N85" i="18" s="1"/>
  <c r="K21" i="18"/>
  <c r="N21" i="18" s="1"/>
  <c r="K1349" i="18"/>
  <c r="N1349" i="18" s="1"/>
  <c r="K1317" i="18"/>
  <c r="N1317" i="18" s="1"/>
  <c r="K1370" i="18"/>
  <c r="N1370" i="18" s="1"/>
  <c r="K1338" i="18"/>
  <c r="N1338" i="18" s="1"/>
  <c r="K1306" i="18"/>
  <c r="N1306" i="18" s="1"/>
  <c r="K1351" i="18"/>
  <c r="N1351" i="18" s="1"/>
  <c r="K1319" i="18"/>
  <c r="N1319" i="18" s="1"/>
  <c r="K1291" i="18"/>
  <c r="N1291" i="18" s="1"/>
  <c r="K1259" i="18"/>
  <c r="N1259" i="18" s="1"/>
  <c r="K1292" i="18"/>
  <c r="N1292" i="18" s="1"/>
  <c r="K1260" i="18"/>
  <c r="N1260" i="18" s="1"/>
  <c r="K1368" i="18"/>
  <c r="N1368" i="18" s="1"/>
  <c r="K1220" i="18"/>
  <c r="N1220" i="18" s="1"/>
  <c r="K1188" i="18"/>
  <c r="N1188" i="18" s="1"/>
  <c r="K1155" i="18"/>
  <c r="N1155" i="18" s="1"/>
  <c r="K1123" i="18"/>
  <c r="N1123" i="18" s="1"/>
  <c r="K1324" i="18"/>
  <c r="N1324" i="18" s="1"/>
  <c r="K1270" i="18"/>
  <c r="N1270" i="18" s="1"/>
  <c r="K1238" i="18"/>
  <c r="N1238" i="18" s="1"/>
  <c r="K1205" i="18"/>
  <c r="N1205" i="18" s="1"/>
  <c r="K1172" i="18"/>
  <c r="N1172" i="18" s="1"/>
  <c r="K1140" i="18"/>
  <c r="N1140" i="18" s="1"/>
  <c r="K1108" i="18"/>
  <c r="N1108" i="18" s="1"/>
  <c r="K1223" i="18"/>
  <c r="N1223" i="18" s="1"/>
  <c r="K1191" i="18"/>
  <c r="N1191" i="18" s="1"/>
  <c r="K1088" i="18"/>
  <c r="N1088" i="18" s="1"/>
  <c r="K1056" i="18"/>
  <c r="N1056" i="18" s="1"/>
  <c r="K1024" i="18"/>
  <c r="N1024" i="18" s="1"/>
  <c r="K1261" i="18"/>
  <c r="N1261" i="18" s="1"/>
  <c r="K1153" i="18"/>
  <c r="N1153" i="18" s="1"/>
  <c r="K1121" i="18"/>
  <c r="N1121" i="18" s="1"/>
  <c r="K1089" i="18"/>
  <c r="N1089" i="18" s="1"/>
  <c r="K1057" i="18"/>
  <c r="N1057" i="18" s="1"/>
  <c r="K1025" i="18"/>
  <c r="N1025" i="18" s="1"/>
  <c r="K1253" i="18"/>
  <c r="N1253" i="18" s="1"/>
  <c r="K1011" i="18"/>
  <c r="N1011" i="18" s="1"/>
  <c r="K979" i="18"/>
  <c r="N979" i="18" s="1"/>
  <c r="K947" i="18"/>
  <c r="N947" i="18" s="1"/>
  <c r="K915" i="18"/>
  <c r="N915" i="18" s="1"/>
  <c r="K883" i="18"/>
  <c r="N883" i="18" s="1"/>
  <c r="K851" i="18"/>
  <c r="N851" i="18" s="1"/>
  <c r="K819" i="18"/>
  <c r="N819" i="18" s="1"/>
  <c r="K787" i="18"/>
  <c r="N787" i="18" s="1"/>
  <c r="K1230" i="18"/>
  <c r="N1230" i="18" s="1"/>
  <c r="K1110" i="18"/>
  <c r="N1110" i="18" s="1"/>
  <c r="K1059" i="18"/>
  <c r="N1059" i="18" s="1"/>
  <c r="K1012" i="18"/>
  <c r="N1012" i="18" s="1"/>
  <c r="K980" i="18"/>
  <c r="N980" i="18" s="1"/>
  <c r="K90" i="18"/>
  <c r="N90" i="18" s="1"/>
  <c r="K916" i="18"/>
  <c r="N916" i="18" s="1"/>
  <c r="K820" i="18"/>
  <c r="N820" i="18" s="1"/>
  <c r="K990" i="18"/>
  <c r="N990" i="18" s="1"/>
  <c r="K852" i="18"/>
  <c r="N852" i="18" s="1"/>
  <c r="K1054" i="18"/>
  <c r="N1054" i="18" s="1"/>
  <c r="K1269" i="18"/>
  <c r="N1269" i="18" s="1"/>
  <c r="K894" i="18"/>
  <c r="N894" i="18" s="1"/>
  <c r="K830" i="18"/>
  <c r="N830" i="18" s="1"/>
  <c r="K749" i="18"/>
  <c r="N749" i="18" s="1"/>
  <c r="K623" i="18"/>
  <c r="N623" i="18" s="1"/>
  <c r="K714" i="18"/>
  <c r="N714" i="18" s="1"/>
  <c r="K1074" i="18"/>
  <c r="N1074" i="18" s="1"/>
  <c r="K941" i="18"/>
  <c r="N941" i="18" s="1"/>
  <c r="K711" i="18"/>
  <c r="N711" i="18" s="1"/>
  <c r="K591" i="18"/>
  <c r="N591" i="18" s="1"/>
  <c r="K465" i="18"/>
  <c r="N465" i="18" s="1"/>
  <c r="K322" i="18"/>
  <c r="N322" i="18" s="1"/>
  <c r="K193" i="18"/>
  <c r="N193" i="18" s="1"/>
  <c r="K829" i="18"/>
  <c r="N829" i="18" s="1"/>
  <c r="K498" i="18"/>
  <c r="N498" i="18" s="1"/>
  <c r="K368" i="18"/>
  <c r="N368" i="18" s="1"/>
  <c r="K239" i="18"/>
  <c r="N239" i="18" s="1"/>
  <c r="K1237" i="18"/>
  <c r="N1237" i="18" s="1"/>
  <c r="K487" i="18"/>
  <c r="N487" i="18" s="1"/>
  <c r="K358" i="18"/>
  <c r="N358" i="18" s="1"/>
  <c r="K46" i="18"/>
  <c r="N46" i="18" s="1"/>
  <c r="K452" i="18"/>
  <c r="N452" i="18" s="1"/>
  <c r="K36" i="18"/>
  <c r="N36" i="18" s="1"/>
  <c r="K341" i="18"/>
  <c r="N341" i="18" s="1"/>
  <c r="K213" i="18"/>
  <c r="N213" i="18" s="1"/>
  <c r="K388" i="18"/>
  <c r="N388" i="18" s="1"/>
  <c r="K1162" i="18"/>
  <c r="N1162" i="18" s="1"/>
  <c r="K37" i="18"/>
  <c r="N37" i="18" s="1"/>
  <c r="K248" i="18"/>
  <c r="N248" i="18" s="1"/>
  <c r="K525" i="18"/>
  <c r="N525" i="18" s="1"/>
  <c r="K162" i="18"/>
  <c r="N162" i="18" s="1"/>
  <c r="K95" i="18"/>
  <c r="N95" i="18" s="1"/>
  <c r="K610" i="18"/>
  <c r="N610" i="18" s="1"/>
  <c r="K491" i="18"/>
  <c r="N491" i="18" s="1"/>
  <c r="K427" i="18"/>
  <c r="N427" i="18" s="1"/>
  <c r="K362" i="18"/>
  <c r="N362" i="18" s="1"/>
  <c r="K137" i="18"/>
  <c r="N137" i="18" s="1"/>
  <c r="K50" i="18"/>
  <c r="N50" i="18" s="1"/>
  <c r="K650" i="18"/>
  <c r="N650" i="18" s="1"/>
  <c r="K456" i="18"/>
  <c r="N456" i="18" s="1"/>
  <c r="K349" i="18"/>
  <c r="N349" i="18" s="1"/>
  <c r="K44" i="18"/>
  <c r="N44" i="18" s="1"/>
  <c r="K614" i="18"/>
  <c r="N614" i="18" s="1"/>
  <c r="K329" i="18"/>
  <c r="N329" i="18" s="1"/>
  <c r="K265" i="18"/>
  <c r="N265" i="18" s="1"/>
  <c r="K201" i="18"/>
  <c r="N201" i="18" s="1"/>
  <c r="K71" i="18"/>
  <c r="N71" i="18" s="1"/>
  <c r="K801" i="18"/>
  <c r="N801" i="18" s="1"/>
  <c r="K412" i="18"/>
  <c r="N412" i="18" s="1"/>
  <c r="K92" i="18"/>
  <c r="N92" i="18" s="1"/>
  <c r="K593" i="18"/>
  <c r="N593" i="18" s="1"/>
  <c r="K272" i="18"/>
  <c r="N272" i="18" s="1"/>
  <c r="K73" i="18"/>
  <c r="N73" i="18" s="1"/>
  <c r="K117" i="18"/>
  <c r="N117" i="18" s="1"/>
  <c r="K256" i="18"/>
  <c r="N256" i="18" s="1"/>
  <c r="K533" i="18"/>
  <c r="N533" i="18" s="1"/>
  <c r="K1365" i="18"/>
  <c r="N1365" i="18" s="1"/>
  <c r="K1301" i="18"/>
  <c r="N1301" i="18" s="1"/>
  <c r="K1322" i="18"/>
  <c r="N1322" i="18" s="1"/>
  <c r="K1335" i="18"/>
  <c r="N1335" i="18" s="1"/>
  <c r="K1275" i="18"/>
  <c r="N1275" i="18" s="1"/>
  <c r="K1276" i="18"/>
  <c r="N1276" i="18" s="1"/>
  <c r="K948" i="18"/>
  <c r="N948" i="18" s="1"/>
  <c r="K958" i="18"/>
  <c r="N958" i="18" s="1"/>
  <c r="K5" i="18"/>
  <c r="N5" i="18" s="1"/>
  <c r="O5" i="18" s="1"/>
  <c r="Q5" i="18" s="1"/>
  <c r="R5" i="18" s="1"/>
  <c r="K884" i="18"/>
  <c r="N884" i="18" s="1"/>
  <c r="K926" i="18"/>
  <c r="N926" i="18" s="1"/>
  <c r="K862" i="18"/>
  <c r="N862" i="18" s="1"/>
  <c r="K798" i="18"/>
  <c r="N798" i="18" s="1"/>
  <c r="K687" i="18"/>
  <c r="N687" i="18" s="1"/>
  <c r="K762" i="18"/>
  <c r="N762" i="18" s="1"/>
  <c r="K648" i="18"/>
  <c r="N648" i="18" s="1"/>
  <c r="K1273" i="18"/>
  <c r="N1273" i="18" s="1"/>
  <c r="K748" i="18"/>
  <c r="N748" i="18" s="1"/>
  <c r="K661" i="18"/>
  <c r="N661" i="18" s="1"/>
  <c r="K530" i="18"/>
  <c r="N530" i="18" s="1"/>
  <c r="K401" i="18"/>
  <c r="N401" i="18" s="1"/>
  <c r="K258" i="18"/>
  <c r="N258" i="18" s="1"/>
  <c r="K127" i="18"/>
  <c r="N127" i="18" s="1"/>
  <c r="K564" i="18"/>
  <c r="N564" i="18" s="1"/>
  <c r="K434" i="18"/>
  <c r="N434" i="18" s="1"/>
  <c r="K303" i="18"/>
  <c r="N303" i="18" s="1"/>
  <c r="K158" i="18"/>
  <c r="N158" i="18" s="1"/>
  <c r="K597" i="18"/>
  <c r="N597" i="18" s="1"/>
  <c r="K423" i="18"/>
  <c r="N423" i="18" s="1"/>
  <c r="K133" i="18"/>
  <c r="N133" i="18" s="1"/>
  <c r="K634" i="18"/>
  <c r="N634" i="18" s="1"/>
  <c r="K345" i="18"/>
  <c r="N345" i="18" s="1"/>
  <c r="K592" i="18"/>
  <c r="N592" i="18" s="1"/>
  <c r="K277" i="18"/>
  <c r="N277" i="18" s="1"/>
  <c r="K586" i="18"/>
  <c r="N586" i="18" s="1"/>
  <c r="K60" i="18"/>
  <c r="N60" i="18" s="1"/>
  <c r="K557" i="18"/>
  <c r="N557" i="18" s="1"/>
  <c r="K340" i="18"/>
  <c r="N340" i="18" s="1"/>
  <c r="K204" i="18"/>
  <c r="N204" i="18" s="1"/>
  <c r="K41" i="18"/>
  <c r="N41" i="18" s="1"/>
  <c r="K128" i="18"/>
  <c r="N128" i="18" s="1"/>
  <c r="K743" i="18"/>
  <c r="N743" i="18" s="1"/>
  <c r="K565" i="18"/>
  <c r="N565" i="18" s="1"/>
  <c r="K459" i="18"/>
  <c r="N459" i="18" s="1"/>
  <c r="K395" i="18"/>
  <c r="N395" i="18" s="1"/>
  <c r="K180" i="18"/>
  <c r="N180" i="18" s="1"/>
  <c r="K82" i="18"/>
  <c r="N82" i="18" s="1"/>
  <c r="K18" i="18"/>
  <c r="N18" i="18" s="1"/>
  <c r="K562" i="18"/>
  <c r="N562" i="18" s="1"/>
  <c r="K416" i="18"/>
  <c r="N416" i="18" s="1"/>
  <c r="K134" i="18"/>
  <c r="N134" i="18" s="1"/>
  <c r="K777" i="18"/>
  <c r="N777" i="18" s="1"/>
  <c r="K532" i="18"/>
  <c r="N532" i="18" s="1"/>
  <c r="K297" i="18"/>
  <c r="N297" i="18" s="1"/>
  <c r="K233" i="18"/>
  <c r="N233" i="18" s="1"/>
  <c r="K104" i="18"/>
  <c r="N104" i="18" s="1"/>
  <c r="K39" i="18"/>
  <c r="N39" i="18" s="1"/>
  <c r="K500" i="18"/>
  <c r="N500" i="18" s="1"/>
  <c r="K365" i="18"/>
  <c r="N365" i="18" s="1"/>
  <c r="K32" i="18"/>
  <c r="N32" i="18" s="1"/>
  <c r="K336" i="18"/>
  <c r="N336" i="18" s="1"/>
  <c r="K7" i="18"/>
  <c r="N7" i="18" s="1"/>
  <c r="K13" i="18"/>
  <c r="N13" i="18" s="1"/>
  <c r="K316" i="18"/>
  <c r="N316" i="18" s="1"/>
  <c r="K208" i="18"/>
  <c r="N208" i="18" s="1"/>
  <c r="K57" i="18"/>
  <c r="N57" i="18" s="1"/>
  <c r="K1333" i="18"/>
  <c r="N1333" i="18" s="1"/>
  <c r="K1354" i="18"/>
  <c r="N1354" i="18" s="1"/>
  <c r="K1367" i="18"/>
  <c r="N1367" i="18" s="1"/>
  <c r="K1303" i="18"/>
  <c r="N1303" i="18" s="1"/>
  <c r="K1243" i="18"/>
  <c r="N1243" i="18" s="1"/>
  <c r="K4" i="18"/>
  <c r="N4" i="18" s="1"/>
  <c r="K788" i="18"/>
  <c r="N788" i="18" s="1"/>
  <c r="K1244" i="18"/>
  <c r="N1244" i="18" s="1"/>
  <c r="K1304" i="18"/>
  <c r="N1304" i="18" s="1"/>
  <c r="K1204" i="18"/>
  <c r="N1204" i="18" s="1"/>
  <c r="K1171" i="18"/>
  <c r="N1171" i="18" s="1"/>
  <c r="K1139" i="18"/>
  <c r="N1139" i="18" s="1"/>
  <c r="K1107" i="18"/>
  <c r="N1107" i="18" s="1"/>
  <c r="K1286" i="18"/>
  <c r="N1286" i="18" s="1"/>
  <c r="K1254" i="18"/>
  <c r="N1254" i="18" s="1"/>
  <c r="K1221" i="18"/>
  <c r="N1221" i="18" s="1"/>
  <c r="K1189" i="18"/>
  <c r="N1189" i="18" s="1"/>
  <c r="K1156" i="18"/>
  <c r="N1156" i="18" s="1"/>
  <c r="K1124" i="18"/>
  <c r="N1124" i="18" s="1"/>
  <c r="K1265" i="18"/>
  <c r="N1265" i="18" s="1"/>
  <c r="K1207" i="18"/>
  <c r="N1207" i="18" s="1"/>
  <c r="K1104" i="18"/>
  <c r="N1104" i="18" s="1"/>
  <c r="K1072" i="18"/>
  <c r="N1072" i="18" s="1"/>
  <c r="K1040" i="18"/>
  <c r="N1040" i="18" s="1"/>
  <c r="K1332" i="18"/>
  <c r="N1332" i="18" s="1"/>
  <c r="K1169" i="18"/>
  <c r="N1169" i="18" s="1"/>
  <c r="K1137" i="18"/>
  <c r="N1137" i="18" s="1"/>
  <c r="K1105" i="18"/>
  <c r="N1105" i="18" s="1"/>
  <c r="K1073" i="18"/>
  <c r="N1073" i="18" s="1"/>
  <c r="K1041" i="18"/>
  <c r="N1041" i="18" s="1"/>
  <c r="K1344" i="18"/>
  <c r="N1344" i="18" s="1"/>
  <c r="K1170" i="18"/>
  <c r="N1170" i="18" s="1"/>
  <c r="K995" i="18"/>
  <c r="N995" i="18" s="1"/>
  <c r="K963" i="18"/>
  <c r="N963" i="18" s="1"/>
  <c r="K931" i="18"/>
  <c r="N931" i="18" s="1"/>
  <c r="K899" i="18"/>
  <c r="N899" i="18" s="1"/>
  <c r="K867" i="18"/>
  <c r="N867" i="18" s="1"/>
  <c r="K835" i="18"/>
  <c r="N835" i="18" s="1"/>
  <c r="K803" i="18"/>
  <c r="N803" i="18" s="1"/>
  <c r="K771" i="18"/>
  <c r="N771" i="18" s="1"/>
  <c r="K1174" i="18"/>
  <c r="N1174" i="18" s="1"/>
  <c r="K1075" i="18"/>
  <c r="N1075" i="18" s="1"/>
  <c r="K1027" i="18"/>
  <c r="N1027" i="18" s="1"/>
  <c r="K996" i="18"/>
  <c r="N996" i="18" s="1"/>
  <c r="K964" i="18"/>
  <c r="N964" i="18" s="1"/>
  <c r="K932" i="18"/>
  <c r="N932" i="18" s="1"/>
  <c r="K900" i="18"/>
  <c r="N900" i="18" s="1"/>
  <c r="K868" i="18"/>
  <c r="N868" i="18" s="1"/>
  <c r="K836" i="18"/>
  <c r="N836" i="18" s="1"/>
  <c r="K804" i="18"/>
  <c r="N804" i="18" s="1"/>
  <c r="K772" i="18"/>
  <c r="N772" i="18" s="1"/>
  <c r="K1134" i="18"/>
  <c r="N1134" i="18" s="1"/>
  <c r="K1006" i="18"/>
  <c r="N1006" i="18" s="1"/>
  <c r="K974" i="18"/>
  <c r="N974" i="18" s="1"/>
  <c r="K942" i="18"/>
  <c r="N942" i="18" s="1"/>
  <c r="K910" i="18"/>
  <c r="N910" i="18" s="1"/>
  <c r="K878" i="18"/>
  <c r="N878" i="18" s="1"/>
  <c r="K846" i="18"/>
  <c r="N846" i="18" s="1"/>
  <c r="K814" i="18"/>
  <c r="N814" i="18" s="1"/>
  <c r="K766" i="18"/>
  <c r="N766" i="18" s="1"/>
  <c r="K717" i="18"/>
  <c r="N717" i="18" s="1"/>
  <c r="K655" i="18"/>
  <c r="N655" i="18" s="1"/>
  <c r="K1146" i="18"/>
  <c r="N1146" i="18" s="1"/>
  <c r="K730" i="18"/>
  <c r="N730" i="18" s="1"/>
  <c r="K680" i="18"/>
  <c r="N680" i="18" s="1"/>
  <c r="K616" i="18"/>
  <c r="N616" i="18" s="1"/>
  <c r="K933" i="18"/>
  <c r="N933" i="18" s="1"/>
  <c r="K909" i="18"/>
  <c r="N909" i="18" s="1"/>
  <c r="K773" i="18"/>
  <c r="N773" i="18" s="1"/>
  <c r="K793" i="18"/>
  <c r="N793" i="18" s="1"/>
  <c r="K677" i="18"/>
  <c r="N677" i="18" s="1"/>
  <c r="K629" i="18"/>
  <c r="N629" i="18" s="1"/>
  <c r="K559" i="18"/>
  <c r="N559" i="18" s="1"/>
  <c r="K497" i="18"/>
  <c r="N497" i="18" s="1"/>
  <c r="K433" i="18"/>
  <c r="N433" i="18" s="1"/>
  <c r="K367" i="18"/>
  <c r="N367" i="18" s="1"/>
  <c r="K290" i="18"/>
  <c r="N290" i="18" s="1"/>
  <c r="K226" i="18"/>
  <c r="N226" i="18" s="1"/>
  <c r="K161" i="18"/>
  <c r="N161" i="18" s="1"/>
  <c r="K98" i="18"/>
  <c r="N98" i="18" s="1"/>
  <c r="K598" i="18"/>
  <c r="N598" i="18" s="1"/>
  <c r="K531" i="18"/>
  <c r="N531" i="18" s="1"/>
  <c r="K466" i="18"/>
  <c r="N466" i="18" s="1"/>
  <c r="K402" i="18"/>
  <c r="N402" i="18" s="1"/>
  <c r="K335" i="18"/>
  <c r="N335" i="18" s="1"/>
  <c r="K271" i="18"/>
  <c r="N271" i="18" s="1"/>
  <c r="K190" i="18"/>
  <c r="N190" i="18" s="1"/>
  <c r="K124" i="18"/>
  <c r="N124" i="18" s="1"/>
  <c r="K728" i="18"/>
  <c r="N728" i="18" s="1"/>
  <c r="K561" i="18"/>
  <c r="N561" i="18" s="1"/>
  <c r="K455" i="18"/>
  <c r="N455" i="18" s="1"/>
  <c r="K391" i="18"/>
  <c r="N391" i="18" s="1"/>
  <c r="K176" i="18"/>
  <c r="N176" i="18" s="1"/>
  <c r="K78" i="18"/>
  <c r="N78" i="18" s="1"/>
  <c r="K14" i="18"/>
  <c r="N14" i="18" s="1"/>
  <c r="K512" i="18"/>
  <c r="N512" i="18" s="1"/>
  <c r="K392" i="18"/>
  <c r="N392" i="18" s="1"/>
  <c r="K126" i="18"/>
  <c r="N126" i="18" s="1"/>
  <c r="K732" i="18"/>
  <c r="N732" i="18" s="1"/>
  <c r="K528" i="18"/>
  <c r="N528" i="18" s="1"/>
  <c r="K309" i="18"/>
  <c r="N309" i="18" s="1"/>
  <c r="K245" i="18"/>
  <c r="N245" i="18" s="1"/>
  <c r="K19" i="18"/>
  <c r="N19" i="18" s="1"/>
  <c r="K472" i="18"/>
  <c r="N472" i="18" s="1"/>
  <c r="K163" i="18"/>
  <c r="N163" i="18" s="1"/>
  <c r="K724" i="18"/>
  <c r="N724" i="18" s="1"/>
  <c r="K268" i="18"/>
  <c r="N268" i="18" s="1"/>
  <c r="K61" i="18"/>
  <c r="N61" i="18" s="1"/>
  <c r="K537" i="18"/>
  <c r="N537" i="18" s="1"/>
  <c r="K276" i="18"/>
  <c r="N276" i="18" s="1"/>
  <c r="K228" i="18"/>
  <c r="N228" i="18" s="1"/>
  <c r="K708" i="18"/>
  <c r="N708" i="18" s="1"/>
  <c r="K81" i="18"/>
  <c r="N81" i="18" s="1"/>
  <c r="K1091" i="18"/>
  <c r="N1091" i="18" s="1"/>
  <c r="O61" i="18" l="1"/>
  <c r="P61" i="18"/>
  <c r="O391" i="18"/>
  <c r="P391" i="18"/>
  <c r="O629" i="18"/>
  <c r="P629" i="18"/>
  <c r="O910" i="18"/>
  <c r="P910" i="18"/>
  <c r="O996" i="18"/>
  <c r="P996" i="18"/>
  <c r="O1040" i="18"/>
  <c r="P1040" i="18"/>
  <c r="O1139" i="18"/>
  <c r="P1139" i="18"/>
  <c r="O365" i="18"/>
  <c r="P365" i="18"/>
  <c r="O565" i="18"/>
  <c r="P565" i="18"/>
  <c r="O762" i="18"/>
  <c r="P762" i="18"/>
  <c r="O268" i="18"/>
  <c r="P268" i="18"/>
  <c r="O14" i="18"/>
  <c r="P14" i="18"/>
  <c r="O190" i="18"/>
  <c r="P190" i="18"/>
  <c r="O433" i="18"/>
  <c r="P433" i="18"/>
  <c r="O933" i="18"/>
  <c r="P933" i="18"/>
  <c r="O814" i="18"/>
  <c r="P814" i="18"/>
  <c r="O772" i="18"/>
  <c r="P772" i="18"/>
  <c r="O1027" i="18"/>
  <c r="P1027" i="18"/>
  <c r="O1344" i="18"/>
  <c r="P1344" i="18"/>
  <c r="O1072" i="18"/>
  <c r="P1072" i="18"/>
  <c r="O1171" i="18"/>
  <c r="P1171" i="18"/>
  <c r="O1303" i="18"/>
  <c r="P1303" i="18"/>
  <c r="O500" i="18"/>
  <c r="P500" i="18"/>
  <c r="O416" i="18"/>
  <c r="P416" i="18"/>
  <c r="O340" i="18"/>
  <c r="P340" i="18"/>
  <c r="O133" i="18"/>
  <c r="P133" i="18"/>
  <c r="O748" i="18"/>
  <c r="P748" i="18"/>
  <c r="O1276" i="18"/>
  <c r="P1276" i="18"/>
  <c r="O117" i="18"/>
  <c r="P117" i="18"/>
  <c r="O44" i="18"/>
  <c r="P44" i="18"/>
  <c r="O491" i="18"/>
  <c r="P491" i="18"/>
  <c r="O452" i="18"/>
  <c r="P452" i="18"/>
  <c r="O829" i="18"/>
  <c r="P829" i="18"/>
  <c r="O714" i="18"/>
  <c r="P714" i="18"/>
  <c r="O1024" i="18"/>
  <c r="P1024" i="18"/>
  <c r="O1091" i="18"/>
  <c r="P1091" i="18"/>
  <c r="O276" i="18"/>
  <c r="P276" i="18"/>
  <c r="O724" i="18"/>
  <c r="P724" i="18"/>
  <c r="O245" i="18"/>
  <c r="P245" i="18"/>
  <c r="O126" i="18"/>
  <c r="P126" i="18"/>
  <c r="O78" i="18"/>
  <c r="P78" i="18"/>
  <c r="O561" i="18"/>
  <c r="P561" i="18"/>
  <c r="O271" i="18"/>
  <c r="P271" i="18"/>
  <c r="O531" i="18"/>
  <c r="P531" i="18"/>
  <c r="O226" i="18"/>
  <c r="P226" i="18"/>
  <c r="O497" i="18"/>
  <c r="P497" i="18"/>
  <c r="O793" i="18"/>
  <c r="P793" i="18"/>
  <c r="O616" i="18"/>
  <c r="P616" i="18"/>
  <c r="O655" i="18"/>
  <c r="P655" i="18"/>
  <c r="O846" i="18"/>
  <c r="P846" i="18"/>
  <c r="O974" i="18"/>
  <c r="P974" i="18"/>
  <c r="O804" i="18"/>
  <c r="P804" i="18"/>
  <c r="O932" i="18"/>
  <c r="P932" i="18"/>
  <c r="O1075" i="18"/>
  <c r="P1075" i="18"/>
  <c r="O835" i="18"/>
  <c r="P835" i="18"/>
  <c r="O963" i="18"/>
  <c r="P963" i="18"/>
  <c r="O1041" i="18"/>
  <c r="P1041" i="18"/>
  <c r="O1169" i="18"/>
  <c r="Q433" i="18" s="1"/>
  <c r="R433" i="18" s="1"/>
  <c r="P1169" i="18"/>
  <c r="O1104" i="18"/>
  <c r="P1104" i="18"/>
  <c r="O1156" i="18"/>
  <c r="P1156" i="18"/>
  <c r="O1286" i="18"/>
  <c r="P1286" i="18"/>
  <c r="O1204" i="18"/>
  <c r="P1204" i="18"/>
  <c r="K1379" i="18"/>
  <c r="O1367" i="18"/>
  <c r="P1367" i="18"/>
  <c r="O208" i="18"/>
  <c r="P208" i="18"/>
  <c r="O336" i="18"/>
  <c r="P336" i="18"/>
  <c r="O39" i="18"/>
  <c r="P39" i="18"/>
  <c r="O532" i="18"/>
  <c r="P532" i="18"/>
  <c r="O562" i="18"/>
  <c r="P562" i="18"/>
  <c r="O395" i="18"/>
  <c r="P395" i="18"/>
  <c r="O128" i="18"/>
  <c r="P128" i="18"/>
  <c r="O557" i="18"/>
  <c r="P557" i="18"/>
  <c r="O592" i="18"/>
  <c r="P592" i="18"/>
  <c r="O423" i="18"/>
  <c r="P423" i="18"/>
  <c r="O434" i="18"/>
  <c r="P434" i="18"/>
  <c r="O401" i="18"/>
  <c r="P401" i="18"/>
  <c r="O1273" i="18"/>
  <c r="P1273" i="18"/>
  <c r="O798" i="18"/>
  <c r="P798" i="18"/>
  <c r="O1275" i="18"/>
  <c r="P1275" i="18"/>
  <c r="O1365" i="18"/>
  <c r="P1365" i="18"/>
  <c r="O73" i="18"/>
  <c r="P73" i="18"/>
  <c r="O412" i="18"/>
  <c r="P412" i="18"/>
  <c r="O265" i="18"/>
  <c r="Q1072" i="18" s="1"/>
  <c r="R1072" i="18" s="1"/>
  <c r="P265" i="18"/>
  <c r="O349" i="18"/>
  <c r="P349" i="18"/>
  <c r="O137" i="18"/>
  <c r="P137" i="18"/>
  <c r="O610" i="18"/>
  <c r="P610" i="18"/>
  <c r="O248" i="18"/>
  <c r="P248" i="18"/>
  <c r="O213" i="18"/>
  <c r="P213" i="18"/>
  <c r="O46" i="18"/>
  <c r="Q276" i="18" s="1"/>
  <c r="R276" i="18" s="1"/>
  <c r="P46" i="18"/>
  <c r="O239" i="18"/>
  <c r="P239" i="18"/>
  <c r="O193" i="18"/>
  <c r="P193" i="18"/>
  <c r="O711" i="18"/>
  <c r="P711" i="18"/>
  <c r="O623" i="18"/>
  <c r="P623" i="18"/>
  <c r="O1269" i="18"/>
  <c r="P1269" i="18"/>
  <c r="O820" i="18"/>
  <c r="P820" i="18"/>
  <c r="O1012" i="18"/>
  <c r="P1012" i="18"/>
  <c r="O787" i="18"/>
  <c r="P787" i="18"/>
  <c r="O915" i="18"/>
  <c r="P915" i="18"/>
  <c r="O1253" i="18"/>
  <c r="P1253" i="18"/>
  <c r="O1121" i="18"/>
  <c r="P1121" i="18"/>
  <c r="O1056" i="18"/>
  <c r="P1056" i="18"/>
  <c r="O1108" i="18"/>
  <c r="P1108" i="18"/>
  <c r="O1238" i="18"/>
  <c r="P1238" i="18"/>
  <c r="O1155" i="18"/>
  <c r="P1155" i="18"/>
  <c r="O1260" i="18"/>
  <c r="P1260" i="18"/>
  <c r="O1319" i="18"/>
  <c r="P1319" i="18"/>
  <c r="O1370" i="18"/>
  <c r="P1370" i="18"/>
  <c r="O85" i="18"/>
  <c r="P85" i="18"/>
  <c r="O686" i="18"/>
  <c r="P686" i="18"/>
  <c r="O224" i="18"/>
  <c r="P224" i="18"/>
  <c r="O68" i="18"/>
  <c r="P68" i="18"/>
  <c r="O590" i="18"/>
  <c r="P590" i="18"/>
  <c r="O142" i="18"/>
  <c r="P142" i="18"/>
  <c r="O313" i="18"/>
  <c r="P313" i="18"/>
  <c r="O11" i="18"/>
  <c r="P11" i="18"/>
  <c r="O432" i="18"/>
  <c r="P432" i="18"/>
  <c r="O34" i="18"/>
  <c r="P34" i="18"/>
  <c r="O346" i="18"/>
  <c r="P346" i="18"/>
  <c r="O475" i="18"/>
  <c r="P475" i="18"/>
  <c r="O905" i="18"/>
  <c r="P905" i="18"/>
  <c r="O194" i="18"/>
  <c r="P194" i="18"/>
  <c r="O323" i="18"/>
  <c r="P323" i="18"/>
  <c r="O454" i="18"/>
  <c r="P454" i="18"/>
  <c r="O584" i="18"/>
  <c r="P584" i="18"/>
  <c r="O148" i="18"/>
  <c r="P148" i="18"/>
  <c r="O278" i="18"/>
  <c r="P278" i="18"/>
  <c r="O405" i="18"/>
  <c r="P405" i="18"/>
  <c r="O534" i="18"/>
  <c r="P534" i="18"/>
  <c r="O665" i="18"/>
  <c r="P665" i="18"/>
  <c r="O752" i="18"/>
  <c r="P752" i="18"/>
  <c r="O885" i="18"/>
  <c r="P885" i="18"/>
  <c r="O668" i="18"/>
  <c r="P668" i="18"/>
  <c r="O1178" i="18"/>
  <c r="P1178" i="18"/>
  <c r="O705" i="18"/>
  <c r="P705" i="18"/>
  <c r="O834" i="18"/>
  <c r="P834" i="18"/>
  <c r="O962" i="18"/>
  <c r="P962" i="18"/>
  <c r="O792" i="18"/>
  <c r="P792" i="18"/>
  <c r="O920" i="18"/>
  <c r="P920" i="18"/>
  <c r="O1047" i="18"/>
  <c r="P1047" i="18"/>
  <c r="O791" i="18"/>
  <c r="P791" i="18"/>
  <c r="O919" i="18"/>
  <c r="Q240" i="18" s="1"/>
  <c r="R240" i="18" s="1"/>
  <c r="P919" i="18"/>
  <c r="O1257" i="18"/>
  <c r="P1257" i="18"/>
  <c r="O1125" i="18"/>
  <c r="Q962" i="18" s="1"/>
  <c r="R962" i="18" s="1"/>
  <c r="P1125" i="18"/>
  <c r="O1060" i="18"/>
  <c r="P1060" i="18"/>
  <c r="O1112" i="18"/>
  <c r="P1112" i="18"/>
  <c r="O1242" i="18"/>
  <c r="P1242" i="18"/>
  <c r="O1159" i="18"/>
  <c r="P1159" i="18"/>
  <c r="O1264" i="18"/>
  <c r="P1264" i="18"/>
  <c r="O1323" i="18"/>
  <c r="P1323" i="18"/>
  <c r="O211" i="18"/>
  <c r="P211" i="18"/>
  <c r="O339" i="18"/>
  <c r="P339" i="18"/>
  <c r="O470" i="18"/>
  <c r="P470" i="18"/>
  <c r="O702" i="18"/>
  <c r="P702" i="18"/>
  <c r="O131" i="18"/>
  <c r="P131" i="18"/>
  <c r="O262" i="18"/>
  <c r="P262" i="18"/>
  <c r="O389" i="18"/>
  <c r="P389" i="18"/>
  <c r="O518" i="18"/>
  <c r="Q702" i="18" s="1"/>
  <c r="R702" i="18" s="1"/>
  <c r="P518" i="18"/>
  <c r="O649" i="18"/>
  <c r="P649" i="18"/>
  <c r="O736" i="18"/>
  <c r="Q397" i="18" s="1"/>
  <c r="R397" i="18" s="1"/>
  <c r="P736" i="18"/>
  <c r="O821" i="18"/>
  <c r="Q224" i="18" s="1"/>
  <c r="R224" i="18" s="1"/>
  <c r="P821" i="18"/>
  <c r="O652" i="18"/>
  <c r="Q791" i="18" s="1"/>
  <c r="R791" i="18" s="1"/>
  <c r="P652" i="18"/>
  <c r="O1082" i="18"/>
  <c r="Q724" i="18" s="1"/>
  <c r="R724" i="18" s="1"/>
  <c r="P1082" i="18"/>
  <c r="O691" i="18"/>
  <c r="Q1164" i="18" s="1"/>
  <c r="R1164" i="18" s="1"/>
  <c r="P691" i="18"/>
  <c r="O818" i="18"/>
  <c r="P818" i="18"/>
  <c r="O946" i="18"/>
  <c r="P946" i="18"/>
  <c r="O776" i="18"/>
  <c r="P776" i="18"/>
  <c r="O904" i="18"/>
  <c r="P904" i="18"/>
  <c r="O1031" i="18"/>
  <c r="P1031" i="18"/>
  <c r="O775" i="18"/>
  <c r="P775" i="18"/>
  <c r="O903" i="18"/>
  <c r="P903" i="18"/>
  <c r="O1186" i="18"/>
  <c r="P1186" i="18"/>
  <c r="O1109" i="18"/>
  <c r="P1109" i="18"/>
  <c r="O1044" i="18"/>
  <c r="P1044" i="18"/>
  <c r="O1281" i="18"/>
  <c r="P1281" i="18"/>
  <c r="O1225" i="18"/>
  <c r="P1225" i="18"/>
  <c r="O1143" i="18"/>
  <c r="P1143" i="18"/>
  <c r="O1248" i="18"/>
  <c r="Q1323" i="18" s="1"/>
  <c r="R1323" i="18" s="1"/>
  <c r="P1248" i="18"/>
  <c r="O1307" i="18"/>
  <c r="P1307" i="18"/>
  <c r="P1374" i="18"/>
  <c r="O1374" i="18"/>
  <c r="P240" i="18"/>
  <c r="O240" i="18"/>
  <c r="P622" i="18"/>
  <c r="O622" i="18"/>
  <c r="P27" i="18"/>
  <c r="O27" i="18"/>
  <c r="Q1024" i="18" s="1"/>
  <c r="R1024" i="18" s="1"/>
  <c r="P536" i="18"/>
  <c r="O536" i="18"/>
  <c r="P488" i="18"/>
  <c r="O488" i="18"/>
  <c r="P383" i="18"/>
  <c r="O383" i="18"/>
  <c r="Q27" i="18" s="1"/>
  <c r="R27" i="18" s="1"/>
  <c r="P115" i="18"/>
  <c r="O115" i="18"/>
  <c r="P378" i="18"/>
  <c r="O378" i="18"/>
  <c r="P913" i="18"/>
  <c r="O913" i="18"/>
  <c r="P343" i="18"/>
  <c r="O343" i="18"/>
  <c r="P605" i="18"/>
  <c r="O605" i="18"/>
  <c r="P953" i="18"/>
  <c r="O953" i="18"/>
  <c r="P754" i="18"/>
  <c r="O754" i="18"/>
  <c r="P790" i="18"/>
  <c r="O790" i="18"/>
  <c r="P1190" i="18"/>
  <c r="O1190" i="18"/>
  <c r="P1019" i="18"/>
  <c r="O1019" i="18"/>
  <c r="P1164" i="18"/>
  <c r="O1164" i="18"/>
  <c r="P1294" i="18"/>
  <c r="O1294" i="18"/>
  <c r="P1212" i="18"/>
  <c r="O1212" i="18"/>
  <c r="P1251" i="18"/>
  <c r="O1251" i="18"/>
  <c r="P1375" i="18"/>
  <c r="O1375" i="18"/>
  <c r="P1341" i="18"/>
  <c r="O1341" i="18"/>
  <c r="Q1341" i="18" s="1"/>
  <c r="R1341" i="18" s="1"/>
  <c r="P296" i="18"/>
  <c r="O296" i="18"/>
  <c r="Q117" i="18" s="1"/>
  <c r="R117" i="18" s="1"/>
  <c r="P720" i="18"/>
  <c r="O720" i="18"/>
  <c r="P197" i="18"/>
  <c r="O197" i="18"/>
  <c r="P64" i="18"/>
  <c r="O64" i="18"/>
  <c r="P62" i="18"/>
  <c r="O62" i="18"/>
  <c r="P503" i="18"/>
  <c r="O503" i="18"/>
  <c r="P223" i="18"/>
  <c r="O223" i="18"/>
  <c r="P482" i="18"/>
  <c r="O482" i="18"/>
  <c r="P177" i="18"/>
  <c r="O177" i="18"/>
  <c r="P417" i="18"/>
  <c r="O417" i="18"/>
  <c r="P693" i="18"/>
  <c r="O693" i="18"/>
  <c r="P997" i="18"/>
  <c r="O997" i="18"/>
  <c r="P607" i="18"/>
  <c r="O607" i="18"/>
  <c r="P65" i="18"/>
  <c r="O65" i="18"/>
  <c r="P232" i="18"/>
  <c r="O232" i="18"/>
  <c r="P10" i="18"/>
  <c r="O10" i="18"/>
  <c r="Q62" i="18" s="1"/>
  <c r="R62" i="18" s="1"/>
  <c r="P317" i="18"/>
  <c r="O317" i="18"/>
  <c r="Q500" i="18" s="1"/>
  <c r="R500" i="18" s="1"/>
  <c r="P460" i="18"/>
  <c r="O460" i="18"/>
  <c r="P366" i="18"/>
  <c r="O366" i="18"/>
  <c r="P1065" i="18"/>
  <c r="O1065" i="18"/>
  <c r="Q423" i="18" s="1"/>
  <c r="R423" i="18" s="1"/>
  <c r="P206" i="18"/>
  <c r="O206" i="18"/>
  <c r="P897" i="18"/>
  <c r="O897" i="18"/>
  <c r="P151" i="18"/>
  <c r="O151" i="18"/>
  <c r="P334" i="18"/>
  <c r="O334" i="18"/>
  <c r="O859" i="18"/>
  <c r="P859" i="18"/>
  <c r="P573" i="18"/>
  <c r="O573" i="18"/>
  <c r="P166" i="18"/>
  <c r="O166" i="18"/>
  <c r="P426" i="18"/>
  <c r="O426" i="18"/>
  <c r="P119" i="18"/>
  <c r="O119" i="18"/>
  <c r="P359" i="18"/>
  <c r="O359" i="18"/>
  <c r="P621" i="18"/>
  <c r="O621" i="18"/>
  <c r="P865" i="18"/>
  <c r="O865" i="18"/>
  <c r="P738" i="18"/>
  <c r="O738" i="18"/>
  <c r="P774" i="18"/>
  <c r="O774" i="18"/>
  <c r="P1086" i="18"/>
  <c r="O1086" i="18"/>
  <c r="P972" i="18"/>
  <c r="O972" i="18"/>
  <c r="P779" i="18"/>
  <c r="O779" i="18"/>
  <c r="P907" i="18"/>
  <c r="O907" i="18"/>
  <c r="Q239" i="18" s="1"/>
  <c r="R239" i="18" s="1"/>
  <c r="P1202" i="18"/>
  <c r="O1202" i="18"/>
  <c r="Q1294" i="18" s="1"/>
  <c r="R1294" i="18" s="1"/>
  <c r="P1113" i="18"/>
  <c r="O1113" i="18"/>
  <c r="P1048" i="18"/>
  <c r="O1048" i="18"/>
  <c r="P69" i="18"/>
  <c r="O69" i="18"/>
  <c r="P328" i="18"/>
  <c r="O328" i="18"/>
  <c r="P200" i="18"/>
  <c r="O200" i="18"/>
  <c r="Q865" i="18" s="1"/>
  <c r="R865" i="18" s="1"/>
  <c r="P56" i="18"/>
  <c r="O56" i="18"/>
  <c r="Q562" i="18" s="1"/>
  <c r="R562" i="18" s="1"/>
  <c r="P582" i="18"/>
  <c r="O582" i="18"/>
  <c r="P96" i="18"/>
  <c r="O96" i="18"/>
  <c r="P289" i="18"/>
  <c r="O289" i="18"/>
  <c r="P716" i="18"/>
  <c r="O716" i="18"/>
  <c r="P384" i="18"/>
  <c r="O384" i="18"/>
  <c r="P9" i="18"/>
  <c r="O9" i="18"/>
  <c r="Q343" i="18" s="1"/>
  <c r="R343" i="18" s="1"/>
  <c r="P172" i="18"/>
  <c r="O172" i="18"/>
  <c r="P451" i="18"/>
  <c r="O451" i="18"/>
  <c r="P712" i="18"/>
  <c r="O712" i="18"/>
  <c r="O1358" i="18"/>
  <c r="P1358" i="18"/>
  <c r="O139" i="18"/>
  <c r="P139" i="18"/>
  <c r="O284" i="18"/>
  <c r="P284" i="18"/>
  <c r="O861" i="18"/>
  <c r="P861" i="18"/>
  <c r="O333" i="18"/>
  <c r="Q366" i="18" s="1"/>
  <c r="R366" i="18" s="1"/>
  <c r="P333" i="18"/>
  <c r="O444" i="18"/>
  <c r="P444" i="18"/>
  <c r="O350" i="18"/>
  <c r="P350" i="18"/>
  <c r="O989" i="18"/>
  <c r="Q248" i="18" s="1"/>
  <c r="R248" i="18" s="1"/>
  <c r="P989" i="18"/>
  <c r="O344" i="18"/>
  <c r="P344" i="18"/>
  <c r="O739" i="18"/>
  <c r="P739" i="18"/>
  <c r="O314" i="18"/>
  <c r="P314" i="18"/>
  <c r="O567" i="18"/>
  <c r="P567" i="18"/>
  <c r="O985" i="18"/>
  <c r="P985" i="18"/>
  <c r="O722" i="18"/>
  <c r="P722" i="18"/>
  <c r="O757" i="18"/>
  <c r="P757" i="18"/>
  <c r="O1022" i="18"/>
  <c r="Q649" i="18" s="1"/>
  <c r="R649" i="18" s="1"/>
  <c r="P1022" i="18"/>
  <c r="O987" i="18"/>
  <c r="P987" i="18"/>
  <c r="P136" i="18"/>
  <c r="O136" i="18"/>
  <c r="Q85" i="18" s="1"/>
  <c r="R85" i="18" s="1"/>
  <c r="O763" i="18"/>
  <c r="P763" i="18"/>
  <c r="P1032" i="18"/>
  <c r="O1032" i="18"/>
  <c r="P20" i="18"/>
  <c r="O20" i="18"/>
  <c r="P646" i="18"/>
  <c r="O646" i="18"/>
  <c r="Q1156" i="18" s="1"/>
  <c r="R1156" i="18" s="1"/>
  <c r="P435" i="18"/>
  <c r="O435" i="18"/>
  <c r="P414" i="18"/>
  <c r="O414" i="18"/>
  <c r="P363" i="18"/>
  <c r="O363" i="18"/>
  <c r="P973" i="18"/>
  <c r="O973" i="18"/>
  <c r="Q910" i="18" s="1"/>
  <c r="R910" i="18" s="1"/>
  <c r="P1062" i="18"/>
  <c r="O1062" i="18"/>
  <c r="P806" i="18"/>
  <c r="O806" i="18"/>
  <c r="O795" i="18"/>
  <c r="P795" i="18"/>
  <c r="P1064" i="18"/>
  <c r="O1064" i="18"/>
  <c r="P84" i="18"/>
  <c r="O84" i="18"/>
  <c r="P893" i="18"/>
  <c r="O893" i="18"/>
  <c r="P467" i="18"/>
  <c r="O467" i="18"/>
  <c r="P446" i="18"/>
  <c r="O446" i="18"/>
  <c r="P397" i="18"/>
  <c r="O397" i="18"/>
  <c r="P853" i="18"/>
  <c r="O853" i="18"/>
  <c r="O988" i="18"/>
  <c r="P988" i="18"/>
  <c r="O1148" i="18"/>
  <c r="P1148" i="18"/>
  <c r="O1278" i="18"/>
  <c r="P1278" i="18"/>
  <c r="O1196" i="18"/>
  <c r="P1196" i="18"/>
  <c r="O1235" i="18"/>
  <c r="P1235" i="18"/>
  <c r="O1359" i="18"/>
  <c r="P1359" i="18"/>
  <c r="O1325" i="18"/>
  <c r="P1325" i="18"/>
  <c r="O216" i="18"/>
  <c r="P216" i="18"/>
  <c r="O496" i="18"/>
  <c r="P496" i="18"/>
  <c r="O116" i="18"/>
  <c r="Q66" i="18" s="1"/>
  <c r="R66" i="18" s="1"/>
  <c r="P116" i="18"/>
  <c r="O977" i="18"/>
  <c r="Q1251" i="18" s="1"/>
  <c r="R1251" i="18" s="1"/>
  <c r="P977" i="18"/>
  <c r="O30" i="18"/>
  <c r="Q271" i="18" s="1"/>
  <c r="R271" i="18" s="1"/>
  <c r="P30" i="18"/>
  <c r="O471" i="18"/>
  <c r="P471" i="18"/>
  <c r="O207" i="18"/>
  <c r="P207" i="18"/>
  <c r="O450" i="18"/>
  <c r="P450" i="18"/>
  <c r="O144" i="18"/>
  <c r="P144" i="18"/>
  <c r="O385" i="18"/>
  <c r="P385" i="18"/>
  <c r="O645" i="18"/>
  <c r="P645" i="18"/>
  <c r="O869" i="18"/>
  <c r="P869" i="18"/>
  <c r="O1316" i="18"/>
  <c r="P1316" i="18"/>
  <c r="O25" i="18"/>
  <c r="P25" i="18"/>
  <c r="O77" i="18"/>
  <c r="P77" i="18"/>
  <c r="O602" i="18"/>
  <c r="P602" i="18"/>
  <c r="O301" i="18"/>
  <c r="Q1082" i="18" s="1"/>
  <c r="R1082" i="18" s="1"/>
  <c r="P301" i="18"/>
  <c r="O420" i="18"/>
  <c r="P420" i="18"/>
  <c r="O184" i="18"/>
  <c r="Q482" i="18" s="1"/>
  <c r="R482" i="18" s="1"/>
  <c r="P184" i="18"/>
  <c r="O759" i="18"/>
  <c r="P759" i="18"/>
  <c r="O327" i="18"/>
  <c r="P327" i="18"/>
  <c r="O588" i="18"/>
  <c r="P588" i="18"/>
  <c r="O266" i="18"/>
  <c r="Q834" i="18" s="1"/>
  <c r="R834" i="18" s="1"/>
  <c r="P266" i="18"/>
  <c r="O812" i="18"/>
  <c r="P812" i="18"/>
  <c r="P1033" i="18"/>
  <c r="O1033" i="18"/>
  <c r="P606" i="18"/>
  <c r="O606" i="18"/>
  <c r="P209" i="18"/>
  <c r="O209" i="18"/>
  <c r="P58" i="18"/>
  <c r="O58" i="18"/>
  <c r="P219" i="18"/>
  <c r="O219" i="18"/>
  <c r="P173" i="18"/>
  <c r="O173" i="18"/>
  <c r="P689" i="18"/>
  <c r="O689" i="18"/>
  <c r="O726" i="18"/>
  <c r="P726" i="18"/>
  <c r="O761" i="18"/>
  <c r="P761" i="18"/>
  <c r="O628" i="18"/>
  <c r="P628" i="18"/>
  <c r="O667" i="18"/>
  <c r="P667" i="18"/>
  <c r="O922" i="18"/>
  <c r="P922" i="18"/>
  <c r="O1222" i="18"/>
  <c r="P1222" i="18"/>
  <c r="O880" i="18"/>
  <c r="P880" i="18"/>
  <c r="O1008" i="18"/>
  <c r="P1008" i="18"/>
  <c r="O1214" i="18"/>
  <c r="P1214" i="18"/>
  <c r="O879" i="18"/>
  <c r="P879" i="18"/>
  <c r="O1007" i="18"/>
  <c r="P1007" i="18"/>
  <c r="O1085" i="18"/>
  <c r="P1085" i="18"/>
  <c r="O1020" i="18"/>
  <c r="P1020" i="18"/>
  <c r="O1219" i="18"/>
  <c r="P1219" i="18"/>
  <c r="O1201" i="18"/>
  <c r="P1201" i="18"/>
  <c r="O1119" i="18"/>
  <c r="P1119" i="18"/>
  <c r="O1352" i="18"/>
  <c r="P1352" i="18"/>
  <c r="O1287" i="18"/>
  <c r="Q336" i="18" s="1"/>
  <c r="R336" i="18" s="1"/>
  <c r="P1287" i="18"/>
  <c r="O1334" i="18"/>
  <c r="P1334" i="18"/>
  <c r="O1377" i="18"/>
  <c r="P1377" i="18"/>
  <c r="O619" i="18"/>
  <c r="P619" i="18"/>
  <c r="O810" i="18"/>
  <c r="Q711" i="18" s="1"/>
  <c r="R711" i="18" s="1"/>
  <c r="P810" i="18"/>
  <c r="O1002" i="18"/>
  <c r="P1002" i="18"/>
  <c r="O896" i="18"/>
  <c r="P896" i="18"/>
  <c r="O1055" i="18"/>
  <c r="Q1276" i="18" s="1"/>
  <c r="R1276" i="18" s="1"/>
  <c r="P1055" i="18"/>
  <c r="O831" i="18"/>
  <c r="Q227" i="18" s="1"/>
  <c r="R227" i="18" s="1"/>
  <c r="P831" i="18"/>
  <c r="O1154" i="18"/>
  <c r="P1154" i="18"/>
  <c r="O1133" i="18"/>
  <c r="P1133" i="18"/>
  <c r="P1100" i="18"/>
  <c r="O1100" i="18"/>
  <c r="P1217" i="18"/>
  <c r="O1217" i="18"/>
  <c r="P1167" i="18"/>
  <c r="O1167" i="18"/>
  <c r="P1239" i="18"/>
  <c r="O1239" i="18"/>
  <c r="P1318" i="18"/>
  <c r="O1318" i="18"/>
  <c r="Q557" i="18" s="1"/>
  <c r="R557" i="18" s="1"/>
  <c r="P203" i="18"/>
  <c r="O203" i="18"/>
  <c r="P331" i="18"/>
  <c r="O331" i="18"/>
  <c r="Q835" i="18" s="1"/>
  <c r="R835" i="18" s="1"/>
  <c r="P462" i="18"/>
  <c r="O462" i="18"/>
  <c r="P594" i="18"/>
  <c r="O594" i="18"/>
  <c r="P157" i="18"/>
  <c r="O157" i="18"/>
  <c r="P286" i="18"/>
  <c r="O286" i="18"/>
  <c r="P413" i="18"/>
  <c r="O413" i="18"/>
  <c r="P542" i="18"/>
  <c r="O542" i="18"/>
  <c r="Q606" i="18" s="1"/>
  <c r="R606" i="18" s="1"/>
  <c r="P673" i="18"/>
  <c r="O673" i="18"/>
  <c r="Q39" i="18" s="1"/>
  <c r="R39" i="18" s="1"/>
  <c r="P760" i="18"/>
  <c r="O760" i="18"/>
  <c r="P917" i="18"/>
  <c r="O917" i="18"/>
  <c r="P710" i="18"/>
  <c r="O710" i="18"/>
  <c r="P842" i="18"/>
  <c r="O842" i="18"/>
  <c r="P960" i="18"/>
  <c r="O960" i="18"/>
  <c r="P1289" i="18"/>
  <c r="O1289" i="18"/>
  <c r="Q450" i="18" s="1"/>
  <c r="R450" i="18" s="1"/>
  <c r="P1372" i="18"/>
  <c r="O1372" i="18"/>
  <c r="O472" i="18"/>
  <c r="P472" i="18"/>
  <c r="O124" i="18"/>
  <c r="P124" i="18"/>
  <c r="O367" i="18"/>
  <c r="Q582" i="18" s="1"/>
  <c r="R582" i="18" s="1"/>
  <c r="P367" i="18"/>
  <c r="O766" i="18"/>
  <c r="P766" i="18"/>
  <c r="O771" i="18"/>
  <c r="P771" i="18"/>
  <c r="O1105" i="18"/>
  <c r="P1105" i="18"/>
  <c r="O1244" i="18"/>
  <c r="P1244" i="18"/>
  <c r="O13" i="18"/>
  <c r="Q10" i="18" s="1"/>
  <c r="R10" i="18" s="1"/>
  <c r="P13" i="18"/>
  <c r="O82" i="18"/>
  <c r="P82" i="18"/>
  <c r="O661" i="18"/>
  <c r="P661" i="18"/>
  <c r="O228" i="18"/>
  <c r="P228" i="18"/>
  <c r="O732" i="18"/>
  <c r="Q208" i="18" s="1"/>
  <c r="R208" i="18" s="1"/>
  <c r="P732" i="18"/>
  <c r="O455" i="18"/>
  <c r="Q151" i="18" s="1"/>
  <c r="R151" i="18" s="1"/>
  <c r="P455" i="18"/>
  <c r="O161" i="18"/>
  <c r="P161" i="18"/>
  <c r="O677" i="18"/>
  <c r="P677" i="18"/>
  <c r="O1146" i="18"/>
  <c r="P1146" i="18"/>
  <c r="O900" i="18"/>
  <c r="Q537" i="18" s="1"/>
  <c r="R537" i="18" s="1"/>
  <c r="P900" i="18"/>
  <c r="O803" i="18"/>
  <c r="P803" i="18"/>
  <c r="O1137" i="18"/>
  <c r="P1137" i="18"/>
  <c r="O1124" i="18"/>
  <c r="P1124" i="18"/>
  <c r="O788" i="18"/>
  <c r="Q314" i="18" s="1"/>
  <c r="R314" i="18" s="1"/>
  <c r="P788" i="18"/>
  <c r="O57" i="18"/>
  <c r="P57" i="18"/>
  <c r="O297" i="18"/>
  <c r="P297" i="18"/>
  <c r="O180" i="18"/>
  <c r="P180" i="18"/>
  <c r="O277" i="18"/>
  <c r="P277" i="18"/>
  <c r="O258" i="18"/>
  <c r="P258" i="18"/>
  <c r="O687" i="18"/>
  <c r="P687" i="18"/>
  <c r="O1301" i="18"/>
  <c r="P1301" i="18"/>
  <c r="O92" i="18"/>
  <c r="Q1041" i="18" s="1"/>
  <c r="R1041" i="18" s="1"/>
  <c r="P92" i="18"/>
  <c r="O50" i="18"/>
  <c r="P50" i="18"/>
  <c r="O388" i="18"/>
  <c r="Q1105" i="18" s="1"/>
  <c r="R1105" i="18" s="1"/>
  <c r="P388" i="18"/>
  <c r="O1237" i="18"/>
  <c r="P1237" i="18"/>
  <c r="O894" i="18"/>
  <c r="P894" i="18"/>
  <c r="O1089" i="18"/>
  <c r="P1089" i="18"/>
  <c r="O81" i="18"/>
  <c r="P81" i="18"/>
  <c r="O537" i="18"/>
  <c r="Q602" i="18" s="1"/>
  <c r="R602" i="18" s="1"/>
  <c r="P537" i="18"/>
  <c r="O163" i="18"/>
  <c r="P163" i="18"/>
  <c r="O309" i="18"/>
  <c r="P309" i="18"/>
  <c r="O392" i="18"/>
  <c r="Q1109" i="18" s="1"/>
  <c r="R1109" i="18" s="1"/>
  <c r="P392" i="18"/>
  <c r="O176" i="18"/>
  <c r="P176" i="18"/>
  <c r="O728" i="18"/>
  <c r="P728" i="18"/>
  <c r="O335" i="18"/>
  <c r="P335" i="18"/>
  <c r="O598" i="18"/>
  <c r="Q1146" i="18" s="1"/>
  <c r="R1146" i="18" s="1"/>
  <c r="P598" i="18"/>
  <c r="O290" i="18"/>
  <c r="P290" i="18"/>
  <c r="O559" i="18"/>
  <c r="P559" i="18"/>
  <c r="O773" i="18"/>
  <c r="P773" i="18"/>
  <c r="O680" i="18"/>
  <c r="Q623" i="18" s="1"/>
  <c r="R623" i="18" s="1"/>
  <c r="P680" i="18"/>
  <c r="O717" i="18"/>
  <c r="P717" i="18"/>
  <c r="O878" i="18"/>
  <c r="P878" i="18"/>
  <c r="O1006" i="18"/>
  <c r="P1006" i="18"/>
  <c r="O836" i="18"/>
  <c r="Q1370" i="18" s="1"/>
  <c r="R1370" i="18" s="1"/>
  <c r="P836" i="18"/>
  <c r="O964" i="18"/>
  <c r="P964" i="18"/>
  <c r="O1174" i="18"/>
  <c r="P1174" i="18"/>
  <c r="O867" i="18"/>
  <c r="P867" i="18"/>
  <c r="O995" i="18"/>
  <c r="Q1374" i="18" s="1"/>
  <c r="R1374" i="18" s="1"/>
  <c r="P995" i="18"/>
  <c r="O1073" i="18"/>
  <c r="P1073" i="18"/>
  <c r="O1332" i="18"/>
  <c r="P1332" i="18"/>
  <c r="O1207" i="18"/>
  <c r="P1207" i="18"/>
  <c r="O1189" i="18"/>
  <c r="P1189" i="18"/>
  <c r="O1107" i="18"/>
  <c r="P1107" i="18"/>
  <c r="O1304" i="18"/>
  <c r="Q995" i="18" s="1"/>
  <c r="R995" i="18" s="1"/>
  <c r="P1304" i="18"/>
  <c r="O1354" i="18"/>
  <c r="P1354" i="18"/>
  <c r="O316" i="18"/>
  <c r="P316" i="18"/>
  <c r="O32" i="18"/>
  <c r="P32" i="18"/>
  <c r="O104" i="18"/>
  <c r="Q284" i="18" s="1"/>
  <c r="R284" i="18" s="1"/>
  <c r="P104" i="18"/>
  <c r="O777" i="18"/>
  <c r="P777" i="18"/>
  <c r="O18" i="18"/>
  <c r="Q1022" i="18" s="1"/>
  <c r="R1022" i="18" s="1"/>
  <c r="P18" i="18"/>
  <c r="O459" i="18"/>
  <c r="P459" i="18"/>
  <c r="O41" i="18"/>
  <c r="Q470" i="18" s="1"/>
  <c r="R470" i="18" s="1"/>
  <c r="P41" i="18"/>
  <c r="O60" i="18"/>
  <c r="Q13" i="18" s="1"/>
  <c r="R13" i="18" s="1"/>
  <c r="P60" i="18"/>
  <c r="O345" i="18"/>
  <c r="Q836" i="18" s="1"/>
  <c r="R836" i="18" s="1"/>
  <c r="P345" i="18"/>
  <c r="O597" i="18"/>
  <c r="P597" i="18"/>
  <c r="O564" i="18"/>
  <c r="P564" i="18"/>
  <c r="O530" i="18"/>
  <c r="P530" i="18"/>
  <c r="O648" i="18"/>
  <c r="P648" i="18"/>
  <c r="O862" i="18"/>
  <c r="P862" i="18"/>
  <c r="O958" i="18"/>
  <c r="P958" i="18"/>
  <c r="O1335" i="18"/>
  <c r="P1335" i="18"/>
  <c r="O533" i="18"/>
  <c r="Q598" i="18" s="1"/>
  <c r="R598" i="18" s="1"/>
  <c r="P533" i="18"/>
  <c r="O272" i="18"/>
  <c r="P272" i="18"/>
  <c r="O801" i="18"/>
  <c r="Q1192" i="18" s="1"/>
  <c r="R1192" i="18" s="1"/>
  <c r="P801" i="18"/>
  <c r="O329" i="18"/>
  <c r="P329" i="18"/>
  <c r="O456" i="18"/>
  <c r="P456" i="18"/>
  <c r="O362" i="18"/>
  <c r="Q119" i="18" s="1"/>
  <c r="R119" i="18" s="1"/>
  <c r="P362" i="18"/>
  <c r="O95" i="18"/>
  <c r="Q475" i="18" s="1"/>
  <c r="R475" i="18" s="1"/>
  <c r="P95" i="18"/>
  <c r="O37" i="18"/>
  <c r="P37" i="18"/>
  <c r="O341" i="18"/>
  <c r="P341" i="18"/>
  <c r="O358" i="18"/>
  <c r="P358" i="18"/>
  <c r="O368" i="18"/>
  <c r="Q583" i="18" s="1"/>
  <c r="R583" i="18" s="1"/>
  <c r="P368" i="18"/>
  <c r="O322" i="18"/>
  <c r="P322" i="18"/>
  <c r="O941" i="18"/>
  <c r="Q414" i="18" s="1"/>
  <c r="R414" i="18" s="1"/>
  <c r="P941" i="18"/>
  <c r="O749" i="18"/>
  <c r="P749" i="18"/>
  <c r="O1054" i="18"/>
  <c r="Q812" i="18" s="1"/>
  <c r="R812" i="18" s="1"/>
  <c r="P1054" i="18"/>
  <c r="O916" i="18"/>
  <c r="P916" i="18"/>
  <c r="O1059" i="18"/>
  <c r="P1059" i="18"/>
  <c r="O819" i="18"/>
  <c r="P819" i="18"/>
  <c r="O947" i="18"/>
  <c r="Q245" i="18" s="1"/>
  <c r="R245" i="18" s="1"/>
  <c r="P947" i="18"/>
  <c r="O1025" i="18"/>
  <c r="P1025" i="18"/>
  <c r="O1153" i="18"/>
  <c r="P1153" i="18"/>
  <c r="O1088" i="18"/>
  <c r="Q726" i="18" s="1"/>
  <c r="R726" i="18" s="1"/>
  <c r="P1088" i="18"/>
  <c r="O1140" i="18"/>
  <c r="Q329" i="18" s="1"/>
  <c r="R329" i="18" s="1"/>
  <c r="P1140" i="18"/>
  <c r="O1270" i="18"/>
  <c r="Q333" i="18" s="1"/>
  <c r="R333" i="18" s="1"/>
  <c r="P1270" i="18"/>
  <c r="O1188" i="18"/>
  <c r="Q978" i="18" s="1"/>
  <c r="R978" i="18" s="1"/>
  <c r="P1188" i="18"/>
  <c r="O1292" i="18"/>
  <c r="P1292" i="18"/>
  <c r="O1351" i="18"/>
  <c r="P1351" i="18"/>
  <c r="O1317" i="18"/>
  <c r="P1317" i="18"/>
  <c r="O849" i="18"/>
  <c r="Q646" i="18" s="1"/>
  <c r="R646" i="18" s="1"/>
  <c r="P849" i="18"/>
  <c r="O545" i="18"/>
  <c r="P545" i="18"/>
  <c r="O300" i="18"/>
  <c r="Q362" i="18" s="1"/>
  <c r="R362" i="18" s="1"/>
  <c r="P300" i="18"/>
  <c r="O167" i="18"/>
  <c r="Q689" i="18" s="1"/>
  <c r="R689" i="18" s="1"/>
  <c r="P167" i="18"/>
  <c r="O23" i="18"/>
  <c r="P23" i="18"/>
  <c r="O217" i="18"/>
  <c r="P217" i="18"/>
  <c r="O516" i="18"/>
  <c r="P516" i="18"/>
  <c r="O76" i="18"/>
  <c r="P76" i="18"/>
  <c r="O484" i="18"/>
  <c r="P484" i="18"/>
  <c r="O66" i="18"/>
  <c r="P66" i="18"/>
  <c r="O379" i="18"/>
  <c r="P379" i="18"/>
  <c r="O507" i="18"/>
  <c r="P507" i="18"/>
  <c r="O111" i="18"/>
  <c r="P111" i="18"/>
  <c r="O227" i="18"/>
  <c r="Q748" i="18" s="1"/>
  <c r="R748" i="18" s="1"/>
  <c r="P227" i="18"/>
  <c r="O356" i="18"/>
  <c r="P356" i="18"/>
  <c r="O486" i="18"/>
  <c r="P486" i="18"/>
  <c r="O765" i="18"/>
  <c r="P765" i="18"/>
  <c r="O181" i="18"/>
  <c r="P181" i="18"/>
  <c r="O310" i="18"/>
  <c r="P310" i="18"/>
  <c r="O437" i="18"/>
  <c r="P437" i="18"/>
  <c r="O563" i="18"/>
  <c r="P563" i="18"/>
  <c r="O697" i="18"/>
  <c r="P697" i="18"/>
  <c r="O877" i="18"/>
  <c r="P877" i="18"/>
  <c r="O1014" i="18"/>
  <c r="Q917" i="18" s="1"/>
  <c r="R917" i="18" s="1"/>
  <c r="P1014" i="18"/>
  <c r="O700" i="18"/>
  <c r="Q395" i="18" s="1"/>
  <c r="R395" i="18" s="1"/>
  <c r="P700" i="18"/>
  <c r="O611" i="18"/>
  <c r="P611" i="18"/>
  <c r="O737" i="18"/>
  <c r="Q209" i="18" s="1"/>
  <c r="R209" i="18" s="1"/>
  <c r="P737" i="18"/>
  <c r="O866" i="18"/>
  <c r="Q1217" i="18" s="1"/>
  <c r="R1217" i="18" s="1"/>
  <c r="P866" i="18"/>
  <c r="O994" i="18"/>
  <c r="Q1373" i="18" s="1"/>
  <c r="R1373" i="18" s="1"/>
  <c r="P994" i="18"/>
  <c r="O824" i="18"/>
  <c r="Q405" i="18" s="1"/>
  <c r="R405" i="18" s="1"/>
  <c r="P824" i="18"/>
  <c r="O952" i="18"/>
  <c r="Q1248" i="18" s="1"/>
  <c r="R1248" i="18" s="1"/>
  <c r="P952" i="18"/>
  <c r="O1079" i="18"/>
  <c r="P1079" i="18"/>
  <c r="O823" i="18"/>
  <c r="Q1199" i="18" s="1"/>
  <c r="R1199" i="18" s="1"/>
  <c r="P823" i="18"/>
  <c r="O951" i="18"/>
  <c r="P951" i="18"/>
  <c r="O1029" i="18"/>
  <c r="P1029" i="18"/>
  <c r="O1157" i="18"/>
  <c r="P1157" i="18"/>
  <c r="O1092" i="18"/>
  <c r="P1092" i="18"/>
  <c r="O1144" i="18"/>
  <c r="P1144" i="18"/>
  <c r="O1274" i="18"/>
  <c r="Q447" i="18" s="1"/>
  <c r="R447" i="18" s="1"/>
  <c r="P1274" i="18"/>
  <c r="O1192" i="18"/>
  <c r="P1192" i="18"/>
  <c r="O1231" i="18"/>
  <c r="Q1316" i="18" s="1"/>
  <c r="R1316" i="18" s="1"/>
  <c r="P1231" i="18"/>
  <c r="O1355" i="18"/>
  <c r="P1355" i="18"/>
  <c r="O243" i="18"/>
  <c r="Q359" i="18" s="1"/>
  <c r="R359" i="18" s="1"/>
  <c r="P243" i="18"/>
  <c r="O372" i="18"/>
  <c r="Q760" i="18" s="1"/>
  <c r="R760" i="18" s="1"/>
  <c r="P372" i="18"/>
  <c r="O502" i="18"/>
  <c r="Q771" i="18" s="1"/>
  <c r="R771" i="18" s="1"/>
  <c r="P502" i="18"/>
  <c r="O873" i="18"/>
  <c r="Q232" i="18" s="1"/>
  <c r="R232" i="18" s="1"/>
  <c r="P873" i="18"/>
  <c r="O165" i="18"/>
  <c r="Q1056" i="18" s="1"/>
  <c r="R1056" i="18" s="1"/>
  <c r="P165" i="18"/>
  <c r="O294" i="18"/>
  <c r="Q115" i="18" s="1"/>
  <c r="R115" i="18" s="1"/>
  <c r="P294" i="18"/>
  <c r="O421" i="18"/>
  <c r="P421" i="18"/>
  <c r="O550" i="18"/>
  <c r="P550" i="18"/>
  <c r="O681" i="18"/>
  <c r="P681" i="18"/>
  <c r="O789" i="18"/>
  <c r="Q798" i="18" s="1"/>
  <c r="R798" i="18" s="1"/>
  <c r="P789" i="18"/>
  <c r="O949" i="18"/>
  <c r="Q416" i="18" s="1"/>
  <c r="R416" i="18" s="1"/>
  <c r="P949" i="18"/>
  <c r="O684" i="18"/>
  <c r="Q193" i="18" s="1"/>
  <c r="R193" i="18" s="1"/>
  <c r="P684" i="18"/>
  <c r="O595" i="18"/>
  <c r="Q1145" i="18" s="1"/>
  <c r="R1145" i="18" s="1"/>
  <c r="P595" i="18"/>
  <c r="O721" i="18"/>
  <c r="Q206" i="18" s="1"/>
  <c r="R206" i="18" s="1"/>
  <c r="P721" i="18"/>
  <c r="O850" i="18"/>
  <c r="Q229" i="18" s="1"/>
  <c r="R229" i="18" s="1"/>
  <c r="P850" i="18"/>
  <c r="O978" i="18"/>
  <c r="P978" i="18"/>
  <c r="O808" i="18"/>
  <c r="Q531" i="18" s="1"/>
  <c r="R531" i="18" s="1"/>
  <c r="P808" i="18"/>
  <c r="O936" i="18"/>
  <c r="P936" i="18"/>
  <c r="O1063" i="18"/>
  <c r="P1063" i="18"/>
  <c r="O807" i="18"/>
  <c r="P807" i="18"/>
  <c r="O935" i="18"/>
  <c r="Q1239" i="18" s="1"/>
  <c r="R1239" i="18" s="1"/>
  <c r="P935" i="18"/>
  <c r="O1013" i="18"/>
  <c r="Q916" i="18" s="1"/>
  <c r="R916" i="18" s="1"/>
  <c r="P1013" i="18"/>
  <c r="O1141" i="18"/>
  <c r="Q545" i="18" s="1"/>
  <c r="R545" i="18" s="1"/>
  <c r="P1141" i="18"/>
  <c r="O1076" i="18"/>
  <c r="P1076" i="18"/>
  <c r="O1128" i="18"/>
  <c r="P1128" i="18"/>
  <c r="O1258" i="18"/>
  <c r="P1258" i="18"/>
  <c r="O1175" i="18"/>
  <c r="Q261" i="18" s="1"/>
  <c r="R261" i="18" s="1"/>
  <c r="P1175" i="18"/>
  <c r="O1280" i="18"/>
  <c r="P1280" i="18"/>
  <c r="O1339" i="18"/>
  <c r="Q340" i="18" s="1"/>
  <c r="R340" i="18" s="1"/>
  <c r="P1339" i="18"/>
  <c r="P1321" i="18"/>
  <c r="O1321" i="18"/>
  <c r="O12" i="18"/>
  <c r="Q9" i="18" s="1"/>
  <c r="R9" i="18" s="1"/>
  <c r="P72" i="18"/>
  <c r="O72" i="18"/>
  <c r="P91" i="18"/>
  <c r="O91" i="18"/>
  <c r="P817" i="18"/>
  <c r="O817" i="18"/>
  <c r="P8" i="18"/>
  <c r="O8" i="18"/>
  <c r="Q8" i="18" s="1"/>
  <c r="R8" i="18" s="1"/>
  <c r="P447" i="18"/>
  <c r="O447" i="18"/>
  <c r="P182" i="18"/>
  <c r="O182" i="18"/>
  <c r="Q1060" i="18" s="1"/>
  <c r="R1060" i="18" s="1"/>
  <c r="P442" i="18"/>
  <c r="O442" i="18"/>
  <c r="P135" i="18"/>
  <c r="O135" i="18"/>
  <c r="Q84" i="18" s="1"/>
  <c r="R84" i="18" s="1"/>
  <c r="P409" i="18"/>
  <c r="O409" i="18"/>
  <c r="P669" i="18"/>
  <c r="O669" i="18"/>
  <c r="P901" i="18"/>
  <c r="O901" i="18"/>
  <c r="Q50" i="18" s="1"/>
  <c r="R50" i="18" s="1"/>
  <c r="P599" i="18"/>
  <c r="O599" i="18"/>
  <c r="P854" i="18"/>
  <c r="O854" i="18"/>
  <c r="P828" i="18"/>
  <c r="O828" i="18"/>
  <c r="Q1201" i="18" s="1"/>
  <c r="R1201" i="18" s="1"/>
  <c r="P1198" i="18"/>
  <c r="O1198" i="18"/>
  <c r="P1197" i="18"/>
  <c r="O1197" i="18"/>
  <c r="Q1289" i="18" s="1"/>
  <c r="R1289" i="18" s="1"/>
  <c r="P1115" i="18"/>
  <c r="O1115" i="18"/>
  <c r="P1336" i="18"/>
  <c r="O1336" i="18"/>
  <c r="P1283" i="18"/>
  <c r="O1283" i="18"/>
  <c r="Q1335" i="18" s="1"/>
  <c r="R1335" i="18" s="1"/>
  <c r="P1330" i="18"/>
  <c r="O1330" i="18"/>
  <c r="P1373" i="18"/>
  <c r="O1373" i="18"/>
  <c r="P374" i="18"/>
  <c r="O374" i="18"/>
  <c r="P35" i="18"/>
  <c r="O35" i="18"/>
  <c r="Q272" i="18" s="1"/>
  <c r="R272" i="18" s="1"/>
  <c r="P261" i="18"/>
  <c r="O261" i="18"/>
  <c r="Q497" i="18" s="1"/>
  <c r="R497" i="18" s="1"/>
  <c r="P361" i="18"/>
  <c r="O361" i="18"/>
  <c r="P160" i="18"/>
  <c r="O160" i="18"/>
  <c r="Q859" i="18" s="1"/>
  <c r="R859" i="18" s="1"/>
  <c r="P658" i="18"/>
  <c r="O658" i="18"/>
  <c r="P287" i="18"/>
  <c r="O287" i="18"/>
  <c r="P547" i="18"/>
  <c r="O547" i="18"/>
  <c r="P242" i="18"/>
  <c r="O242" i="18"/>
  <c r="P481" i="18"/>
  <c r="O481" i="18"/>
  <c r="P925" i="18"/>
  <c r="O925" i="18"/>
  <c r="P632" i="18"/>
  <c r="O632" i="18"/>
  <c r="P671" i="18"/>
  <c r="O671" i="18"/>
  <c r="Q190" i="18" s="1"/>
  <c r="R190" i="18" s="1"/>
  <c r="P212" i="18"/>
  <c r="O212" i="18"/>
  <c r="P143" i="18"/>
  <c r="O143" i="18"/>
  <c r="Q91" i="18" s="1"/>
  <c r="R91" i="18" s="1"/>
  <c r="P75" i="18"/>
  <c r="O75" i="18"/>
  <c r="Q64" i="18" s="1"/>
  <c r="R64" i="18" s="1"/>
  <c r="P552" i="18"/>
  <c r="O552" i="18"/>
  <c r="P666" i="18"/>
  <c r="O666" i="18"/>
  <c r="Q389" i="18" s="1"/>
  <c r="R389" i="18" s="1"/>
  <c r="P431" i="18"/>
  <c r="O431" i="18"/>
  <c r="P251" i="18"/>
  <c r="O251" i="18"/>
  <c r="Q496" i="18" s="1"/>
  <c r="R496" i="18" s="1"/>
  <c r="P615" i="18"/>
  <c r="O615" i="18"/>
  <c r="Q384" i="18" s="1"/>
  <c r="R384" i="18" s="1"/>
  <c r="P741" i="18"/>
  <c r="O741" i="18"/>
  <c r="P540" i="18"/>
  <c r="O540" i="18"/>
  <c r="P1005" i="18"/>
  <c r="O1005" i="18"/>
  <c r="P1199" i="18"/>
  <c r="O1199" i="18"/>
  <c r="P510" i="18"/>
  <c r="O510" i="18"/>
  <c r="O231" i="18"/>
  <c r="Q493" i="18" s="1"/>
  <c r="R493" i="18" s="1"/>
  <c r="P231" i="18"/>
  <c r="O490" i="18"/>
  <c r="P490" i="18"/>
  <c r="P185" i="18"/>
  <c r="O185" i="18"/>
  <c r="P425" i="18"/>
  <c r="O425" i="18"/>
  <c r="Q1367" i="18" s="1"/>
  <c r="R1367" i="18" s="1"/>
  <c r="P685" i="18"/>
  <c r="O685" i="18"/>
  <c r="Q194" i="18" s="1"/>
  <c r="R194" i="18" s="1"/>
  <c r="P965" i="18"/>
  <c r="O965" i="18"/>
  <c r="P1210" i="18"/>
  <c r="O1210" i="18"/>
  <c r="P838" i="18"/>
  <c r="O838" i="18"/>
  <c r="P796" i="18"/>
  <c r="O796" i="18"/>
  <c r="P1035" i="18"/>
  <c r="O1035" i="18"/>
  <c r="Q1007" i="18" s="1"/>
  <c r="R1007" i="18" s="1"/>
  <c r="P811" i="18"/>
  <c r="O811" i="18"/>
  <c r="P939" i="18"/>
  <c r="O939" i="18"/>
  <c r="Q542" i="18" s="1"/>
  <c r="R542" i="18" s="1"/>
  <c r="P1017" i="18"/>
  <c r="O1017" i="18"/>
  <c r="Q920" i="18" s="1"/>
  <c r="R920" i="18" s="1"/>
  <c r="P1145" i="18"/>
  <c r="O1145" i="18"/>
  <c r="Q1286" i="18" s="1"/>
  <c r="R1286" i="18" s="1"/>
  <c r="P1080" i="18"/>
  <c r="O1080" i="18"/>
  <c r="Q1281" i="18" s="1"/>
  <c r="R1281" i="18" s="1"/>
  <c r="P638" i="18"/>
  <c r="O638" i="18"/>
  <c r="P529" i="18"/>
  <c r="O529" i="18"/>
  <c r="Q777" i="18" s="1"/>
  <c r="R777" i="18" s="1"/>
  <c r="P292" i="18"/>
  <c r="O292" i="18"/>
  <c r="P155" i="18"/>
  <c r="O155" i="18"/>
  <c r="P945" i="18"/>
  <c r="O945" i="18"/>
  <c r="P150" i="18"/>
  <c r="O150" i="18"/>
  <c r="Q94" i="18" s="1"/>
  <c r="R94" i="18" s="1"/>
  <c r="P321" i="18"/>
  <c r="O321" i="18"/>
  <c r="Q296" i="18" s="1"/>
  <c r="R296" i="18" s="1"/>
  <c r="P24" i="18"/>
  <c r="O24" i="18"/>
  <c r="Q344" i="18" s="1"/>
  <c r="R344" i="18" s="1"/>
  <c r="P448" i="18"/>
  <c r="O448" i="18"/>
  <c r="P42" i="18"/>
  <c r="O42" i="18"/>
  <c r="Q1027" i="18" s="1"/>
  <c r="R1027" i="18" s="1"/>
  <c r="P354" i="18"/>
  <c r="O354" i="18"/>
  <c r="Q1100" i="18" s="1"/>
  <c r="R1100" i="18" s="1"/>
  <c r="P483" i="18"/>
  <c r="O483" i="18"/>
  <c r="P1030" i="18"/>
  <c r="O1030" i="18"/>
  <c r="O1305" i="18"/>
  <c r="P1305" i="18"/>
  <c r="O288" i="18"/>
  <c r="Q757" i="18" s="1"/>
  <c r="R757" i="18" s="1"/>
  <c r="P288" i="18"/>
  <c r="O600" i="18"/>
  <c r="Q518" i="18" s="1"/>
  <c r="R518" i="18" s="1"/>
  <c r="P600" i="18"/>
  <c r="O59" i="18"/>
  <c r="Q1031" i="18" s="1"/>
  <c r="R1031" i="18" s="1"/>
  <c r="P59" i="18"/>
  <c r="O630" i="18"/>
  <c r="Q37" i="18" s="1"/>
  <c r="R37" i="18" s="1"/>
  <c r="P630" i="18"/>
  <c r="O596" i="18"/>
  <c r="P596" i="18"/>
  <c r="O415" i="18"/>
  <c r="P415" i="18"/>
  <c r="O149" i="18"/>
  <c r="P149" i="18"/>
  <c r="O410" i="18"/>
  <c r="Q136" i="18" s="1"/>
  <c r="R136" i="18" s="1"/>
  <c r="P410" i="18"/>
  <c r="O106" i="18"/>
  <c r="P106" i="18"/>
  <c r="O377" i="18"/>
  <c r="Q301" i="18" s="1"/>
  <c r="R301" i="18" s="1"/>
  <c r="P377" i="18"/>
  <c r="O637" i="18"/>
  <c r="P637" i="18"/>
  <c r="O837" i="18"/>
  <c r="Q846" i="18" s="1"/>
  <c r="R846" i="18" s="1"/>
  <c r="P837" i="18"/>
  <c r="O1098" i="18"/>
  <c r="P1098" i="18"/>
  <c r="O822" i="18"/>
  <c r="P822" i="18"/>
  <c r="P583" i="18"/>
  <c r="O583" i="18"/>
  <c r="P244" i="18"/>
  <c r="O244" i="18"/>
  <c r="P957" i="18"/>
  <c r="O957" i="18"/>
  <c r="O891" i="18"/>
  <c r="P891" i="18"/>
  <c r="P33" i="18"/>
  <c r="O33" i="18"/>
  <c r="Q684" i="18" s="1"/>
  <c r="R684" i="18" s="1"/>
  <c r="P492" i="18"/>
  <c r="O492" i="18"/>
  <c r="P357" i="18"/>
  <c r="O357" i="18"/>
  <c r="Q25" i="18" s="1"/>
  <c r="R25" i="18" s="1"/>
  <c r="P642" i="18"/>
  <c r="O642" i="18"/>
  <c r="Q182" i="18" s="1"/>
  <c r="R182" i="18" s="1"/>
  <c r="P543" i="18"/>
  <c r="O543" i="18"/>
  <c r="Q607" i="18" s="1"/>
  <c r="R607" i="18" s="1"/>
  <c r="P493" i="18"/>
  <c r="O493" i="18"/>
  <c r="P522" i="18"/>
  <c r="O522" i="18"/>
  <c r="P640" i="18"/>
  <c r="O640" i="18"/>
  <c r="Q181" i="18" s="1"/>
  <c r="R181" i="18" s="1"/>
  <c r="P934" i="18"/>
  <c r="O934" i="18"/>
  <c r="O923" i="18"/>
  <c r="P923" i="18"/>
  <c r="P105" i="18"/>
  <c r="O105" i="18"/>
  <c r="P698" i="18"/>
  <c r="O698" i="18"/>
  <c r="Q1165" i="18" s="1"/>
  <c r="R1165" i="18" s="1"/>
  <c r="P424" i="18"/>
  <c r="O424" i="18"/>
  <c r="P781" i="18"/>
  <c r="O781" i="18"/>
  <c r="Q219" i="18" s="1"/>
  <c r="R219" i="18" s="1"/>
  <c r="P576" i="18"/>
  <c r="O576" i="18"/>
  <c r="P526" i="18"/>
  <c r="O526" i="18"/>
  <c r="Q594" i="18" s="1"/>
  <c r="R594" i="18" s="1"/>
  <c r="P780" i="18"/>
  <c r="O780" i="18"/>
  <c r="O1051" i="18"/>
  <c r="Q1273" i="18" s="1"/>
  <c r="R1273" i="18" s="1"/>
  <c r="P1051" i="18"/>
  <c r="O1181" i="18"/>
  <c r="Q550" i="18" s="1"/>
  <c r="R550" i="18" s="1"/>
  <c r="P1181" i="18"/>
  <c r="O1356" i="18"/>
  <c r="P1356" i="18"/>
  <c r="O1228" i="18"/>
  <c r="P1228" i="18"/>
  <c r="O1267" i="18"/>
  <c r="P1267" i="18"/>
  <c r="O1314" i="18"/>
  <c r="P1314" i="18"/>
  <c r="O1357" i="18"/>
  <c r="P1357" i="18"/>
  <c r="O332" i="18"/>
  <c r="P332" i="18"/>
  <c r="O1118" i="18"/>
  <c r="P1118" i="18"/>
  <c r="O229" i="18"/>
  <c r="Q357" i="18" s="1"/>
  <c r="R357" i="18" s="1"/>
  <c r="P229" i="18"/>
  <c r="O179" i="18"/>
  <c r="P179" i="18"/>
  <c r="O94" i="18"/>
  <c r="Q1365" i="18" s="1"/>
  <c r="R1365" i="18" s="1"/>
  <c r="P94" i="18"/>
  <c r="O577" i="18"/>
  <c r="Q378" i="18" s="1"/>
  <c r="R378" i="18" s="1"/>
  <c r="P577" i="18"/>
  <c r="O255" i="18"/>
  <c r="P255" i="18"/>
  <c r="O514" i="18"/>
  <c r="Q592" i="18" s="1"/>
  <c r="R592" i="18" s="1"/>
  <c r="P514" i="18"/>
  <c r="O210" i="18"/>
  <c r="P210" i="18"/>
  <c r="O449" i="18"/>
  <c r="P449" i="18"/>
  <c r="O727" i="18"/>
  <c r="Q207" i="18" s="1"/>
  <c r="R207" i="18" s="1"/>
  <c r="P727" i="18"/>
  <c r="O1226" i="18"/>
  <c r="P1226" i="18"/>
  <c r="O639" i="18"/>
  <c r="P639" i="18"/>
  <c r="O541" i="18"/>
  <c r="Q605" i="18" s="1"/>
  <c r="R605" i="18" s="1"/>
  <c r="P541" i="18"/>
  <c r="O312" i="18"/>
  <c r="Q1086" i="18" s="1"/>
  <c r="R1086" i="18" s="1"/>
  <c r="P312" i="18"/>
  <c r="O43" i="18"/>
  <c r="Q471" i="18" s="1"/>
  <c r="R471" i="18" s="1"/>
  <c r="P43" i="18"/>
  <c r="O520" i="18"/>
  <c r="Q773" i="18" s="1"/>
  <c r="R773" i="18" s="1"/>
  <c r="P520" i="18"/>
  <c r="O566" i="18"/>
  <c r="Q514" i="18" s="1"/>
  <c r="R514" i="18" s="1"/>
  <c r="P566" i="18"/>
  <c r="O399" i="18"/>
  <c r="P399" i="18"/>
  <c r="O132" i="18"/>
  <c r="Q81" i="18" s="1"/>
  <c r="R81" i="18" s="1"/>
  <c r="P132" i="18"/>
  <c r="O394" i="18"/>
  <c r="P394" i="18"/>
  <c r="O1206" i="18"/>
  <c r="P1206" i="18"/>
  <c r="O330" i="18"/>
  <c r="P330" i="18"/>
  <c r="O1067" i="18"/>
  <c r="P1067" i="18"/>
  <c r="P1161" i="18"/>
  <c r="O1161" i="18"/>
  <c r="P320" i="18"/>
  <c r="O320" i="18"/>
  <c r="P337" i="18"/>
  <c r="O337" i="18"/>
  <c r="P370" i="18"/>
  <c r="O370" i="18"/>
  <c r="P348" i="18"/>
  <c r="O348" i="18"/>
  <c r="Q503" i="18" s="1"/>
  <c r="R503" i="18" s="1"/>
  <c r="P302" i="18"/>
  <c r="O302" i="18"/>
  <c r="Q363" i="18" s="1"/>
  <c r="R363" i="18" s="1"/>
  <c r="P833" i="18"/>
  <c r="O833" i="18"/>
  <c r="O1114" i="18"/>
  <c r="Q951" i="18" s="1"/>
  <c r="R951" i="18" s="1"/>
  <c r="P1114" i="18"/>
  <c r="O826" i="18"/>
  <c r="P826" i="18"/>
  <c r="O692" i="18"/>
  <c r="Q795" i="18" s="1"/>
  <c r="R795" i="18" s="1"/>
  <c r="P692" i="18"/>
  <c r="O729" i="18"/>
  <c r="P729" i="18"/>
  <c r="O954" i="18"/>
  <c r="P954" i="18"/>
  <c r="O784" i="18"/>
  <c r="P784" i="18"/>
  <c r="O912" i="18"/>
  <c r="Q801" i="18" s="1"/>
  <c r="R801" i="18" s="1"/>
  <c r="P912" i="18"/>
  <c r="O1039" i="18"/>
  <c r="P1039" i="18"/>
  <c r="O783" i="18"/>
  <c r="Q221" i="18" s="1"/>
  <c r="R221" i="18" s="1"/>
  <c r="P783" i="18"/>
  <c r="O911" i="18"/>
  <c r="P911" i="18"/>
  <c r="O1218" i="18"/>
  <c r="P1218" i="18"/>
  <c r="O1117" i="18"/>
  <c r="P1117" i="18"/>
  <c r="O1052" i="18"/>
  <c r="Q1274" i="18" s="1"/>
  <c r="R1274" i="18" s="1"/>
  <c r="P1052" i="18"/>
  <c r="O1360" i="18"/>
  <c r="P1360" i="18"/>
  <c r="O1234" i="18"/>
  <c r="Q1319" i="18" s="1"/>
  <c r="R1319" i="18" s="1"/>
  <c r="P1234" i="18"/>
  <c r="O1151" i="18"/>
  <c r="P1151" i="18"/>
  <c r="O1256" i="18"/>
  <c r="Q332" i="18" s="1"/>
  <c r="R332" i="18" s="1"/>
  <c r="P1256" i="18"/>
  <c r="O1315" i="18"/>
  <c r="P1315" i="18"/>
  <c r="O1366" i="18"/>
  <c r="P1366" i="18"/>
  <c r="O1046" i="18"/>
  <c r="P1046" i="18"/>
  <c r="O651" i="18"/>
  <c r="Q1159" i="18" s="1"/>
  <c r="R1159" i="18" s="1"/>
  <c r="P651" i="18"/>
  <c r="O874" i="18"/>
  <c r="P874" i="18"/>
  <c r="O768" i="18"/>
  <c r="P768" i="18"/>
  <c r="O928" i="18"/>
  <c r="Q804" i="18" s="1"/>
  <c r="R804" i="18" s="1"/>
  <c r="P928" i="18"/>
  <c r="O1087" i="18"/>
  <c r="P1087" i="18"/>
  <c r="O895" i="18"/>
  <c r="P895" i="18"/>
  <c r="O1037" i="18"/>
  <c r="P1037" i="18"/>
  <c r="O1300" i="18"/>
  <c r="P1300" i="18"/>
  <c r="P1249" i="18"/>
  <c r="O1249" i="18"/>
  <c r="P1250" i="18"/>
  <c r="O1250" i="18"/>
  <c r="Q1325" i="18" s="1"/>
  <c r="R1325" i="18" s="1"/>
  <c r="P1200" i="18"/>
  <c r="O1200" i="18"/>
  <c r="Q1292" i="18" s="1"/>
  <c r="R1292" i="18" s="1"/>
  <c r="P1299" i="18"/>
  <c r="O1299" i="18"/>
  <c r="P1297" i="18"/>
  <c r="O1297" i="18"/>
  <c r="Q988" i="18" s="1"/>
  <c r="R988" i="18" s="1"/>
  <c r="P235" i="18"/>
  <c r="O235" i="18"/>
  <c r="P364" i="18"/>
  <c r="O364" i="18"/>
  <c r="P494" i="18"/>
  <c r="O494" i="18"/>
  <c r="P809" i="18"/>
  <c r="O809" i="18"/>
  <c r="Q532" i="18" s="1"/>
  <c r="R532" i="18" s="1"/>
  <c r="P189" i="18"/>
  <c r="O189" i="18"/>
  <c r="Q829" i="18" s="1"/>
  <c r="R829" i="18" s="1"/>
  <c r="P318" i="18"/>
  <c r="O318" i="18"/>
  <c r="P445" i="18"/>
  <c r="O445" i="18"/>
  <c r="P571" i="18"/>
  <c r="O571" i="18"/>
  <c r="P707" i="18"/>
  <c r="O707" i="18"/>
  <c r="Q1169" i="18" s="1"/>
  <c r="R1169" i="18" s="1"/>
  <c r="P921" i="18"/>
  <c r="O921" i="18"/>
  <c r="Q1235" i="18" s="1"/>
  <c r="R1235" i="18" s="1"/>
  <c r="P612" i="18"/>
  <c r="O612" i="18"/>
  <c r="P1241" i="18"/>
  <c r="O1241" i="18"/>
  <c r="Q673" i="18" s="1"/>
  <c r="R673" i="18" s="1"/>
  <c r="P938" i="18"/>
  <c r="O938" i="18"/>
  <c r="Q1242" i="18" s="1"/>
  <c r="R1242" i="18" s="1"/>
  <c r="P1158" i="18"/>
  <c r="O1158" i="18"/>
  <c r="Q972" i="18" s="1"/>
  <c r="R972" i="18" s="1"/>
  <c r="P1165" i="18"/>
  <c r="O1165" i="18"/>
  <c r="P1296" i="18"/>
  <c r="O1296" i="18"/>
  <c r="Q987" i="18" s="1"/>
  <c r="R987" i="18" s="1"/>
  <c r="O528" i="18"/>
  <c r="Q776" i="18" s="1"/>
  <c r="R776" i="18" s="1"/>
  <c r="P528" i="18"/>
  <c r="O402" i="18"/>
  <c r="Q132" i="18" s="1"/>
  <c r="R132" i="18" s="1"/>
  <c r="P402" i="18"/>
  <c r="O909" i="18"/>
  <c r="P909" i="18"/>
  <c r="O1134" i="18"/>
  <c r="P1134" i="18"/>
  <c r="O899" i="18"/>
  <c r="Q853" i="18" s="1"/>
  <c r="R853" i="18" s="1"/>
  <c r="P899" i="18"/>
  <c r="O1221" i="18"/>
  <c r="P1221" i="18"/>
  <c r="O1333" i="18"/>
  <c r="P1333" i="18"/>
  <c r="O134" i="18"/>
  <c r="P134" i="18"/>
  <c r="O586" i="18"/>
  <c r="Q1144" i="18" s="1"/>
  <c r="R1144" i="18" s="1"/>
  <c r="P586" i="18"/>
  <c r="O634" i="18"/>
  <c r="Q180" i="18" s="1"/>
  <c r="R180" i="18" s="1"/>
  <c r="P634" i="18"/>
  <c r="O127" i="18"/>
  <c r="Q77" i="18" s="1"/>
  <c r="R77" i="18" s="1"/>
  <c r="P127" i="18"/>
  <c r="O926" i="18"/>
  <c r="P926" i="18"/>
  <c r="O948" i="18"/>
  <c r="P948" i="18"/>
  <c r="O1322" i="18"/>
  <c r="Q266" i="18" s="1"/>
  <c r="R266" i="18" s="1"/>
  <c r="P1322" i="18"/>
  <c r="O256" i="18"/>
  <c r="P256" i="18"/>
  <c r="O593" i="18"/>
  <c r="Q516" i="18" s="1"/>
  <c r="R516" i="18" s="1"/>
  <c r="P593" i="18"/>
  <c r="O71" i="18"/>
  <c r="P71" i="18"/>
  <c r="O614" i="18"/>
  <c r="Q1154" i="18" s="1"/>
  <c r="R1154" i="18" s="1"/>
  <c r="P614" i="18"/>
  <c r="O650" i="18"/>
  <c r="Q790" i="18" s="1"/>
  <c r="R790" i="18" s="1"/>
  <c r="P650" i="18"/>
  <c r="O427" i="18"/>
  <c r="P427" i="18"/>
  <c r="O162" i="18"/>
  <c r="Q861" i="18" s="1"/>
  <c r="R861" i="18" s="1"/>
  <c r="P162" i="18"/>
  <c r="O1162" i="18"/>
  <c r="P1162" i="18"/>
  <c r="O36" i="18"/>
  <c r="P36" i="18"/>
  <c r="O487" i="18"/>
  <c r="Q1131" i="18" s="1"/>
  <c r="R1131" i="18" s="1"/>
  <c r="P487" i="18"/>
  <c r="O498" i="18"/>
  <c r="P498" i="18"/>
  <c r="O465" i="18"/>
  <c r="Q511" i="18" s="1"/>
  <c r="R511" i="18" s="1"/>
  <c r="P465" i="18"/>
  <c r="O1074" i="18"/>
  <c r="Q661" i="18" s="1"/>
  <c r="R661" i="18" s="1"/>
  <c r="P1074" i="18"/>
  <c r="O830" i="18"/>
  <c r="P830" i="18"/>
  <c r="O852" i="18"/>
  <c r="P852" i="18"/>
  <c r="P90" i="18"/>
  <c r="O90" i="18"/>
  <c r="Q1040" i="18" s="1"/>
  <c r="R1040" i="18" s="1"/>
  <c r="O1110" i="18"/>
  <c r="Q947" i="18" s="1"/>
  <c r="R947" i="18" s="1"/>
  <c r="P1110" i="18"/>
  <c r="O851" i="18"/>
  <c r="Q44" i="18" s="1"/>
  <c r="R44" i="18" s="1"/>
  <c r="P851" i="18"/>
  <c r="O979" i="18"/>
  <c r="Q1253" i="18" s="1"/>
  <c r="R1253" i="18" s="1"/>
  <c r="P979" i="18"/>
  <c r="O1057" i="18"/>
  <c r="P1057" i="18"/>
  <c r="O1261" i="18"/>
  <c r="Q821" i="18" s="1"/>
  <c r="R821" i="18" s="1"/>
  <c r="P1261" i="18"/>
  <c r="O1191" i="18"/>
  <c r="Q437" i="18" s="1"/>
  <c r="R437" i="18" s="1"/>
  <c r="P1191" i="18"/>
  <c r="O1172" i="18"/>
  <c r="P1172" i="18"/>
  <c r="O1324" i="18"/>
  <c r="Q454" i="18" s="1"/>
  <c r="R454" i="18" s="1"/>
  <c r="P1324" i="18"/>
  <c r="O1220" i="18"/>
  <c r="P1220" i="18"/>
  <c r="O1259" i="18"/>
  <c r="P1259" i="18"/>
  <c r="O1306" i="18"/>
  <c r="P1306" i="18"/>
  <c r="O1349" i="18"/>
  <c r="Q681" i="18" s="1"/>
  <c r="R681" i="18" s="1"/>
  <c r="P1349" i="18"/>
  <c r="O236" i="18"/>
  <c r="P236" i="18"/>
  <c r="O45" i="18"/>
  <c r="P45" i="18"/>
  <c r="O6" i="18"/>
  <c r="Q6" i="18" s="1"/>
  <c r="R6" i="18" s="1"/>
  <c r="P6" i="18"/>
  <c r="O396" i="18"/>
  <c r="Q302" i="18" s="1"/>
  <c r="R302" i="18" s="1"/>
  <c r="P396" i="18"/>
  <c r="O55" i="18"/>
  <c r="P55" i="18"/>
  <c r="O249" i="18"/>
  <c r="Q20" i="18" s="1"/>
  <c r="R20" i="18" s="1"/>
  <c r="P249" i="18"/>
  <c r="O548" i="18"/>
  <c r="P548" i="18"/>
  <c r="O183" i="18"/>
  <c r="P183" i="18"/>
  <c r="O578" i="18"/>
  <c r="Q1140" i="18" s="1"/>
  <c r="R1140" i="18" s="1"/>
  <c r="P578" i="18"/>
  <c r="O121" i="18"/>
  <c r="Q71" i="18" s="1"/>
  <c r="R71" i="18" s="1"/>
  <c r="P121" i="18"/>
  <c r="O411" i="18"/>
  <c r="Q137" i="18" s="1"/>
  <c r="R137" i="18" s="1"/>
  <c r="P411" i="18"/>
  <c r="O581" i="18"/>
  <c r="P581" i="18"/>
  <c r="O145" i="18"/>
  <c r="P145" i="18"/>
  <c r="O259" i="18"/>
  <c r="Q111" i="18" s="1"/>
  <c r="R111" i="18" s="1"/>
  <c r="P259" i="18"/>
  <c r="O390" i="18"/>
  <c r="Q1107" i="18" s="1"/>
  <c r="R1107" i="18" s="1"/>
  <c r="P390" i="18"/>
  <c r="O519" i="18"/>
  <c r="P519" i="18"/>
  <c r="O1090" i="18"/>
  <c r="P1090" i="18"/>
  <c r="O214" i="18"/>
  <c r="Q488" i="18" s="1"/>
  <c r="R488" i="18" s="1"/>
  <c r="P214" i="18"/>
  <c r="O342" i="18"/>
  <c r="Q23" i="18" s="1"/>
  <c r="R23" i="18" s="1"/>
  <c r="P342" i="18"/>
  <c r="O469" i="18"/>
  <c r="Q29" i="18" s="1"/>
  <c r="R29" i="18" s="1"/>
  <c r="P469" i="18"/>
  <c r="O601" i="18"/>
  <c r="P601" i="18"/>
  <c r="O731" i="18"/>
  <c r="Q1174" i="18" s="1"/>
  <c r="R1174" i="18" s="1"/>
  <c r="P731" i="18"/>
  <c r="O845" i="18"/>
  <c r="P845" i="18"/>
  <c r="O604" i="18"/>
  <c r="P604" i="18"/>
  <c r="O734" i="18"/>
  <c r="P734" i="18"/>
  <c r="O643" i="18"/>
  <c r="P643" i="18"/>
  <c r="O770" i="18"/>
  <c r="Q632" i="18" s="1"/>
  <c r="R632" i="18" s="1"/>
  <c r="P770" i="18"/>
  <c r="O898" i="18"/>
  <c r="Q716" i="18" s="1"/>
  <c r="R716" i="18" s="1"/>
  <c r="P898" i="18"/>
  <c r="O1070" i="18"/>
  <c r="P1070" i="18"/>
  <c r="O856" i="18"/>
  <c r="Q714" i="18" s="1"/>
  <c r="R714" i="18" s="1"/>
  <c r="P856" i="18"/>
  <c r="O984" i="18"/>
  <c r="Q1258" i="18" s="1"/>
  <c r="R1258" i="18" s="1"/>
  <c r="P984" i="18"/>
  <c r="O1126" i="18"/>
  <c r="Q963" i="18" s="1"/>
  <c r="R963" i="18" s="1"/>
  <c r="P1126" i="18"/>
  <c r="O855" i="18"/>
  <c r="P855" i="18"/>
  <c r="O983" i="18"/>
  <c r="Q1257" i="18" s="1"/>
  <c r="R1257" i="18" s="1"/>
  <c r="P983" i="18"/>
  <c r="O1061" i="18"/>
  <c r="Q817" i="18" s="1"/>
  <c r="R817" i="18" s="1"/>
  <c r="P1061" i="18"/>
  <c r="O1277" i="18"/>
  <c r="Q265" i="18" s="1"/>
  <c r="R265" i="18" s="1"/>
  <c r="P1277" i="18"/>
  <c r="O1195" i="18"/>
  <c r="P1195" i="18"/>
  <c r="O1176" i="18"/>
  <c r="Q55" i="18" s="1"/>
  <c r="R55" i="18" s="1"/>
  <c r="P1176" i="18"/>
  <c r="O1340" i="18"/>
  <c r="Q1340" i="18" s="1"/>
  <c r="R1340" i="18" s="1"/>
  <c r="P1340" i="18"/>
  <c r="O1224" i="18"/>
  <c r="P1224" i="18"/>
  <c r="O1263" i="18"/>
  <c r="Q446" i="18" s="1"/>
  <c r="R446" i="18" s="1"/>
  <c r="P1263" i="18"/>
  <c r="O1310" i="18"/>
  <c r="Q677" i="18" s="1"/>
  <c r="R677" i="18" s="1"/>
  <c r="P1310" i="18"/>
  <c r="O275" i="18"/>
  <c r="P275" i="18"/>
  <c r="O406" i="18"/>
  <c r="Q370" i="18" s="1"/>
  <c r="R370" i="18" s="1"/>
  <c r="P406" i="18"/>
  <c r="O535" i="18"/>
  <c r="P535" i="18"/>
  <c r="O102" i="18"/>
  <c r="Q1046" i="18" s="1"/>
  <c r="R1046" i="18" s="1"/>
  <c r="P102" i="18"/>
  <c r="O198" i="18"/>
  <c r="P198" i="18"/>
  <c r="O326" i="18"/>
  <c r="Q1089" i="18" s="1"/>
  <c r="R1089" i="18" s="1"/>
  <c r="P326" i="18"/>
  <c r="O453" i="18"/>
  <c r="Q1121" i="18" s="1"/>
  <c r="R1121" i="18" s="1"/>
  <c r="P453" i="18"/>
  <c r="O579" i="18"/>
  <c r="Q787" i="18" s="1"/>
  <c r="R787" i="18" s="1"/>
  <c r="P579" i="18"/>
  <c r="O715" i="18"/>
  <c r="Q203" i="18" s="1"/>
  <c r="R203" i="18" s="1"/>
  <c r="P715" i="18"/>
  <c r="O961" i="18"/>
  <c r="Q810" i="18" s="1"/>
  <c r="R810" i="18" s="1"/>
  <c r="P961" i="18"/>
  <c r="O1078" i="18"/>
  <c r="P1078" i="18"/>
  <c r="O718" i="18"/>
  <c r="Q204" i="18" s="1"/>
  <c r="R204" i="18" s="1"/>
  <c r="P718" i="18"/>
  <c r="O627" i="18"/>
  <c r="P627" i="18"/>
  <c r="O753" i="18"/>
  <c r="Q213" i="18" s="1"/>
  <c r="R213" i="18" s="1"/>
  <c r="P753" i="18"/>
  <c r="O882" i="18"/>
  <c r="Q236" i="18" s="1"/>
  <c r="R236" i="18" s="1"/>
  <c r="P882" i="18"/>
  <c r="O1010" i="18"/>
  <c r="Q913" i="18" s="1"/>
  <c r="R913" i="18" s="1"/>
  <c r="P1010" i="18"/>
  <c r="O840" i="18"/>
  <c r="Q1204" i="18" s="1"/>
  <c r="R1204" i="18" s="1"/>
  <c r="P840" i="18"/>
  <c r="O968" i="18"/>
  <c r="Q905" i="18" s="1"/>
  <c r="R905" i="18" s="1"/>
  <c r="P968" i="18"/>
  <c r="O1095" i="18"/>
  <c r="Q932" i="18" s="1"/>
  <c r="R932" i="18" s="1"/>
  <c r="P1095" i="18"/>
  <c r="O839" i="18"/>
  <c r="Q406" i="18" s="1"/>
  <c r="R406" i="18" s="1"/>
  <c r="P839" i="18"/>
  <c r="O967" i="18"/>
  <c r="Q904" i="18" s="1"/>
  <c r="R904" i="18" s="1"/>
  <c r="P967" i="18"/>
  <c r="O1045" i="18"/>
  <c r="Q722" i="18" s="1"/>
  <c r="R722" i="18" s="1"/>
  <c r="P1045" i="18"/>
  <c r="O1173" i="18"/>
  <c r="P1173" i="18"/>
  <c r="O1179" i="18"/>
  <c r="Q819" i="18" s="1"/>
  <c r="R819" i="18" s="1"/>
  <c r="P1179" i="18"/>
  <c r="O1160" i="18"/>
  <c r="P1160" i="18"/>
  <c r="O1290" i="18"/>
  <c r="Q451" i="18" s="1"/>
  <c r="R451" i="18" s="1"/>
  <c r="P1290" i="18"/>
  <c r="O1208" i="18"/>
  <c r="Q1300" i="18" s="1"/>
  <c r="R1300" i="18" s="1"/>
  <c r="P1208" i="18"/>
  <c r="O1247" i="18"/>
  <c r="Q1322" i="18" s="1"/>
  <c r="R1322" i="18" s="1"/>
  <c r="P1247" i="18"/>
  <c r="O1371" i="18"/>
  <c r="Q1358" i="18" s="1"/>
  <c r="R1358" i="18" s="1"/>
  <c r="P1371" i="18"/>
  <c r="P1353" i="18"/>
  <c r="O1353" i="18"/>
  <c r="P49" i="18"/>
  <c r="O49" i="18"/>
  <c r="Q346" i="18" s="1"/>
  <c r="R346" i="18" s="1"/>
  <c r="P400" i="18"/>
  <c r="O400" i="18"/>
  <c r="Q130" i="18" s="1"/>
  <c r="R130" i="18" s="1"/>
  <c r="P221" i="18"/>
  <c r="O221" i="18"/>
  <c r="P80" i="18"/>
  <c r="O80" i="18"/>
  <c r="P70" i="18"/>
  <c r="O70" i="18"/>
  <c r="Q1033" i="18" s="1"/>
  <c r="R1033" i="18" s="1"/>
  <c r="P511" i="18"/>
  <c r="O511" i="18"/>
  <c r="P247" i="18"/>
  <c r="O247" i="18"/>
  <c r="Q18" i="18" s="1"/>
  <c r="R18" i="18" s="1"/>
  <c r="P506" i="18"/>
  <c r="O506" i="18"/>
  <c r="Q374" i="18" s="1"/>
  <c r="R374" i="18" s="1"/>
  <c r="P218" i="18"/>
  <c r="O218" i="18"/>
  <c r="P473" i="18"/>
  <c r="O473" i="18"/>
  <c r="P735" i="18"/>
  <c r="O735" i="18"/>
  <c r="Q796" i="18" s="1"/>
  <c r="R796" i="18" s="1"/>
  <c r="P624" i="18"/>
  <c r="O624" i="18"/>
  <c r="Q36" i="18" s="1"/>
  <c r="R36" i="18" s="1"/>
  <c r="P663" i="18"/>
  <c r="O663" i="18"/>
  <c r="P918" i="18"/>
  <c r="O918" i="18"/>
  <c r="Q1233" i="18" s="1"/>
  <c r="R1233" i="18" s="1"/>
  <c r="P892" i="18"/>
  <c r="O892" i="18"/>
  <c r="P1328" i="18"/>
  <c r="O1328" i="18"/>
  <c r="P1229" i="18"/>
  <c r="O1229" i="18"/>
  <c r="Q666" i="18" s="1"/>
  <c r="R666" i="18" s="1"/>
  <c r="P1147" i="18"/>
  <c r="O1147" i="18"/>
  <c r="Q255" i="18" s="1"/>
  <c r="R255" i="18" s="1"/>
  <c r="P1252" i="18"/>
  <c r="O1252" i="18"/>
  <c r="Q442" i="18" s="1"/>
  <c r="R442" i="18" s="1"/>
  <c r="P1311" i="18"/>
  <c r="O1311" i="18"/>
  <c r="P1362" i="18"/>
  <c r="O1362" i="18"/>
  <c r="Q1352" i="18" s="1"/>
  <c r="R1352" i="18" s="1"/>
  <c r="P109" i="18"/>
  <c r="O109" i="18"/>
  <c r="Q738" i="18" s="1"/>
  <c r="R738" i="18" s="1"/>
  <c r="P88" i="18"/>
  <c r="O88" i="18"/>
  <c r="P67" i="18"/>
  <c r="O67" i="18"/>
  <c r="P325" i="18"/>
  <c r="O325" i="18"/>
  <c r="P468" i="18"/>
  <c r="O468" i="18"/>
  <c r="P375" i="18"/>
  <c r="O375" i="18"/>
  <c r="Q1104" i="18" s="1"/>
  <c r="R1104" i="18" s="1"/>
  <c r="P107" i="18"/>
  <c r="O107" i="18"/>
  <c r="Q1047" i="18" s="1"/>
  <c r="R1047" i="18" s="1"/>
  <c r="P352" i="18"/>
  <c r="O352" i="18"/>
  <c r="Q1098" i="18" s="1"/>
  <c r="R1098" i="18" s="1"/>
  <c r="P755" i="18"/>
  <c r="O755" i="18"/>
  <c r="Q528" i="18" s="1"/>
  <c r="R528" i="18" s="1"/>
  <c r="P306" i="18"/>
  <c r="O306" i="18"/>
  <c r="P546" i="18"/>
  <c r="O546" i="18"/>
  <c r="Q610" i="18" s="1"/>
  <c r="R610" i="18" s="1"/>
  <c r="P857" i="18"/>
  <c r="O857" i="18"/>
  <c r="P696" i="18"/>
  <c r="O696" i="18"/>
  <c r="Q852" i="18" s="1"/>
  <c r="R852" i="18" s="1"/>
  <c r="P733" i="18"/>
  <c r="O733" i="18"/>
  <c r="Q895" i="18" s="1"/>
  <c r="R895" i="18" s="1"/>
  <c r="P324" i="18"/>
  <c r="O324" i="18"/>
  <c r="P130" i="18"/>
  <c r="O130" i="18"/>
  <c r="P205" i="18"/>
  <c r="O205" i="18"/>
  <c r="Q486" i="18" s="1"/>
  <c r="R486" i="18" s="1"/>
  <c r="P48" i="18"/>
  <c r="O48" i="18"/>
  <c r="P54" i="18"/>
  <c r="O54" i="18"/>
  <c r="P495" i="18"/>
  <c r="O495" i="18"/>
  <c r="Q161" i="18" s="1"/>
  <c r="R161" i="18" s="1"/>
  <c r="P719" i="18"/>
  <c r="O719" i="18"/>
  <c r="Q205" i="18" s="1"/>
  <c r="R205" i="18" s="1"/>
  <c r="P241" i="18"/>
  <c r="O241" i="18"/>
  <c r="O1099" i="18"/>
  <c r="Q936" i="18" s="1"/>
  <c r="R936" i="18" s="1"/>
  <c r="P1099" i="18"/>
  <c r="P403" i="18"/>
  <c r="O403" i="18"/>
  <c r="Q133" i="18" s="1"/>
  <c r="R133" i="18" s="1"/>
  <c r="P1042" i="18"/>
  <c r="O1042" i="18"/>
  <c r="Q1014" i="18" s="1"/>
  <c r="R1014" i="18" s="1"/>
  <c r="P404" i="18"/>
  <c r="O404" i="18"/>
  <c r="P461" i="18"/>
  <c r="O461" i="18"/>
  <c r="O295" i="18"/>
  <c r="Q116" i="18" s="1"/>
  <c r="R116" i="18" s="1"/>
  <c r="P295" i="18"/>
  <c r="P555" i="18"/>
  <c r="O555" i="18"/>
  <c r="P234" i="18"/>
  <c r="O234" i="18"/>
  <c r="P489" i="18"/>
  <c r="O489" i="18"/>
  <c r="Q590" i="18" s="1"/>
  <c r="R590" i="18" s="1"/>
  <c r="P841" i="18"/>
  <c r="O841" i="18"/>
  <c r="P608" i="18"/>
  <c r="O608" i="18"/>
  <c r="Q885" i="18" s="1"/>
  <c r="R885" i="18" s="1"/>
  <c r="P647" i="18"/>
  <c r="O647" i="18"/>
  <c r="Q1157" i="18" s="1"/>
  <c r="R1157" i="18" s="1"/>
  <c r="P902" i="18"/>
  <c r="O902" i="18"/>
  <c r="Q1002" i="18" s="1"/>
  <c r="R1002" i="18" s="1"/>
  <c r="P844" i="18"/>
  <c r="O844" i="18"/>
  <c r="P1083" i="18"/>
  <c r="O1083" i="18"/>
  <c r="P843" i="18"/>
  <c r="O843" i="18"/>
  <c r="Q712" i="18" s="1"/>
  <c r="R712" i="18" s="1"/>
  <c r="P971" i="18"/>
  <c r="O971" i="18"/>
  <c r="P1049" i="18"/>
  <c r="O1049" i="18"/>
  <c r="P1177" i="18"/>
  <c r="O1177" i="18"/>
  <c r="Q56" i="18" s="1"/>
  <c r="R56" i="18" s="1"/>
  <c r="P1183" i="18"/>
  <c r="O1183" i="18"/>
  <c r="Q973" i="18" s="1"/>
  <c r="R973" i="18" s="1"/>
  <c r="P220" i="18"/>
  <c r="O220" i="18"/>
  <c r="Q491" i="18" s="1"/>
  <c r="R491" i="18" s="1"/>
  <c r="P29" i="18"/>
  <c r="O29" i="18"/>
  <c r="P937" i="18"/>
  <c r="O937" i="18"/>
  <c r="Q1241" i="18" s="1"/>
  <c r="R1241" i="18" s="1"/>
  <c r="P376" i="18"/>
  <c r="O376" i="18"/>
  <c r="Q697" i="18" s="1"/>
  <c r="R697" i="18" s="1"/>
  <c r="P31" i="18"/>
  <c r="O31" i="18"/>
  <c r="P225" i="18"/>
  <c r="O225" i="18"/>
  <c r="Q869" i="18" s="1"/>
  <c r="R869" i="18" s="1"/>
  <c r="P524" i="18"/>
  <c r="O524" i="18"/>
  <c r="P122" i="18"/>
  <c r="O122" i="18"/>
  <c r="Q72" i="18" s="1"/>
  <c r="R72" i="18" s="1"/>
  <c r="P508" i="18"/>
  <c r="O508" i="18"/>
  <c r="Q1133" i="18" s="1"/>
  <c r="R1133" i="18" s="1"/>
  <c r="P74" i="18"/>
  <c r="O74" i="18"/>
  <c r="Q564" i="18" s="1"/>
  <c r="R564" i="18" s="1"/>
  <c r="P387" i="18"/>
  <c r="O387" i="18"/>
  <c r="Q762" i="18" s="1"/>
  <c r="R762" i="18" s="1"/>
  <c r="P515" i="18"/>
  <c r="O515" i="18"/>
  <c r="Q32" i="18" s="1"/>
  <c r="R32" i="18" s="1"/>
  <c r="P120" i="18"/>
  <c r="O120" i="18"/>
  <c r="Q70" i="18" s="1"/>
  <c r="R70" i="18" s="1"/>
  <c r="O1337" i="18"/>
  <c r="Q459" i="18" s="1"/>
  <c r="R459" i="18" s="1"/>
  <c r="P1337" i="18"/>
  <c r="O553" i="18"/>
  <c r="Q779" i="18" s="1"/>
  <c r="R779" i="18" s="1"/>
  <c r="P553" i="18"/>
  <c r="O171" i="18"/>
  <c r="Q693" i="18" s="1"/>
  <c r="R693" i="18" s="1"/>
  <c r="P171" i="18"/>
  <c r="O146" i="18"/>
  <c r="Q1051" i="18" s="1"/>
  <c r="R1051" i="18" s="1"/>
  <c r="P146" i="18"/>
  <c r="O16" i="18"/>
  <c r="P16" i="18"/>
  <c r="O38" i="18"/>
  <c r="Q275" i="18" s="1"/>
  <c r="R275" i="18" s="1"/>
  <c r="P38" i="18"/>
  <c r="O479" i="18"/>
  <c r="P479" i="18"/>
  <c r="O215" i="18"/>
  <c r="Q489" i="18" s="1"/>
  <c r="R489" i="18" s="1"/>
  <c r="P215" i="18"/>
  <c r="O474" i="18"/>
  <c r="Q1124" i="18" s="1"/>
  <c r="R1124" i="18" s="1"/>
  <c r="P474" i="18"/>
  <c r="O169" i="18"/>
  <c r="Q691" i="18" s="1"/>
  <c r="R691" i="18" s="1"/>
  <c r="P169" i="18"/>
  <c r="O441" i="18"/>
  <c r="Q149" i="18" s="1"/>
  <c r="R149" i="18" s="1"/>
  <c r="P441" i="18"/>
  <c r="O701" i="18"/>
  <c r="Q197" i="18" s="1"/>
  <c r="R197" i="18" s="1"/>
  <c r="P701" i="18"/>
  <c r="O1106" i="18"/>
  <c r="P1106" i="18"/>
  <c r="O631" i="18"/>
  <c r="Q178" i="18" s="1"/>
  <c r="R178" i="18" s="1"/>
  <c r="P631" i="18"/>
  <c r="O886" i="18"/>
  <c r="P886" i="18"/>
  <c r="P706" i="18"/>
  <c r="O706" i="18"/>
  <c r="P47" i="18"/>
  <c r="O47" i="18"/>
  <c r="Q735" i="18" s="1"/>
  <c r="R735" i="18" s="1"/>
  <c r="P587" i="18"/>
  <c r="O587" i="18"/>
  <c r="Q614" i="18" s="1"/>
  <c r="R614" i="18" s="1"/>
  <c r="O1138" i="18"/>
  <c r="Q425" i="18" s="1"/>
  <c r="R425" i="18" s="1"/>
  <c r="P1138" i="18"/>
  <c r="P304" i="18"/>
  <c r="O304" i="18"/>
  <c r="Q365" i="18" s="1"/>
  <c r="R365" i="18" s="1"/>
  <c r="P79" i="18"/>
  <c r="O79" i="18"/>
  <c r="P682" i="18"/>
  <c r="O682" i="18"/>
  <c r="P170" i="18"/>
  <c r="O170" i="18"/>
  <c r="P110" i="18"/>
  <c r="O110" i="18"/>
  <c r="Q1049" i="18" s="1"/>
  <c r="R1049" i="18" s="1"/>
  <c r="P625" i="18"/>
  <c r="O625" i="18"/>
  <c r="Q616" i="18" s="1"/>
  <c r="R616" i="18" s="1"/>
  <c r="P653" i="18"/>
  <c r="O653" i="18"/>
  <c r="Q792" i="18" s="1"/>
  <c r="R792" i="18" s="1"/>
  <c r="P1034" i="18"/>
  <c r="O1034" i="18"/>
  <c r="Q1006" i="18" s="1"/>
  <c r="R1006" i="18" s="1"/>
  <c r="P764" i="18"/>
  <c r="O764" i="18"/>
  <c r="O1285" i="18"/>
  <c r="Q448" i="18" s="1"/>
  <c r="R448" i="18" s="1"/>
  <c r="P1285" i="18"/>
  <c r="P101" i="18"/>
  <c r="O101" i="18"/>
  <c r="Q65" i="18" s="1"/>
  <c r="R65" i="18" s="1"/>
  <c r="P112" i="18"/>
  <c r="O112" i="18"/>
  <c r="Q565" i="18" s="1"/>
  <c r="R565" i="18" s="1"/>
  <c r="P26" i="18"/>
  <c r="O26" i="18"/>
  <c r="Q733" i="18" s="1"/>
  <c r="R733" i="18" s="1"/>
  <c r="P186" i="18"/>
  <c r="O186" i="18"/>
  <c r="Q1061" i="18" s="1"/>
  <c r="R1061" i="18" s="1"/>
  <c r="P140" i="18"/>
  <c r="O140" i="18"/>
  <c r="Q88" i="18" s="1"/>
  <c r="R88" i="18" s="1"/>
  <c r="P657" i="18"/>
  <c r="O657" i="18"/>
  <c r="Q185" i="18" s="1"/>
  <c r="R185" i="18" s="1"/>
  <c r="O860" i="18"/>
  <c r="Q1212" i="18" s="1"/>
  <c r="R1212" i="18" s="1"/>
  <c r="P860" i="18"/>
  <c r="O1233" i="18"/>
  <c r="Q1318" i="18" s="1"/>
  <c r="R1318" i="18" s="1"/>
  <c r="P1233" i="18"/>
  <c r="O1213" i="18"/>
  <c r="Q1305" i="18" s="1"/>
  <c r="R1305" i="18" s="1"/>
  <c r="P1213" i="18"/>
  <c r="O1131" i="18"/>
  <c r="Q965" i="18" s="1"/>
  <c r="R965" i="18" s="1"/>
  <c r="P1131" i="18"/>
  <c r="O1236" i="18"/>
  <c r="Q668" i="18" s="1"/>
  <c r="R668" i="18" s="1"/>
  <c r="P1236" i="18"/>
  <c r="O1298" i="18"/>
  <c r="Q989" i="18" s="1"/>
  <c r="R989" i="18" s="1"/>
  <c r="P1298" i="18"/>
  <c r="O1346" i="18"/>
  <c r="Q561" i="18" s="1"/>
  <c r="R561" i="18" s="1"/>
  <c r="P1346" i="18"/>
  <c r="O308" i="18"/>
  <c r="Q294" i="18" s="1"/>
  <c r="R294" i="18" s="1"/>
  <c r="P308" i="18"/>
  <c r="O28" i="18"/>
  <c r="Q826" i="18" s="1"/>
  <c r="R826" i="18" s="1"/>
  <c r="P28" i="18"/>
  <c r="O51" i="18"/>
  <c r="Q1029" i="18" s="1"/>
  <c r="R1029" i="18" s="1"/>
  <c r="P51" i="18"/>
  <c r="O293" i="18"/>
  <c r="P293" i="18"/>
  <c r="O428" i="18"/>
  <c r="P428" i="18"/>
  <c r="O192" i="18"/>
  <c r="Q831" i="18" s="1"/>
  <c r="R831" i="18" s="1"/>
  <c r="P192" i="18"/>
  <c r="O825" i="18"/>
  <c r="Q534" i="18" s="1"/>
  <c r="R534" i="18" s="1"/>
  <c r="P825" i="18"/>
  <c r="O319" i="18"/>
  <c r="P319" i="18"/>
  <c r="O580" i="18"/>
  <c r="Q1141" i="18" s="1"/>
  <c r="R1141" i="18" s="1"/>
  <c r="P580" i="18"/>
  <c r="O274" i="18"/>
  <c r="Q1075" i="18" s="1"/>
  <c r="R1075" i="18" s="1"/>
  <c r="P274" i="18"/>
  <c r="O513" i="18"/>
  <c r="Q166" i="18" s="1"/>
  <c r="R166" i="18" s="1"/>
  <c r="P513" i="18"/>
  <c r="O1094" i="18"/>
  <c r="P1094" i="18"/>
  <c r="O664" i="18"/>
  <c r="P664" i="18"/>
  <c r="O704" i="18"/>
  <c r="Q200" i="18" s="1"/>
  <c r="R200" i="18" s="1"/>
  <c r="P704" i="18"/>
  <c r="O260" i="18"/>
  <c r="Q112" i="18" s="1"/>
  <c r="R112" i="18" s="1"/>
  <c r="P260" i="18"/>
  <c r="O40" i="18"/>
  <c r="P40" i="18"/>
  <c r="O108" i="18"/>
  <c r="Q1048" i="18" s="1"/>
  <c r="R1048" i="18" s="1"/>
  <c r="P108" i="18"/>
  <c r="O694" i="18"/>
  <c r="P694" i="18"/>
  <c r="O22" i="18"/>
  <c r="Q1362" i="18" s="1"/>
  <c r="R1362" i="18" s="1"/>
  <c r="P22" i="18"/>
  <c r="O463" i="18"/>
  <c r="Q510" i="18" s="1"/>
  <c r="R510" i="18" s="1"/>
  <c r="P463" i="18"/>
  <c r="O199" i="18"/>
  <c r="P199" i="18"/>
  <c r="O458" i="18"/>
  <c r="Q767" i="18" s="1"/>
  <c r="R767" i="18" s="1"/>
  <c r="P458" i="18"/>
  <c r="O153" i="18"/>
  <c r="P153" i="18"/>
  <c r="O393" i="18"/>
  <c r="Q126" i="18" s="1"/>
  <c r="R126" i="18" s="1"/>
  <c r="P393" i="18"/>
  <c r="O827" i="18"/>
  <c r="Q226" i="18" s="1"/>
  <c r="R226" i="18" s="1"/>
  <c r="P827" i="18"/>
  <c r="P1096" i="18"/>
  <c r="O1096" i="18"/>
  <c r="Q933" i="18" s="1"/>
  <c r="R933" i="18" s="1"/>
  <c r="P175" i="18"/>
  <c r="O175" i="18"/>
  <c r="P52" i="18"/>
  <c r="O52" i="18"/>
  <c r="Q1030" i="18" s="1"/>
  <c r="R1030" i="18" s="1"/>
  <c r="P499" i="18"/>
  <c r="O499" i="18"/>
  <c r="Q880" i="18" s="1"/>
  <c r="R880" i="18" s="1"/>
  <c r="P478" i="18"/>
  <c r="O478" i="18"/>
  <c r="P429" i="18"/>
  <c r="O429" i="18"/>
  <c r="Q1112" i="18" s="1"/>
  <c r="R1112" i="18" s="1"/>
  <c r="O1150" i="18"/>
  <c r="P1150" i="18"/>
  <c r="O635" i="18"/>
  <c r="Q707" i="18" s="1"/>
  <c r="R707" i="18" s="1"/>
  <c r="P635" i="18"/>
  <c r="O890" i="18"/>
  <c r="Q1227" i="18" s="1"/>
  <c r="R1227" i="18" s="1"/>
  <c r="P890" i="18"/>
  <c r="O758" i="18"/>
  <c r="Q897" i="18" s="1"/>
  <c r="R897" i="18" s="1"/>
  <c r="P758" i="18"/>
  <c r="O794" i="18"/>
  <c r="Q1191" i="18" s="1"/>
  <c r="R1191" i="18" s="1"/>
  <c r="P794" i="18"/>
  <c r="O986" i="18"/>
  <c r="Q1260" i="18" s="1"/>
  <c r="R1260" i="18" s="1"/>
  <c r="P986" i="18"/>
  <c r="O816" i="18"/>
  <c r="Q1198" i="18" s="1"/>
  <c r="R1198" i="18" s="1"/>
  <c r="P816" i="18"/>
  <c r="O944" i="18"/>
  <c r="P944" i="18"/>
  <c r="O1071" i="18"/>
  <c r="Q658" i="18" s="1"/>
  <c r="R658" i="18" s="1"/>
  <c r="P1071" i="18"/>
  <c r="O815" i="18"/>
  <c r="Q1197" i="18" s="1"/>
  <c r="R1197" i="18" s="1"/>
  <c r="P815" i="18"/>
  <c r="O943" i="18"/>
  <c r="P943" i="18"/>
  <c r="O1021" i="18"/>
  <c r="P1021" i="18"/>
  <c r="O1149" i="18"/>
  <c r="Q427" i="18" s="1"/>
  <c r="R427" i="18" s="1"/>
  <c r="P1149" i="18"/>
  <c r="O1084" i="18"/>
  <c r="Q928" i="18" s="1"/>
  <c r="R928" i="18" s="1"/>
  <c r="P1084" i="18"/>
  <c r="O1136" i="18"/>
  <c r="Q328" i="18" s="1"/>
  <c r="R328" i="18" s="1"/>
  <c r="P1136" i="18"/>
  <c r="O1266" i="18"/>
  <c r="P1266" i="18"/>
  <c r="O1184" i="18"/>
  <c r="Q974" i="18" s="1"/>
  <c r="R974" i="18" s="1"/>
  <c r="P1184" i="18"/>
  <c r="O1288" i="18"/>
  <c r="Q60" i="18" s="1"/>
  <c r="R60" i="18" s="1"/>
  <c r="P1288" i="18"/>
  <c r="O1347" i="18"/>
  <c r="Q1344" i="18" s="1"/>
  <c r="R1344" i="18" s="1"/>
  <c r="P1347" i="18"/>
  <c r="O1313" i="18"/>
  <c r="Q452" i="18" s="1"/>
  <c r="R452" i="18" s="1"/>
  <c r="P1313" i="18"/>
  <c r="O742" i="18"/>
  <c r="Q1176" i="18" s="1"/>
  <c r="R1176" i="18" s="1"/>
  <c r="P742" i="18"/>
  <c r="O713" i="18"/>
  <c r="Q894" i="18" s="1"/>
  <c r="R894" i="18" s="1"/>
  <c r="P713" i="18"/>
  <c r="O906" i="18"/>
  <c r="Q1230" i="18" s="1"/>
  <c r="R1230" i="18" s="1"/>
  <c r="P906" i="18"/>
  <c r="O800" i="18"/>
  <c r="Q645" i="18" s="1"/>
  <c r="R645" i="18" s="1"/>
  <c r="P800" i="18"/>
  <c r="O992" i="18"/>
  <c r="Q543" i="18" s="1"/>
  <c r="R543" i="18" s="1"/>
  <c r="P992" i="18"/>
  <c r="O767" i="18"/>
  <c r="Q530" i="18" s="1"/>
  <c r="R530" i="18" s="1"/>
  <c r="P767" i="18"/>
  <c r="O927" i="18"/>
  <c r="Q540" i="18" s="1"/>
  <c r="R540" i="18" s="1"/>
  <c r="P927" i="18"/>
  <c r="O1069" i="18"/>
  <c r="P1069" i="18"/>
  <c r="O1036" i="18"/>
  <c r="Q1008" i="18" s="1"/>
  <c r="R1008" i="18" s="1"/>
  <c r="P1036" i="18"/>
  <c r="O1120" i="18"/>
  <c r="Q957" i="18" s="1"/>
  <c r="R957" i="18" s="1"/>
  <c r="P1120" i="18"/>
  <c r="O1282" i="18"/>
  <c r="Q1334" i="18" s="1"/>
  <c r="R1334" i="18" s="1"/>
  <c r="P1282" i="18"/>
  <c r="O1240" i="18"/>
  <c r="P1240" i="18"/>
  <c r="O1331" i="18"/>
  <c r="P1331" i="18"/>
  <c r="O1329" i="18"/>
  <c r="Q823" i="18" s="1"/>
  <c r="R823" i="18" s="1"/>
  <c r="P1329" i="18"/>
  <c r="O267" i="18"/>
  <c r="Q749" i="18" s="1"/>
  <c r="R749" i="18" s="1"/>
  <c r="P267" i="18"/>
  <c r="O398" i="18"/>
  <c r="Q128" i="18" s="1"/>
  <c r="R128" i="18" s="1"/>
  <c r="P398" i="18"/>
  <c r="P527" i="18"/>
  <c r="O527" i="18"/>
  <c r="Q167" i="18" s="1"/>
  <c r="R167" i="18" s="1"/>
  <c r="P1376" i="18"/>
  <c r="O1376" i="18"/>
  <c r="P222" i="18"/>
  <c r="O222" i="18"/>
  <c r="Q492" i="18" s="1"/>
  <c r="R492" i="18" s="1"/>
  <c r="P347" i="18"/>
  <c r="O347" i="18"/>
  <c r="Q1095" i="18" s="1"/>
  <c r="R1095" i="18" s="1"/>
  <c r="P477" i="18"/>
  <c r="O477" i="18"/>
  <c r="Q155" i="18" s="1"/>
  <c r="R155" i="18" s="1"/>
  <c r="P609" i="18"/>
  <c r="O609" i="18"/>
  <c r="P769" i="18"/>
  <c r="O769" i="18"/>
  <c r="Q216" i="18" s="1"/>
  <c r="R216" i="18" s="1"/>
  <c r="P889" i="18"/>
  <c r="O889" i="18"/>
  <c r="P644" i="18"/>
  <c r="O644" i="18"/>
  <c r="P683" i="18"/>
  <c r="O683" i="18"/>
  <c r="P1102" i="18"/>
  <c r="O1102" i="18"/>
  <c r="Q939" i="18" s="1"/>
  <c r="R939" i="18" s="1"/>
  <c r="P863" i="18"/>
  <c r="O863" i="18"/>
  <c r="Q1214" i="18" s="1"/>
  <c r="R1214" i="18" s="1"/>
  <c r="P1203" i="18"/>
  <c r="O1203" i="18"/>
  <c r="Q1295" i="18" s="1"/>
  <c r="R1295" i="18" s="1"/>
  <c r="P1271" i="18"/>
  <c r="O1271" i="18"/>
  <c r="Q334" i="18" s="1"/>
  <c r="R334" i="18" s="1"/>
  <c r="O708" i="18"/>
  <c r="P708" i="18"/>
  <c r="O512" i="18"/>
  <c r="Q840" i="18" s="1"/>
  <c r="R840" i="18" s="1"/>
  <c r="P512" i="18"/>
  <c r="O98" i="18"/>
  <c r="Q1044" i="18" s="1"/>
  <c r="R1044" i="18" s="1"/>
  <c r="P98" i="18"/>
  <c r="O730" i="18"/>
  <c r="Q526" i="18" s="1"/>
  <c r="R526" i="18" s="1"/>
  <c r="P730" i="18"/>
  <c r="O868" i="18"/>
  <c r="Q1219" i="18" s="1"/>
  <c r="R1219" i="18" s="1"/>
  <c r="P868" i="18"/>
  <c r="O1170" i="18"/>
  <c r="P1170" i="18"/>
  <c r="O1265" i="18"/>
  <c r="P1265" i="18"/>
  <c r="O1243" i="18"/>
  <c r="Q331" i="18" s="1"/>
  <c r="R331" i="18" s="1"/>
  <c r="P1243" i="18"/>
  <c r="O233" i="18"/>
  <c r="Q358" i="18" s="1"/>
  <c r="R358" i="18" s="1"/>
  <c r="P233" i="18"/>
  <c r="O204" i="18"/>
  <c r="Q866" i="18" s="1"/>
  <c r="R866" i="18" s="1"/>
  <c r="P204" i="18"/>
  <c r="O158" i="18"/>
  <c r="Q354" i="18" s="1"/>
  <c r="R354" i="18" s="1"/>
  <c r="P158" i="18"/>
  <c r="O19" i="18"/>
  <c r="P19" i="18"/>
  <c r="O466" i="18"/>
  <c r="Q850" i="18" s="1"/>
  <c r="R850" i="18" s="1"/>
  <c r="P466" i="18"/>
  <c r="O942" i="18"/>
  <c r="Q1244" i="18" s="1"/>
  <c r="R1244" i="18" s="1"/>
  <c r="P942" i="18"/>
  <c r="O931" i="18"/>
  <c r="Q541" i="18" s="1"/>
  <c r="R541" i="18" s="1"/>
  <c r="P931" i="18"/>
  <c r="O1254" i="18"/>
  <c r="Q730" i="18" s="1"/>
  <c r="R730" i="18" s="1"/>
  <c r="P1254" i="18"/>
  <c r="O7" i="18"/>
  <c r="Q7" i="18" s="1"/>
  <c r="R7" i="18" s="1"/>
  <c r="P7" i="18"/>
  <c r="O743" i="18"/>
  <c r="P743" i="18"/>
  <c r="O303" i="18"/>
  <c r="Q364" i="18" s="1"/>
  <c r="R364" i="18" s="1"/>
  <c r="P303" i="18"/>
  <c r="O884" i="18"/>
  <c r="P884" i="18"/>
  <c r="O201" i="18"/>
  <c r="P201" i="18"/>
  <c r="O525" i="18"/>
  <c r="Q33" i="18" s="1"/>
  <c r="R33" i="18" s="1"/>
  <c r="P525" i="18"/>
  <c r="O591" i="18"/>
  <c r="Q515" i="18" s="1"/>
  <c r="R515" i="18" s="1"/>
  <c r="P591" i="18"/>
  <c r="O990" i="18"/>
  <c r="Q1263" i="18" s="1"/>
  <c r="R1263" i="18" s="1"/>
  <c r="P990" i="18"/>
  <c r="O980" i="18"/>
  <c r="Q1254" i="18" s="1"/>
  <c r="R1254" i="18" s="1"/>
  <c r="P980" i="18"/>
  <c r="O1230" i="18"/>
  <c r="Q1315" i="18" s="1"/>
  <c r="R1315" i="18" s="1"/>
  <c r="P1230" i="18"/>
  <c r="O883" i="18"/>
  <c r="P883" i="18"/>
  <c r="O1011" i="18"/>
  <c r="P1011" i="18"/>
  <c r="O1223" i="18"/>
  <c r="Q330" i="18" s="1"/>
  <c r="R330" i="18" s="1"/>
  <c r="P1223" i="18"/>
  <c r="O1205" i="18"/>
  <c r="Q1297" i="18" s="1"/>
  <c r="R1297" i="18" s="1"/>
  <c r="P1205" i="18"/>
  <c r="O1123" i="18"/>
  <c r="Q960" i="18" s="1"/>
  <c r="R960" i="18" s="1"/>
  <c r="P1123" i="18"/>
  <c r="O1368" i="18"/>
  <c r="Q1355" i="18" s="1"/>
  <c r="R1355" i="18" s="1"/>
  <c r="P1368" i="18"/>
  <c r="O1291" i="18"/>
  <c r="Q1337" i="18" s="1"/>
  <c r="R1337" i="18" s="1"/>
  <c r="P1291" i="18"/>
  <c r="O1338" i="18"/>
  <c r="Q460" i="18" s="1"/>
  <c r="R460" i="18" s="1"/>
  <c r="P1338" i="18"/>
  <c r="O21" i="18"/>
  <c r="Q825" i="18" s="1"/>
  <c r="R825" i="18" s="1"/>
  <c r="P21" i="18"/>
  <c r="O280" i="18"/>
  <c r="P280" i="18"/>
  <c r="O113" i="18"/>
  <c r="Q477" i="18" s="1"/>
  <c r="R477" i="18" s="1"/>
  <c r="P113" i="18"/>
  <c r="O797" i="18"/>
  <c r="Q642" i="18" s="1"/>
  <c r="R642" i="18" s="1"/>
  <c r="P797" i="18"/>
  <c r="O476" i="18"/>
  <c r="Q309" i="18" s="1"/>
  <c r="R309" i="18" s="1"/>
  <c r="P476" i="18"/>
  <c r="O87" i="18"/>
  <c r="Q687" i="18" s="1"/>
  <c r="R687" i="18" s="1"/>
  <c r="P87" i="18"/>
  <c r="O281" i="18"/>
  <c r="Q361" i="18" s="1"/>
  <c r="R361" i="18" s="1"/>
  <c r="P281" i="18"/>
  <c r="O678" i="18"/>
  <c r="P678" i="18"/>
  <c r="O369" i="18"/>
  <c r="Q584" i="18" s="1"/>
  <c r="R584" i="18" s="1"/>
  <c r="P369" i="18"/>
  <c r="O751" i="18"/>
  <c r="Q399" i="18" s="1"/>
  <c r="R399" i="18" s="1"/>
  <c r="P751" i="18"/>
  <c r="O164" i="18"/>
  <c r="Q1055" i="18" s="1"/>
  <c r="R1055" i="18" s="1"/>
  <c r="P164" i="18"/>
  <c r="O443" i="18"/>
  <c r="Q1120" i="18" s="1"/>
  <c r="R1120" i="18" s="1"/>
  <c r="P443" i="18"/>
  <c r="O674" i="18"/>
  <c r="Q889" i="18" s="1"/>
  <c r="R889" i="18" s="1"/>
  <c r="P674" i="18"/>
  <c r="O178" i="18"/>
  <c r="Q741" i="18" s="1"/>
  <c r="R741" i="18" s="1"/>
  <c r="P178" i="18"/>
  <c r="O291" i="18"/>
  <c r="Q1079" i="18" s="1"/>
  <c r="R1079" i="18" s="1"/>
  <c r="P291" i="18"/>
  <c r="O422" i="18"/>
  <c r="P422" i="18"/>
  <c r="O551" i="18"/>
  <c r="Q1139" i="18" s="1"/>
  <c r="R1139" i="18" s="1"/>
  <c r="P551" i="18"/>
  <c r="O118" i="18"/>
  <c r="Q68" i="18" s="1"/>
  <c r="R68" i="18" s="1"/>
  <c r="P118" i="18"/>
  <c r="O246" i="18"/>
  <c r="Q495" i="18" s="1"/>
  <c r="R495" i="18" s="1"/>
  <c r="P246" i="18"/>
  <c r="O371" i="18"/>
  <c r="Q759" i="18" s="1"/>
  <c r="R759" i="18" s="1"/>
  <c r="P371" i="18"/>
  <c r="O501" i="18"/>
  <c r="Q513" i="18" s="1"/>
  <c r="R513" i="18" s="1"/>
  <c r="P501" i="18"/>
  <c r="O633" i="18"/>
  <c r="Q179" i="18" s="1"/>
  <c r="R179" i="18" s="1"/>
  <c r="P633" i="18"/>
  <c r="O969" i="18"/>
  <c r="Q906" i="18" s="1"/>
  <c r="R906" i="18" s="1"/>
  <c r="P969" i="18"/>
  <c r="O1058" i="18"/>
  <c r="Q814" i="18" s="1"/>
  <c r="R814" i="18" s="1"/>
  <c r="P1058" i="18"/>
  <c r="O636" i="18"/>
  <c r="Q789" i="18" s="1"/>
  <c r="R789" i="18" s="1"/>
  <c r="P636" i="18"/>
  <c r="O1018" i="18"/>
  <c r="Q921" i="18" s="1"/>
  <c r="R921" i="18" s="1"/>
  <c r="P1018" i="18"/>
  <c r="O675" i="18"/>
  <c r="Q890" i="18" s="1"/>
  <c r="R890" i="18" s="1"/>
  <c r="P675" i="18"/>
  <c r="O802" i="18"/>
  <c r="P802" i="18"/>
  <c r="O930" i="18"/>
  <c r="Q1238" i="18" s="1"/>
  <c r="R1238" i="18" s="1"/>
  <c r="P930" i="18"/>
  <c r="O1312" i="18"/>
  <c r="P1312" i="18"/>
  <c r="O888" i="18"/>
  <c r="Q1225" i="18" s="1"/>
  <c r="R1225" i="18" s="1"/>
  <c r="P888" i="18"/>
  <c r="O1015" i="18"/>
  <c r="Q918" i="18" s="1"/>
  <c r="R918" i="18" s="1"/>
  <c r="P1015" i="18"/>
  <c r="O1348" i="18"/>
  <c r="Q680" i="18" s="1"/>
  <c r="R680" i="18" s="1"/>
  <c r="P1348" i="18"/>
  <c r="O887" i="18"/>
  <c r="Q46" i="18" s="1"/>
  <c r="R46" i="18" s="1"/>
  <c r="P887" i="18"/>
  <c r="O1122" i="18"/>
  <c r="Q959" i="18" s="1"/>
  <c r="R959" i="18" s="1"/>
  <c r="P1122" i="18"/>
  <c r="O1093" i="18"/>
  <c r="Q1285" i="18" s="1"/>
  <c r="R1285" i="18" s="1"/>
  <c r="P1093" i="18"/>
  <c r="O1028" i="18"/>
  <c r="Q923" i="18" s="1"/>
  <c r="R923" i="18" s="1"/>
  <c r="P1028" i="18"/>
  <c r="O1227" i="18"/>
  <c r="P1227" i="18"/>
  <c r="O1209" i="18"/>
  <c r="Q1301" i="18" s="1"/>
  <c r="R1301" i="18" s="1"/>
  <c r="P1209" i="18"/>
  <c r="O1127" i="18"/>
  <c r="P1127" i="18"/>
  <c r="O1232" i="18"/>
  <c r="Q1317" i="18" s="1"/>
  <c r="R1317" i="18" s="1"/>
  <c r="P1232" i="18"/>
  <c r="O1295" i="18"/>
  <c r="Q986" i="18" s="1"/>
  <c r="R986" i="18" s="1"/>
  <c r="P1295" i="18"/>
  <c r="O1342" i="18"/>
  <c r="Q1342" i="18" s="1"/>
  <c r="R1342" i="18" s="1"/>
  <c r="P1342" i="18"/>
  <c r="O307" i="18"/>
  <c r="P307" i="18"/>
  <c r="O438" i="18"/>
  <c r="Q700" i="18" s="1"/>
  <c r="R700" i="18" s="1"/>
  <c r="P438" i="18"/>
  <c r="O568" i="18"/>
  <c r="Q783" i="18" s="1"/>
  <c r="R783" i="18" s="1"/>
  <c r="P568" i="18"/>
  <c r="O876" i="18"/>
  <c r="Q318" i="18" s="1"/>
  <c r="R318" i="18" s="1"/>
  <c r="P876" i="18"/>
  <c r="O230" i="18"/>
  <c r="P230" i="18"/>
  <c r="O355" i="18"/>
  <c r="Q1101" i="18" s="1"/>
  <c r="R1101" i="18" s="1"/>
  <c r="P355" i="18"/>
  <c r="O485" i="18"/>
  <c r="P485" i="18"/>
  <c r="O617" i="18"/>
  <c r="Q176" i="18" s="1"/>
  <c r="R176" i="18" s="1"/>
  <c r="P617" i="18"/>
  <c r="O813" i="18"/>
  <c r="Q1195" i="18" s="1"/>
  <c r="R1195" i="18" s="1"/>
  <c r="P813" i="18"/>
  <c r="O929" i="18"/>
  <c r="Q1237" i="18" s="1"/>
  <c r="R1237" i="18" s="1"/>
  <c r="P929" i="18"/>
  <c r="O620" i="18"/>
  <c r="Q385" i="18" s="1"/>
  <c r="R385" i="18" s="1"/>
  <c r="P620" i="18"/>
  <c r="O750" i="18"/>
  <c r="Q398" i="18" s="1"/>
  <c r="R398" i="18" s="1"/>
  <c r="P750" i="18"/>
  <c r="O659" i="18"/>
  <c r="Q793" i="18" s="1"/>
  <c r="R793" i="18" s="1"/>
  <c r="P659" i="18"/>
  <c r="O786" i="18"/>
  <c r="Q709" i="18" s="1"/>
  <c r="R709" i="18" s="1"/>
  <c r="P786" i="18"/>
  <c r="O914" i="18"/>
  <c r="Q803" i="18" s="1"/>
  <c r="R803" i="18" s="1"/>
  <c r="P914" i="18"/>
  <c r="O1166" i="18"/>
  <c r="Q430" i="18" s="1"/>
  <c r="R430" i="18" s="1"/>
  <c r="P1166" i="18"/>
  <c r="O872" i="18"/>
  <c r="Q1222" i="18" s="1"/>
  <c r="R1222" i="18" s="1"/>
  <c r="P872" i="18"/>
  <c r="O1000" i="18"/>
  <c r="Q420" i="18" s="1"/>
  <c r="R420" i="18" s="1"/>
  <c r="P1000" i="18"/>
  <c r="O1182" i="18"/>
  <c r="Q58" i="18" s="1"/>
  <c r="R58" i="18" s="1"/>
  <c r="P1182" i="18"/>
  <c r="O871" i="18"/>
  <c r="P871" i="18"/>
  <c r="O999" i="18"/>
  <c r="P999" i="18"/>
  <c r="O1077" i="18"/>
  <c r="Q1278" i="18" s="1"/>
  <c r="R1278" i="18" s="1"/>
  <c r="P1077" i="18"/>
  <c r="O1364" i="18"/>
  <c r="Q1354" i="18" s="1"/>
  <c r="R1354" i="18" s="1"/>
  <c r="P1364" i="18"/>
  <c r="O1211" i="18"/>
  <c r="Q1303" i="18" s="1"/>
  <c r="R1303" i="18" s="1"/>
  <c r="P1211" i="18"/>
  <c r="O1193" i="18"/>
  <c r="P1193" i="18"/>
  <c r="O1111" i="18"/>
  <c r="Q948" i="18" s="1"/>
  <c r="R948" i="18" s="1"/>
  <c r="P1111" i="18"/>
  <c r="O1320" i="18"/>
  <c r="Q996" i="18" s="1"/>
  <c r="R996" i="18" s="1"/>
  <c r="P1320" i="18"/>
  <c r="O1279" i="18"/>
  <c r="Q1331" i="18" s="1"/>
  <c r="R1331" i="18" s="1"/>
  <c r="P1279" i="18"/>
  <c r="O1326" i="18"/>
  <c r="P1326" i="18"/>
  <c r="P93" i="18"/>
  <c r="O93" i="18"/>
  <c r="Q14" i="18" s="1"/>
  <c r="R14" i="18" s="1"/>
  <c r="P196" i="18"/>
  <c r="O196" i="18"/>
  <c r="Q1065" i="18" s="1"/>
  <c r="R1065" i="18" s="1"/>
  <c r="P504" i="18"/>
  <c r="O504" i="18"/>
  <c r="P285" i="18"/>
  <c r="O285" i="18"/>
  <c r="Q754" i="18" s="1"/>
  <c r="R754" i="18" s="1"/>
  <c r="P380" i="18"/>
  <c r="O380" i="18"/>
  <c r="Q124" i="18" s="1"/>
  <c r="R124" i="18" s="1"/>
  <c r="P168" i="18"/>
  <c r="O168" i="18"/>
  <c r="P690" i="18"/>
  <c r="O690" i="18"/>
  <c r="P311" i="18"/>
  <c r="O311" i="18"/>
  <c r="Q1085" i="18" s="1"/>
  <c r="R1085" i="18" s="1"/>
  <c r="P572" i="18"/>
  <c r="O572" i="18"/>
  <c r="P282" i="18"/>
  <c r="O282" i="18"/>
  <c r="Q1078" i="18" s="1"/>
  <c r="R1078" i="18" s="1"/>
  <c r="P538" i="18"/>
  <c r="O538" i="18"/>
  <c r="P805" i="18"/>
  <c r="O805" i="18"/>
  <c r="Q404" i="18" s="1"/>
  <c r="R404" i="18" s="1"/>
  <c r="P688" i="18"/>
  <c r="O688" i="18"/>
  <c r="Q313" i="18" s="1"/>
  <c r="R313" i="18" s="1"/>
  <c r="P725" i="18"/>
  <c r="O725" i="18"/>
  <c r="Q627" i="18" s="1"/>
  <c r="R627" i="18" s="1"/>
  <c r="P982" i="18"/>
  <c r="O982" i="18"/>
  <c r="Q1256" i="18" s="1"/>
  <c r="R1256" i="18" s="1"/>
  <c r="P956" i="18"/>
  <c r="O956" i="18"/>
  <c r="Q807" i="18" s="1"/>
  <c r="R807" i="18" s="1"/>
  <c r="P1132" i="18"/>
  <c r="O1132" i="18"/>
  <c r="P1262" i="18"/>
  <c r="O1262" i="18"/>
  <c r="Q822" i="18" s="1"/>
  <c r="R822" i="18" s="1"/>
  <c r="P1180" i="18"/>
  <c r="O1180" i="18"/>
  <c r="Q435" i="18" s="1"/>
  <c r="R435" i="18" s="1"/>
  <c r="P1284" i="18"/>
  <c r="O1284" i="18"/>
  <c r="Q1336" i="18" s="1"/>
  <c r="R1336" i="18" s="1"/>
  <c r="P1343" i="18"/>
  <c r="O1343" i="18"/>
  <c r="Q1343" i="18" s="1"/>
  <c r="R1343" i="18" s="1"/>
  <c r="P1309" i="18"/>
  <c r="O1309" i="18"/>
  <c r="P97" i="18"/>
  <c r="O97" i="18"/>
  <c r="Q1043" i="18" s="1"/>
  <c r="R1043" i="18" s="1"/>
  <c r="P408" i="18"/>
  <c r="O408" i="18"/>
  <c r="P100" i="18"/>
  <c r="O100" i="18"/>
  <c r="Q282" i="18" s="1"/>
  <c r="R282" i="18" s="1"/>
  <c r="P662" i="18"/>
  <c r="O662" i="18"/>
  <c r="P703" i="18"/>
  <c r="O703" i="18"/>
  <c r="Q199" i="18" s="1"/>
  <c r="R199" i="18" s="1"/>
  <c r="P439" i="18"/>
  <c r="O439" i="18"/>
  <c r="P174" i="18"/>
  <c r="O174" i="18"/>
  <c r="Q1057" i="18" s="1"/>
  <c r="R1057" i="18" s="1"/>
  <c r="P418" i="18"/>
  <c r="O418" i="18"/>
  <c r="Q143" i="18" s="1"/>
  <c r="R143" i="18" s="1"/>
  <c r="P114" i="18"/>
  <c r="O114" i="18"/>
  <c r="Q478" i="18" s="1"/>
  <c r="R478" i="18" s="1"/>
  <c r="P351" i="18"/>
  <c r="O351" i="18"/>
  <c r="P613" i="18"/>
  <c r="O613" i="18"/>
  <c r="Q383" i="18" s="1"/>
  <c r="R383" i="18" s="1"/>
  <c r="P993" i="18"/>
  <c r="O993" i="18"/>
  <c r="Q1372" i="18" s="1"/>
  <c r="R1372" i="18" s="1"/>
  <c r="P1066" i="18"/>
  <c r="O1066" i="18"/>
  <c r="Q653" i="18" s="1"/>
  <c r="R653" i="18" s="1"/>
  <c r="P1043" i="18"/>
  <c r="O1043" i="18"/>
  <c r="P17" i="18"/>
  <c r="O17" i="18"/>
  <c r="Q469" i="18" s="1"/>
  <c r="R469" i="18" s="1"/>
  <c r="P436" i="18"/>
  <c r="O436" i="18"/>
  <c r="Q1118" i="18" s="1"/>
  <c r="R1118" i="18" s="1"/>
  <c r="P269" i="18"/>
  <c r="O269" i="18"/>
  <c r="Q751" i="18" s="1"/>
  <c r="R751" i="18" s="1"/>
  <c r="P353" i="18"/>
  <c r="O353" i="18"/>
  <c r="P152" i="18"/>
  <c r="O152" i="18"/>
  <c r="Q96" i="18" s="1"/>
  <c r="R96" i="18" s="1"/>
  <c r="P626" i="18"/>
  <c r="O626" i="18"/>
  <c r="P53" i="18"/>
  <c r="O53" i="18"/>
  <c r="Q855" i="18" s="1"/>
  <c r="R855" i="18" s="1"/>
  <c r="P723" i="18"/>
  <c r="O723" i="18"/>
  <c r="Q625" i="18" s="1"/>
  <c r="R625" i="18" s="1"/>
  <c r="P1293" i="18"/>
  <c r="O1293" i="18"/>
  <c r="Q984" i="18" s="1"/>
  <c r="R984" i="18" s="1"/>
  <c r="P382" i="18"/>
  <c r="O382" i="18"/>
  <c r="Q698" i="18" s="1"/>
  <c r="R698" i="18" s="1"/>
  <c r="P870" i="18"/>
  <c r="O870" i="18"/>
  <c r="Q1221" i="18" s="1"/>
  <c r="R1221" i="18" s="1"/>
  <c r="P159" i="18"/>
  <c r="O159" i="18"/>
  <c r="Q286" i="18" s="1"/>
  <c r="R286" i="18" s="1"/>
  <c r="P99" i="18"/>
  <c r="O99" i="18"/>
  <c r="Q1045" i="18" s="1"/>
  <c r="R1045" i="18" s="1"/>
  <c r="P360" i="18"/>
  <c r="O360" i="18"/>
  <c r="P785" i="18"/>
  <c r="O785" i="18"/>
  <c r="Q1186" i="18" s="1"/>
  <c r="R1186" i="18" s="1"/>
  <c r="P298" i="18"/>
  <c r="O298" i="18"/>
  <c r="P554" i="18"/>
  <c r="O554" i="18"/>
  <c r="Q882" i="18" s="1"/>
  <c r="R882" i="18" s="1"/>
  <c r="P756" i="18"/>
  <c r="O756" i="18"/>
  <c r="P672" i="18"/>
  <c r="O672" i="18"/>
  <c r="Q38" i="18" s="1"/>
  <c r="R38" i="18" s="1"/>
  <c r="P709" i="18"/>
  <c r="O709" i="18"/>
  <c r="P966" i="18"/>
  <c r="O966" i="18"/>
  <c r="Q903" i="18" s="1"/>
  <c r="R903" i="18" s="1"/>
  <c r="P908" i="18"/>
  <c r="O908" i="18"/>
  <c r="Q320" i="18" s="1"/>
  <c r="R320" i="18" s="1"/>
  <c r="P1142" i="18"/>
  <c r="O1142" i="18"/>
  <c r="Q727" i="18" s="1"/>
  <c r="R727" i="18" s="1"/>
  <c r="P875" i="18"/>
  <c r="O875" i="18"/>
  <c r="Q409" i="18" s="1"/>
  <c r="R409" i="18" s="1"/>
  <c r="P1003" i="18"/>
  <c r="O1003" i="18"/>
  <c r="Q718" i="18" s="1"/>
  <c r="R718" i="18" s="1"/>
  <c r="P1081" i="18"/>
  <c r="O1081" i="18"/>
  <c r="Q723" i="18" s="1"/>
  <c r="R723" i="18" s="1"/>
  <c r="P1016" i="18"/>
  <c r="O1016" i="18"/>
  <c r="Q919" i="18" s="1"/>
  <c r="R919" i="18" s="1"/>
  <c r="P1215" i="18"/>
  <c r="O1215" i="18"/>
  <c r="Q1307" i="18" s="1"/>
  <c r="R1307" i="18" s="1"/>
  <c r="P264" i="18"/>
  <c r="O264" i="18"/>
  <c r="Q1071" i="18" s="1"/>
  <c r="R1071" i="18" s="1"/>
  <c r="P89" i="18"/>
  <c r="O89" i="18"/>
  <c r="Q737" i="18" s="1"/>
  <c r="R737" i="18" s="1"/>
  <c r="P654" i="18"/>
  <c r="O654" i="18"/>
  <c r="Q1160" i="18" s="1"/>
  <c r="R1160" i="18" s="1"/>
  <c r="P440" i="18"/>
  <c r="O440" i="18"/>
  <c r="Q148" i="18" s="1"/>
  <c r="R148" i="18" s="1"/>
  <c r="P63" i="18"/>
  <c r="O63" i="18"/>
  <c r="Q280" i="18" s="1"/>
  <c r="R280" i="18" s="1"/>
  <c r="P257" i="18"/>
  <c r="O257" i="18"/>
  <c r="Q109" i="18" s="1"/>
  <c r="R109" i="18" s="1"/>
  <c r="P556" i="18"/>
  <c r="O556" i="18"/>
  <c r="Q169" i="18" s="1"/>
  <c r="R169" i="18" s="1"/>
  <c r="P191" i="18"/>
  <c r="O191" i="18"/>
  <c r="Q1366" i="18" s="1"/>
  <c r="R1366" i="18" s="1"/>
  <c r="P618" i="18"/>
  <c r="O618" i="18"/>
  <c r="Q1155" i="18" s="1"/>
  <c r="R1155" i="18" s="1"/>
  <c r="P129" i="18"/>
  <c r="O129" i="18"/>
  <c r="Q79" i="18" s="1"/>
  <c r="R79" i="18" s="1"/>
  <c r="P419" i="18"/>
  <c r="O419" i="18"/>
  <c r="Q144" i="18" s="1"/>
  <c r="R144" i="18" s="1"/>
  <c r="P589" i="18"/>
  <c r="O589" i="18"/>
  <c r="P154" i="18"/>
  <c r="O154" i="18"/>
  <c r="Q285" i="18" s="1"/>
  <c r="R285" i="18" s="1"/>
  <c r="O1369" i="18"/>
  <c r="Q1356" i="18" s="1"/>
  <c r="R1356" i="18" s="1"/>
  <c r="P1369" i="18"/>
  <c r="O517" i="18"/>
  <c r="Q772" i="18" s="1"/>
  <c r="R772" i="18" s="1"/>
  <c r="P517" i="18"/>
  <c r="O480" i="18"/>
  <c r="Q1125" i="18" s="1"/>
  <c r="R1125" i="18" s="1"/>
  <c r="P480" i="18"/>
  <c r="O253" i="18"/>
  <c r="Q105" i="18" s="1"/>
  <c r="R105" i="18" s="1"/>
  <c r="P253" i="18"/>
  <c r="O187" i="18"/>
  <c r="Q1062" i="18" s="1"/>
  <c r="R1062" i="18" s="1"/>
  <c r="P187" i="18"/>
  <c r="O125" i="18"/>
  <c r="Q75" i="18" s="1"/>
  <c r="R75" i="18" s="1"/>
  <c r="P125" i="18"/>
  <c r="O585" i="18"/>
  <c r="Q1143" i="18" s="1"/>
  <c r="R1143" i="18" s="1"/>
  <c r="P585" i="18"/>
  <c r="O279" i="18"/>
  <c r="Q1076" i="18" s="1"/>
  <c r="R1076" i="18" s="1"/>
  <c r="P279" i="18"/>
  <c r="O539" i="18"/>
  <c r="Q168" i="18" s="1"/>
  <c r="R168" i="18" s="1"/>
  <c r="P539" i="18"/>
  <c r="O250" i="18"/>
  <c r="Q1070" i="18" s="1"/>
  <c r="R1070" i="18" s="1"/>
  <c r="P250" i="18"/>
  <c r="O505" i="18"/>
  <c r="P505" i="18"/>
  <c r="O1009" i="18"/>
  <c r="Q323" i="18" s="1"/>
  <c r="R323" i="18" s="1"/>
  <c r="P1009" i="18"/>
  <c r="O656" i="18"/>
  <c r="Q184" i="18" s="1"/>
  <c r="R184" i="18" s="1"/>
  <c r="P656" i="18"/>
  <c r="O695" i="18"/>
  <c r="Q394" i="18" s="1"/>
  <c r="R394" i="18" s="1"/>
  <c r="P695" i="18"/>
  <c r="O950" i="18"/>
  <c r="Q717" i="18" s="1"/>
  <c r="R717" i="18" s="1"/>
  <c r="P950" i="18"/>
  <c r="P998" i="18"/>
  <c r="O998" i="18"/>
  <c r="Q1377" i="18" s="1"/>
  <c r="R1377" i="18" s="1"/>
  <c r="P570" i="18"/>
  <c r="O570" i="18"/>
  <c r="Q612" i="18" s="1"/>
  <c r="R612" i="18" s="1"/>
  <c r="O940" i="18"/>
  <c r="Q1243" i="18" s="1"/>
  <c r="R1243" i="18" s="1"/>
  <c r="P940" i="18"/>
  <c r="P1097" i="18"/>
  <c r="O1097" i="18"/>
  <c r="Q934" i="18" s="1"/>
  <c r="R934" i="18" s="1"/>
  <c r="P549" i="18"/>
  <c r="O549" i="18"/>
  <c r="Q1137" i="18" s="1"/>
  <c r="R1137" i="18" s="1"/>
  <c r="P273" i="18"/>
  <c r="O273" i="18"/>
  <c r="P156" i="18"/>
  <c r="O156" i="18"/>
  <c r="Q1054" i="18" s="1"/>
  <c r="R1054" i="18" s="1"/>
  <c r="P283" i="18"/>
  <c r="O283" i="18"/>
  <c r="P238" i="18"/>
  <c r="O238" i="18"/>
  <c r="Q1069" i="18" s="1"/>
  <c r="R1069" i="18" s="1"/>
  <c r="P881" i="18"/>
  <c r="O881" i="18"/>
  <c r="Q235" i="18" s="1"/>
  <c r="R235" i="18" s="1"/>
  <c r="P740" i="18"/>
  <c r="O740" i="18"/>
  <c r="Q211" i="18" s="1"/>
  <c r="R211" i="18" s="1"/>
  <c r="P679" i="18"/>
  <c r="O679" i="18"/>
  <c r="Q622" i="18" s="1"/>
  <c r="R622" i="18" s="1"/>
  <c r="O1004" i="18"/>
  <c r="Q322" i="18" s="1"/>
  <c r="R322" i="18" s="1"/>
  <c r="P1004" i="18"/>
  <c r="P1129" i="18"/>
  <c r="O1129" i="18"/>
  <c r="P252" i="18"/>
  <c r="O252" i="18"/>
  <c r="Q104" i="18" s="1"/>
  <c r="R104" i="18" s="1"/>
  <c r="P305" i="18"/>
  <c r="O305" i="18"/>
  <c r="Q573" i="18" s="1"/>
  <c r="R573" i="18" s="1"/>
  <c r="P188" i="18"/>
  <c r="O188" i="18"/>
  <c r="Q1063" i="18" s="1"/>
  <c r="R1063" i="18" s="1"/>
  <c r="P315" i="18"/>
  <c r="O315" i="18"/>
  <c r="P270" i="18"/>
  <c r="O270" i="18"/>
  <c r="Q752" i="18" s="1"/>
  <c r="R752" i="18" s="1"/>
  <c r="P744" i="18"/>
  <c r="O744" i="18"/>
  <c r="Q1178" i="18" s="1"/>
  <c r="R1178" i="18" s="1"/>
  <c r="O924" i="18"/>
  <c r="Q902" i="18" s="1"/>
  <c r="R902" i="18" s="1"/>
  <c r="P924" i="18"/>
  <c r="O1116" i="18"/>
  <c r="Q953" i="18" s="1"/>
  <c r="R953" i="18" s="1"/>
  <c r="P1116" i="18"/>
  <c r="O1246" i="18"/>
  <c r="Q1321" i="18" s="1"/>
  <c r="R1321" i="18" s="1"/>
  <c r="P1246" i="18"/>
  <c r="O1163" i="18"/>
  <c r="Q665" i="18" s="1"/>
  <c r="R665" i="18" s="1"/>
  <c r="P1163" i="18"/>
  <c r="O1268" i="18"/>
  <c r="Q1327" i="18" s="1"/>
  <c r="R1327" i="18" s="1"/>
  <c r="P1268" i="18"/>
  <c r="O1327" i="18"/>
  <c r="Q268" i="18" s="1"/>
  <c r="R268" i="18" s="1"/>
  <c r="P1327" i="18"/>
  <c r="O1378" i="18"/>
  <c r="Q824" i="18" s="1"/>
  <c r="R824" i="18" s="1"/>
  <c r="P1378" i="18"/>
  <c r="O670" i="18"/>
  <c r="Q391" i="18" s="1"/>
  <c r="R391" i="18" s="1"/>
  <c r="P670" i="18"/>
  <c r="O195" i="18"/>
  <c r="Q17" i="18" s="1"/>
  <c r="R17" i="18" s="1"/>
  <c r="P195" i="18"/>
  <c r="O83" i="18"/>
  <c r="Q349" i="18" s="1"/>
  <c r="R349" i="18" s="1"/>
  <c r="P83" i="18"/>
  <c r="O544" i="18"/>
  <c r="Q608" i="18" s="1"/>
  <c r="R608" i="18" s="1"/>
  <c r="P544" i="18"/>
  <c r="O574" i="18"/>
  <c r="Q376" i="18" s="1"/>
  <c r="R376" i="18" s="1"/>
  <c r="P574" i="18"/>
  <c r="O407" i="18"/>
  <c r="Q878" i="18" s="1"/>
  <c r="R878" i="18" s="1"/>
  <c r="P407" i="18"/>
  <c r="O141" i="18"/>
  <c r="Q89" i="18" s="1"/>
  <c r="R89" i="18" s="1"/>
  <c r="P141" i="18"/>
  <c r="O386" i="18"/>
  <c r="Q761" i="18" s="1"/>
  <c r="R761" i="18" s="1"/>
  <c r="P386" i="18"/>
  <c r="O1001" i="18"/>
  <c r="Q1264" i="18" s="1"/>
  <c r="R1264" i="18" s="1"/>
  <c r="P1001" i="18"/>
  <c r="O338" i="18"/>
  <c r="Q1091" i="18" s="1"/>
  <c r="R1091" i="18" s="1"/>
  <c r="P338" i="18"/>
  <c r="O575" i="18"/>
  <c r="P575" i="18"/>
  <c r="O1130" i="18"/>
  <c r="Q964" i="18" s="1"/>
  <c r="R964" i="18" s="1"/>
  <c r="P1130" i="18"/>
  <c r="O746" i="18"/>
  <c r="Q629" i="18" s="1"/>
  <c r="R629" i="18" s="1"/>
  <c r="P746" i="18"/>
  <c r="O782" i="18"/>
  <c r="Q220" i="18" s="1"/>
  <c r="R220" i="18" s="1"/>
  <c r="P782" i="18"/>
  <c r="O521" i="18"/>
  <c r="Q774" i="18" s="1"/>
  <c r="R774" i="18" s="1"/>
  <c r="P521" i="18"/>
  <c r="O373" i="18"/>
  <c r="Q120" i="18" s="1"/>
  <c r="R120" i="18" s="1"/>
  <c r="P373" i="18"/>
  <c r="O237" i="18"/>
  <c r="Q494" i="18" s="1"/>
  <c r="R494" i="18" s="1"/>
  <c r="P237" i="18"/>
  <c r="O138" i="18"/>
  <c r="Q86" i="18" s="1"/>
  <c r="R86" i="18" s="1"/>
  <c r="P138" i="18"/>
  <c r="O86" i="18"/>
  <c r="Q686" i="18" s="1"/>
  <c r="R686" i="18" s="1"/>
  <c r="P86" i="18"/>
  <c r="O569" i="18"/>
  <c r="Q784" i="18" s="1"/>
  <c r="R784" i="18" s="1"/>
  <c r="P569" i="18"/>
  <c r="O263" i="18"/>
  <c r="Q292" i="18" s="1"/>
  <c r="R292" i="18" s="1"/>
  <c r="P263" i="18"/>
  <c r="O523" i="18"/>
  <c r="Q775" i="18" s="1"/>
  <c r="R775" i="18" s="1"/>
  <c r="P523" i="18"/>
  <c r="O202" i="18"/>
  <c r="Q484" i="18" s="1"/>
  <c r="R484" i="18" s="1"/>
  <c r="P202" i="18"/>
  <c r="O457" i="18"/>
  <c r="Q766" i="18" s="1"/>
  <c r="R766" i="18" s="1"/>
  <c r="P457" i="18"/>
  <c r="O955" i="18"/>
  <c r="Q806" i="18" s="1"/>
  <c r="R806" i="18" s="1"/>
  <c r="P955" i="18"/>
  <c r="P147" i="18"/>
  <c r="O147" i="18"/>
  <c r="Q480" i="18" s="1"/>
  <c r="R480" i="18" s="1"/>
  <c r="O15" i="18"/>
  <c r="Q11" i="18" s="1"/>
  <c r="R11" i="18" s="1"/>
  <c r="P464" i="18"/>
  <c r="O464" i="18"/>
  <c r="Q308" i="18" s="1"/>
  <c r="R308" i="18" s="1"/>
  <c r="P103" i="18"/>
  <c r="O103" i="18"/>
  <c r="Q283" i="18" s="1"/>
  <c r="R283" i="18" s="1"/>
  <c r="P747" i="18"/>
  <c r="O747" i="18"/>
  <c r="Q630" i="18" s="1"/>
  <c r="R630" i="18" s="1"/>
  <c r="P558" i="18"/>
  <c r="O558" i="18"/>
  <c r="Q34" i="18" s="1"/>
  <c r="R34" i="18" s="1"/>
  <c r="O660" i="18"/>
  <c r="Q187" i="18" s="1"/>
  <c r="R187" i="18" s="1"/>
  <c r="P660" i="18"/>
  <c r="O699" i="18"/>
  <c r="P699" i="18"/>
  <c r="O981" i="18"/>
  <c r="Q1255" i="18" s="1"/>
  <c r="R1255" i="18" s="1"/>
  <c r="P981" i="18"/>
  <c r="O603" i="18"/>
  <c r="Q1148" i="18" s="1"/>
  <c r="R1148" i="18" s="1"/>
  <c r="P603" i="18"/>
  <c r="O858" i="18"/>
  <c r="Q1210" i="18" s="1"/>
  <c r="R1210" i="18" s="1"/>
  <c r="P858" i="18"/>
  <c r="O1038" i="18"/>
  <c r="Q1010" i="18" s="1"/>
  <c r="R1010" i="18" s="1"/>
  <c r="P1038" i="18"/>
  <c r="O848" i="18"/>
  <c r="Q1208" i="18" s="1"/>
  <c r="R1208" i="18" s="1"/>
  <c r="P848" i="18"/>
  <c r="O976" i="18"/>
  <c r="P976" i="18"/>
  <c r="O1103" i="18"/>
  <c r="Q940" i="18" s="1"/>
  <c r="R940" i="18" s="1"/>
  <c r="P1103" i="18"/>
  <c r="O847" i="18"/>
  <c r="Q1207" i="18" s="1"/>
  <c r="R1207" i="18" s="1"/>
  <c r="P847" i="18"/>
  <c r="O975" i="18"/>
  <c r="Q912" i="18" s="1"/>
  <c r="R912" i="18" s="1"/>
  <c r="P975" i="18"/>
  <c r="O1053" i="18"/>
  <c r="Q1275" i="18" s="1"/>
  <c r="R1275" i="18" s="1"/>
  <c r="P1053" i="18"/>
  <c r="O1245" i="18"/>
  <c r="Q1320" i="18" s="1"/>
  <c r="R1320" i="18" s="1"/>
  <c r="P1245" i="18"/>
  <c r="O1187" i="18"/>
  <c r="Q977" i="18" s="1"/>
  <c r="R977" i="18" s="1"/>
  <c r="P1187" i="18"/>
  <c r="O1168" i="18"/>
  <c r="Q432" i="18" s="1"/>
  <c r="R432" i="18" s="1"/>
  <c r="P1168" i="18"/>
  <c r="O1308" i="18"/>
  <c r="Q1020" i="18" s="1"/>
  <c r="R1020" i="18" s="1"/>
  <c r="P1308" i="18"/>
  <c r="O1216" i="18"/>
  <c r="Q1308" i="18" s="1"/>
  <c r="R1308" i="18" s="1"/>
  <c r="P1216" i="18"/>
  <c r="O1255" i="18"/>
  <c r="Q444" i="18" s="1"/>
  <c r="R444" i="18" s="1"/>
  <c r="P1255" i="18"/>
  <c r="O1302" i="18"/>
  <c r="Q993" i="18" s="1"/>
  <c r="R993" i="18" s="1"/>
  <c r="P1302" i="18"/>
  <c r="O1345" i="18"/>
  <c r="Q61" i="18" s="1"/>
  <c r="R61" i="18" s="1"/>
  <c r="P1345" i="18"/>
  <c r="O1050" i="18"/>
  <c r="Q1272" i="18" s="1"/>
  <c r="R1272" i="18" s="1"/>
  <c r="P1050" i="18"/>
  <c r="O778" i="18"/>
  <c r="Q217" i="18" s="1"/>
  <c r="R217" i="18" s="1"/>
  <c r="P778" i="18"/>
  <c r="O970" i="18"/>
  <c r="Q907" i="18" s="1"/>
  <c r="R907" i="18" s="1"/>
  <c r="P970" i="18"/>
  <c r="O832" i="18"/>
  <c r="Q317" i="18" s="1"/>
  <c r="R317" i="18" s="1"/>
  <c r="P832" i="18"/>
  <c r="O1023" i="18"/>
  <c r="Q325" i="18" s="1"/>
  <c r="R325" i="18" s="1"/>
  <c r="P1023" i="18"/>
  <c r="O799" i="18"/>
  <c r="Q644" i="18" s="1"/>
  <c r="R644" i="18" s="1"/>
  <c r="P799" i="18"/>
  <c r="O991" i="18"/>
  <c r="Q249" i="18" s="1"/>
  <c r="R249" i="18" s="1"/>
  <c r="P991" i="18"/>
  <c r="O1101" i="18"/>
  <c r="Q938" i="18" s="1"/>
  <c r="R938" i="18" s="1"/>
  <c r="P1101" i="18"/>
  <c r="O1068" i="18"/>
  <c r="Q655" i="18" s="1"/>
  <c r="R655" i="18" s="1"/>
  <c r="P1068" i="18"/>
  <c r="O1152" i="18"/>
  <c r="Q256" i="18" s="1"/>
  <c r="R256" i="18" s="1"/>
  <c r="P1152" i="18"/>
  <c r="O1135" i="18"/>
  <c r="Q327" i="18" s="1"/>
  <c r="R327" i="18" s="1"/>
  <c r="P1135" i="18"/>
  <c r="O1272" i="18"/>
  <c r="Q555" i="18" s="1"/>
  <c r="R555" i="18" s="1"/>
  <c r="P1272" i="18"/>
  <c r="O1363" i="18"/>
  <c r="Q1353" i="18" s="1"/>
  <c r="R1353" i="18" s="1"/>
  <c r="P1363" i="18"/>
  <c r="O1361" i="18"/>
  <c r="Q1351" i="18" s="1"/>
  <c r="R1351" i="18" s="1"/>
  <c r="P1361" i="18"/>
  <c r="O299" i="18"/>
  <c r="Q21" i="18" s="1"/>
  <c r="R21" i="18" s="1"/>
  <c r="P299" i="18"/>
  <c r="P430" i="18"/>
  <c r="O430" i="18"/>
  <c r="Q1113" i="18" s="1"/>
  <c r="R1113" i="18" s="1"/>
  <c r="P560" i="18"/>
  <c r="O560" i="18"/>
  <c r="Q172" i="18" s="1"/>
  <c r="R172" i="18" s="1"/>
  <c r="P123" i="18"/>
  <c r="O123" i="18"/>
  <c r="Q73" i="18" s="1"/>
  <c r="R73" i="18" s="1"/>
  <c r="P254" i="18"/>
  <c r="O254" i="18"/>
  <c r="Q106" i="18" s="1"/>
  <c r="R106" i="18" s="1"/>
  <c r="P381" i="18"/>
  <c r="O381" i="18"/>
  <c r="P509" i="18"/>
  <c r="O509" i="18"/>
  <c r="Q1134" i="18" s="1"/>
  <c r="R1134" i="18" s="1"/>
  <c r="P641" i="18"/>
  <c r="O641" i="18"/>
  <c r="Q887" i="18" s="1"/>
  <c r="R887" i="18" s="1"/>
  <c r="P1026" i="18"/>
  <c r="O1026" i="18"/>
  <c r="Q1269" i="18" s="1"/>
  <c r="R1269" i="18" s="1"/>
  <c r="P1194" i="18"/>
  <c r="O1194" i="18"/>
  <c r="Q820" i="18" s="1"/>
  <c r="R820" i="18" s="1"/>
  <c r="P676" i="18"/>
  <c r="O676" i="18"/>
  <c r="Q891" i="18" s="1"/>
  <c r="R891" i="18" s="1"/>
  <c r="P745" i="18"/>
  <c r="O745" i="18"/>
  <c r="Q212" i="18" s="1"/>
  <c r="R212" i="18" s="1"/>
  <c r="P864" i="18"/>
  <c r="O864" i="18"/>
  <c r="Q1215" i="18" s="1"/>
  <c r="R1215" i="18" s="1"/>
  <c r="P959" i="18"/>
  <c r="O959" i="18"/>
  <c r="Q1249" i="18" s="1"/>
  <c r="R1249" i="18" s="1"/>
  <c r="P1185" i="18"/>
  <c r="O1185" i="18"/>
  <c r="Q975" i="18" s="1"/>
  <c r="R975" i="18" s="1"/>
  <c r="P1350" i="18"/>
  <c r="O1350" i="18"/>
  <c r="Q462" i="18" s="1"/>
  <c r="R462" i="18" s="1"/>
  <c r="Q1129" i="18" l="1"/>
  <c r="R1129" i="18" s="1"/>
  <c r="Q440" i="18"/>
  <c r="R440" i="18" s="1"/>
  <c r="Q679" i="18"/>
  <c r="R679" i="18" s="1"/>
  <c r="Q857" i="18"/>
  <c r="R857" i="18" s="1"/>
  <c r="Q547" i="18"/>
  <c r="R547" i="18" s="1"/>
  <c r="Q339" i="18"/>
  <c r="R339" i="18" s="1"/>
  <c r="Q1019" i="18"/>
  <c r="R1019" i="18" s="1"/>
  <c r="Q1171" i="18"/>
  <c r="R1171" i="18" s="1"/>
  <c r="Q603" i="18"/>
  <c r="R603" i="18" s="1"/>
  <c r="Q1182" i="18"/>
  <c r="R1182" i="18" s="1"/>
  <c r="Q908" i="18"/>
  <c r="R908" i="18" s="1"/>
  <c r="Q1066" i="18"/>
  <c r="R1066" i="18" s="1"/>
  <c r="Q263" i="18"/>
  <c r="R263" i="18" s="1"/>
  <c r="Q387" i="18"/>
  <c r="R387" i="18" s="1"/>
  <c r="Q881" i="18"/>
  <c r="R881" i="18" s="1"/>
  <c r="Q813" i="18"/>
  <c r="R813" i="18" s="1"/>
  <c r="Q428" i="18"/>
  <c r="R428" i="18" s="1"/>
  <c r="Q305" i="18"/>
  <c r="R305" i="18" s="1"/>
  <c r="Q1313" i="18"/>
  <c r="R1313" i="18" s="1"/>
  <c r="Q725" i="18"/>
  <c r="R725" i="18" s="1"/>
  <c r="Q1298" i="18"/>
  <c r="R1298" i="18" s="1"/>
  <c r="Q647" i="18"/>
  <c r="R647" i="18" s="1"/>
  <c r="Q225" i="18"/>
  <c r="R225" i="18" s="1"/>
  <c r="Q781" i="18"/>
  <c r="R781" i="18" s="1"/>
  <c r="Q24" i="18"/>
  <c r="R24" i="18" s="1"/>
  <c r="Q424" i="18"/>
  <c r="R424" i="18" s="1"/>
  <c r="Q288" i="18"/>
  <c r="R288" i="18" s="1"/>
  <c r="Q348" i="18"/>
  <c r="R348" i="18" s="1"/>
  <c r="Q901" i="18"/>
  <c r="R901" i="18" s="1"/>
  <c r="Q201" i="18"/>
  <c r="R201" i="18" s="1"/>
  <c r="Q457" i="18"/>
  <c r="R457" i="18" s="1"/>
  <c r="Q1026" i="18"/>
  <c r="R1026" i="18" s="1"/>
  <c r="Q114" i="18"/>
  <c r="R114" i="18" s="1"/>
  <c r="Q1000" i="18"/>
  <c r="R1000" i="18" s="1"/>
  <c r="Q125" i="18"/>
  <c r="R125" i="18" s="1"/>
  <c r="Q694" i="18"/>
  <c r="R694" i="18" s="1"/>
  <c r="Q254" i="18"/>
  <c r="R254" i="18" s="1"/>
  <c r="Q871" i="18"/>
  <c r="R871" i="18" s="1"/>
  <c r="Q113" i="18"/>
  <c r="R113" i="18" s="1"/>
  <c r="Q380" i="18"/>
  <c r="R380" i="18" s="1"/>
  <c r="Q202" i="18"/>
  <c r="R202" i="18" s="1"/>
  <c r="Q214" i="18"/>
  <c r="R214" i="18" s="1"/>
  <c r="Q1081" i="18"/>
  <c r="R1081" i="18" s="1"/>
  <c r="Q1103" i="18"/>
  <c r="R1103" i="18" s="1"/>
  <c r="Q617" i="18"/>
  <c r="R617" i="18" s="1"/>
  <c r="Q1099" i="18"/>
  <c r="R1099" i="18" s="1"/>
  <c r="Q1015" i="18"/>
  <c r="R1015" i="18" s="1"/>
  <c r="Q1097" i="18"/>
  <c r="R1097" i="18" s="1"/>
  <c r="Q147" i="18"/>
  <c r="R147" i="18" s="1"/>
  <c r="Q1162" i="18"/>
  <c r="R1162" i="18" s="1"/>
  <c r="Q134" i="18"/>
  <c r="R134" i="18" s="1"/>
  <c r="Q676" i="18"/>
  <c r="R676" i="18" s="1"/>
  <c r="Q690" i="18"/>
  <c r="R690" i="18" s="1"/>
  <c r="Q407" i="18"/>
  <c r="R407" i="18" s="1"/>
  <c r="Q1223" i="18"/>
  <c r="R1223" i="18" s="1"/>
  <c r="Q1245" i="18"/>
  <c r="R1245" i="18" s="1"/>
  <c r="Q53" i="18"/>
  <c r="R53" i="18" s="1"/>
  <c r="Q1166" i="18"/>
  <c r="R1166" i="18" s="1"/>
  <c r="Q704" i="18"/>
  <c r="R704" i="18" s="1"/>
  <c r="Q373" i="18"/>
  <c r="R373" i="18" s="1"/>
  <c r="Q267" i="18"/>
  <c r="R267" i="18" s="1"/>
  <c r="Q551" i="18"/>
  <c r="R551" i="18" s="1"/>
  <c r="Q419" i="18"/>
  <c r="R419" i="18" s="1"/>
  <c r="Q1068" i="18"/>
  <c r="R1068" i="18" s="1"/>
  <c r="Q293" i="18"/>
  <c r="R293" i="18" s="1"/>
  <c r="Q252" i="18"/>
  <c r="R252" i="18" s="1"/>
  <c r="Q1193" i="18"/>
  <c r="R1193" i="18" s="1"/>
  <c r="Q304" i="18"/>
  <c r="R304" i="18" s="1"/>
  <c r="Q1163" i="18"/>
  <c r="R1163" i="18" s="1"/>
  <c r="Q1077" i="18"/>
  <c r="R1077" i="18" s="1"/>
  <c r="Q914" i="18"/>
  <c r="R914" i="18" s="1"/>
  <c r="Q319" i="18"/>
  <c r="R319" i="18" s="1"/>
  <c r="Q1177" i="18"/>
  <c r="R1177" i="18" s="1"/>
  <c r="Q270" i="18"/>
  <c r="R270" i="18" s="1"/>
  <c r="Q549" i="18"/>
  <c r="R549" i="18" s="1"/>
  <c r="Q672" i="18"/>
  <c r="R672" i="18" s="1"/>
  <c r="Q656" i="18"/>
  <c r="R656" i="18" s="1"/>
  <c r="Q264" i="18"/>
  <c r="R264" i="18" s="1"/>
  <c r="Q1268" i="18"/>
  <c r="R1268" i="18" s="1"/>
  <c r="Q1246" i="18"/>
  <c r="R1246" i="18" s="1"/>
  <c r="Q966" i="18"/>
  <c r="R966" i="18" s="1"/>
  <c r="Q785" i="18"/>
  <c r="R785" i="18" s="1"/>
  <c r="Q40" i="18"/>
  <c r="R40" i="18" s="1"/>
  <c r="Q591" i="18"/>
  <c r="R591" i="18" s="1"/>
  <c r="Q521" i="18"/>
  <c r="R521" i="18" s="1"/>
  <c r="Q156" i="18"/>
  <c r="R156" i="18" s="1"/>
  <c r="Q192" i="18"/>
  <c r="R192" i="18" s="1"/>
  <c r="Q1168" i="18"/>
  <c r="R1168" i="18" s="1"/>
  <c r="Q593" i="18"/>
  <c r="R593" i="18" s="1"/>
  <c r="Q682" i="18"/>
  <c r="R682" i="18" s="1"/>
  <c r="Q927" i="18"/>
  <c r="R927" i="18" s="1"/>
  <c r="Q969" i="18"/>
  <c r="R969" i="18" s="1"/>
  <c r="Q393" i="18"/>
  <c r="R393" i="18" s="1"/>
  <c r="Q931" i="18"/>
  <c r="R931" i="18" s="1"/>
  <c r="Q501" i="18"/>
  <c r="R501" i="18" s="1"/>
  <c r="Q553" i="18"/>
  <c r="R553" i="18" s="1"/>
  <c r="Q1149" i="18"/>
  <c r="R1149" i="18" s="1"/>
  <c r="Q1142" i="18"/>
  <c r="R1142" i="18" s="1"/>
  <c r="Q1028" i="18"/>
  <c r="R1028" i="18" s="1"/>
  <c r="Q983" i="18"/>
  <c r="R983" i="18" s="1"/>
  <c r="Q1203" i="18"/>
  <c r="R1203" i="18" s="1"/>
  <c r="Q539" i="18"/>
  <c r="R539" i="18" s="1"/>
  <c r="Q83" i="18"/>
  <c r="R83" i="18" s="1"/>
  <c r="Q968" i="18"/>
  <c r="R968" i="18" s="1"/>
  <c r="Q1009" i="18"/>
  <c r="R1009" i="18" s="1"/>
  <c r="Q1184" i="18"/>
  <c r="R1184" i="18" s="1"/>
  <c r="Q794" i="18"/>
  <c r="R794" i="18" s="1"/>
  <c r="Q1226" i="18"/>
  <c r="R1226" i="18" s="1"/>
  <c r="Q1152" i="18"/>
  <c r="R1152" i="18" s="1"/>
  <c r="Q731" i="18"/>
  <c r="R731" i="18" s="1"/>
  <c r="Q97" i="18"/>
  <c r="R97" i="18" s="1"/>
  <c r="Q692" i="18"/>
  <c r="R692" i="18" s="1"/>
  <c r="Q1037" i="18"/>
  <c r="R1037" i="18" s="1"/>
  <c r="Q63" i="18"/>
  <c r="R63" i="18" s="1"/>
  <c r="Q1271" i="18"/>
  <c r="R1271" i="18" s="1"/>
  <c r="Q713" i="18"/>
  <c r="R713" i="18" s="1"/>
  <c r="Q1205" i="18"/>
  <c r="R1205" i="18" s="1"/>
  <c r="Q98" i="18"/>
  <c r="R98" i="18" s="1"/>
  <c r="Q303" i="18"/>
  <c r="R303" i="18" s="1"/>
  <c r="Q101" i="18"/>
  <c r="R101" i="18" s="1"/>
  <c r="Q827" i="18"/>
  <c r="R827" i="18" s="1"/>
  <c r="Q351" i="18"/>
  <c r="R351" i="18" s="1"/>
  <c r="Q1209" i="18"/>
  <c r="R1209" i="18" s="1"/>
  <c r="Q574" i="18"/>
  <c r="R574" i="18" s="1"/>
  <c r="Q298" i="18"/>
  <c r="R298" i="18" s="1"/>
  <c r="Q999" i="18"/>
  <c r="R999" i="18" s="1"/>
  <c r="Q238" i="18"/>
  <c r="R238" i="18" s="1"/>
  <c r="Q523" i="18"/>
  <c r="R523" i="18" s="1"/>
  <c r="Q746" i="18"/>
  <c r="R746" i="18" s="1"/>
  <c r="Q570" i="18"/>
  <c r="R570" i="18" s="1"/>
  <c r="Q429" i="18"/>
  <c r="R429" i="18" s="1"/>
  <c r="Q382" i="18"/>
  <c r="R382" i="18" s="1"/>
  <c r="Q306" i="18"/>
  <c r="R306" i="18" s="1"/>
  <c r="Q160" i="18"/>
  <c r="R160" i="18" s="1"/>
  <c r="Q99" i="18"/>
  <c r="R99" i="18" s="1"/>
  <c r="Q990" i="18"/>
  <c r="R990" i="18" s="1"/>
  <c r="Q228" i="18"/>
  <c r="R228" i="18" s="1"/>
  <c r="Q502" i="18"/>
  <c r="R502" i="18" s="1"/>
  <c r="Q548" i="18"/>
  <c r="R548" i="18" s="1"/>
  <c r="Q218" i="18"/>
  <c r="R218" i="18" s="1"/>
  <c r="Q377" i="18"/>
  <c r="R377" i="18" s="1"/>
  <c r="Q371" i="18"/>
  <c r="R371" i="18" s="1"/>
  <c r="Q15" i="18"/>
  <c r="R15" i="18" s="1"/>
  <c r="Q243" i="18"/>
  <c r="R243" i="18" s="1"/>
  <c r="Q375" i="18"/>
  <c r="R375" i="18" s="1"/>
  <c r="Q808" i="18"/>
  <c r="R808" i="18" s="1"/>
  <c r="Q1368" i="18"/>
  <c r="R1368" i="18" s="1"/>
  <c r="Q925" i="18"/>
  <c r="R925" i="18" s="1"/>
  <c r="Q587" i="18"/>
  <c r="R587" i="18" s="1"/>
  <c r="Q52" i="18"/>
  <c r="R52" i="18" s="1"/>
  <c r="Q1080" i="18"/>
  <c r="R1080" i="18" s="1"/>
  <c r="Q886" i="18"/>
  <c r="R886" i="18" s="1"/>
  <c r="Q847" i="18"/>
  <c r="R847" i="18" s="1"/>
  <c r="Q418" i="18"/>
  <c r="R418" i="18" s="1"/>
  <c r="Q1135" i="18"/>
  <c r="R1135" i="18" s="1"/>
  <c r="Q1266" i="18"/>
  <c r="R1266" i="18" s="1"/>
  <c r="Q1175" i="18"/>
  <c r="R1175" i="18" s="1"/>
  <c r="Q868" i="18"/>
  <c r="R868" i="18" s="1"/>
  <c r="Q386" i="18"/>
  <c r="R386" i="18" s="1"/>
  <c r="Q770" i="18"/>
  <c r="R770" i="18" s="1"/>
  <c r="Q611" i="18"/>
  <c r="R611" i="18" s="1"/>
  <c r="Q186" i="18"/>
  <c r="R186" i="18" s="1"/>
  <c r="Q577" i="18"/>
  <c r="R577" i="18" s="1"/>
  <c r="Q1360" i="18"/>
  <c r="R1360" i="18" s="1"/>
  <c r="Q952" i="18"/>
  <c r="R952" i="18" s="1"/>
  <c r="Q1290" i="18"/>
  <c r="R1290" i="18" s="1"/>
  <c r="Q230" i="18"/>
  <c r="R230" i="18" s="1"/>
  <c r="Q135" i="18"/>
  <c r="R135" i="18" s="1"/>
  <c r="Q28" i="18"/>
  <c r="R28" i="18" s="1"/>
  <c r="Q586" i="18"/>
  <c r="R586" i="18" s="1"/>
  <c r="Q898" i="18"/>
  <c r="R898" i="18" s="1"/>
  <c r="Q474" i="18"/>
  <c r="R474" i="18" s="1"/>
  <c r="Q558" i="18"/>
  <c r="R558" i="18" s="1"/>
  <c r="Q1359" i="18"/>
  <c r="R1359" i="18" s="1"/>
  <c r="Q1250" i="18"/>
  <c r="R1250" i="18" s="1"/>
  <c r="Q892" i="18"/>
  <c r="R892" i="18" s="1"/>
  <c r="Q529" i="18"/>
  <c r="R529" i="18" s="1"/>
  <c r="Q755" i="18"/>
  <c r="R755" i="18" s="1"/>
  <c r="Q517" i="18"/>
  <c r="R517" i="18" s="1"/>
  <c r="Q431" i="18"/>
  <c r="R431" i="18" s="1"/>
  <c r="Q937" i="18"/>
  <c r="R937" i="18" s="1"/>
  <c r="Q1053" i="18"/>
  <c r="R1053" i="18" s="1"/>
  <c r="Q864" i="18"/>
  <c r="R864" i="18" s="1"/>
  <c r="Q888" i="18"/>
  <c r="R888" i="18" s="1"/>
  <c r="Q699" i="18"/>
  <c r="R699" i="18" s="1"/>
  <c r="Q1224" i="18"/>
  <c r="R1224" i="18" s="1"/>
  <c r="Q943" i="18"/>
  <c r="R943" i="18" s="1"/>
  <c r="Q512" i="18"/>
  <c r="R512" i="18" s="1"/>
  <c r="Q1021" i="18"/>
  <c r="R1021" i="18" s="1"/>
  <c r="Q1288" i="18"/>
  <c r="R1288" i="18" s="1"/>
  <c r="Q259" i="18"/>
  <c r="R259" i="18" s="1"/>
  <c r="Q618" i="18"/>
  <c r="R618" i="18" s="1"/>
  <c r="Q1279" i="18"/>
  <c r="R1279" i="18" s="1"/>
  <c r="Q863" i="18"/>
  <c r="R863" i="18" s="1"/>
  <c r="Q600" i="18"/>
  <c r="R600" i="18" s="1"/>
  <c r="Q360" i="18"/>
  <c r="R360" i="18" s="1"/>
  <c r="Q980" i="18"/>
  <c r="R980" i="18" s="1"/>
  <c r="Q231" i="18"/>
  <c r="R231" i="18" s="1"/>
  <c r="Q657" i="18"/>
  <c r="R657" i="18" s="1"/>
  <c r="Q396" i="18"/>
  <c r="R396" i="18" s="1"/>
  <c r="Q535" i="18"/>
  <c r="R535" i="18" s="1"/>
  <c r="Q884" i="18"/>
  <c r="R884" i="18" s="1"/>
  <c r="Q1282" i="18"/>
  <c r="R1282" i="18" s="1"/>
  <c r="Q93" i="18"/>
  <c r="R93" i="18" s="1"/>
  <c r="Q703" i="18"/>
  <c r="R703" i="18" s="1"/>
  <c r="Q832" i="18"/>
  <c r="R832" i="18" s="1"/>
  <c r="Q1018" i="18"/>
  <c r="R1018" i="18" s="1"/>
  <c r="Q1312" i="18"/>
  <c r="R1312" i="18" s="1"/>
  <c r="Q1016" i="18"/>
  <c r="R1016" i="18" s="1"/>
  <c r="Q45" i="18"/>
  <c r="R45" i="18" s="1"/>
  <c r="Q1132" i="18"/>
  <c r="R1132" i="18" s="1"/>
  <c r="Q273" i="18"/>
  <c r="R273" i="18" s="1"/>
  <c r="Q473" i="18"/>
  <c r="R473" i="18" s="1"/>
  <c r="Q108" i="18"/>
  <c r="R108" i="18" s="1"/>
  <c r="Q415" i="18"/>
  <c r="R415" i="18" s="1"/>
  <c r="Q1339" i="18"/>
  <c r="R1339" i="18" s="1"/>
  <c r="Q1231" i="18"/>
  <c r="R1231" i="18" s="1"/>
  <c r="Q991" i="18"/>
  <c r="R991" i="18" s="1"/>
  <c r="Q49" i="18"/>
  <c r="R49" i="18" s="1"/>
  <c r="Q408" i="18"/>
  <c r="R408" i="18" s="1"/>
  <c r="Q250" i="18"/>
  <c r="R250" i="18" s="1"/>
  <c r="Q1338" i="18"/>
  <c r="R1338" i="18" s="1"/>
  <c r="Q970" i="18"/>
  <c r="R970" i="18" s="1"/>
  <c r="Q1350" i="18"/>
  <c r="R1350" i="18" s="1"/>
  <c r="Q954" i="18"/>
  <c r="R954" i="18" s="1"/>
  <c r="Q800" i="18"/>
  <c r="R800" i="18" s="1"/>
  <c r="Q1011" i="18"/>
  <c r="R1011" i="18" s="1"/>
  <c r="Q1185" i="18"/>
  <c r="R1185" i="18" s="1"/>
  <c r="Q1173" i="18"/>
  <c r="R1173" i="18" s="1"/>
  <c r="Q1200" i="18"/>
  <c r="R1200" i="18" s="1"/>
  <c r="Q875" i="18"/>
  <c r="R875" i="18" s="1"/>
  <c r="Q127" i="18"/>
  <c r="R127" i="18" s="1"/>
  <c r="Q129" i="18"/>
  <c r="R129" i="18" s="1"/>
  <c r="Q520" i="18"/>
  <c r="R520" i="18" s="1"/>
  <c r="Q744" i="18"/>
  <c r="R744" i="18" s="1"/>
  <c r="Q107" i="18"/>
  <c r="R107" i="18" s="1"/>
  <c r="Q1090" i="18"/>
  <c r="R1090" i="18" s="1"/>
  <c r="Q453" i="18"/>
  <c r="R453" i="18" s="1"/>
  <c r="Q1314" i="18"/>
  <c r="R1314" i="18" s="1"/>
  <c r="Q935" i="18"/>
  <c r="R935" i="18" s="1"/>
  <c r="Q620" i="18"/>
  <c r="R620" i="18" s="1"/>
  <c r="Q476" i="18"/>
  <c r="R476" i="18" s="1"/>
  <c r="Q1052" i="18"/>
  <c r="R1052" i="18" s="1"/>
  <c r="Q312" i="18"/>
  <c r="R312" i="18" s="1"/>
  <c r="Q839" i="18"/>
  <c r="R839" i="18" s="1"/>
  <c r="Q1332" i="18"/>
  <c r="R1332" i="18" s="1"/>
  <c r="Q982" i="18"/>
  <c r="R982" i="18" s="1"/>
  <c r="Q663" i="18"/>
  <c r="R663" i="18" s="1"/>
  <c r="Q316" i="18"/>
  <c r="R316" i="18" s="1"/>
  <c r="Q1240" i="18"/>
  <c r="R1240" i="18" s="1"/>
  <c r="Q1252" i="18"/>
  <c r="R1252" i="18" s="1"/>
  <c r="Q1138" i="18"/>
  <c r="R1138" i="18" s="1"/>
  <c r="Q463" i="18"/>
  <c r="R463" i="18" s="1"/>
  <c r="Q729" i="18"/>
  <c r="R729" i="18" s="1"/>
  <c r="Q971" i="18"/>
  <c r="R971" i="18" s="1"/>
  <c r="Q1247" i="18"/>
  <c r="R1247" i="18" s="1"/>
  <c r="Q1280" i="18"/>
  <c r="R1280" i="18" s="1"/>
  <c r="Q615" i="18"/>
  <c r="R615" i="18" s="1"/>
  <c r="Q844" i="18"/>
  <c r="R844" i="18" s="1"/>
  <c r="Q1119" i="18"/>
  <c r="R1119" i="18" s="1"/>
  <c r="Q1059" i="18"/>
  <c r="R1059" i="18" s="1"/>
  <c r="Q1130" i="18"/>
  <c r="R1130" i="18" s="1"/>
  <c r="Q165" i="18"/>
  <c r="R165" i="18" s="1"/>
  <c r="Q858" i="18"/>
  <c r="R858" i="18" s="1"/>
  <c r="Q1035" i="18"/>
  <c r="R1035" i="18" s="1"/>
  <c r="Q745" i="18"/>
  <c r="R745" i="18" s="1"/>
  <c r="Q609" i="18"/>
  <c r="R609" i="18" s="1"/>
  <c r="Q556" i="18"/>
  <c r="R556" i="18" s="1"/>
  <c r="Q674" i="18"/>
  <c r="R674" i="18" s="1"/>
  <c r="Q422" i="18"/>
  <c r="R422" i="18" s="1"/>
  <c r="Q43" i="18"/>
  <c r="R43" i="18" s="1"/>
  <c r="Q413" i="18"/>
  <c r="R413" i="18" s="1"/>
  <c r="Q1180" i="18"/>
  <c r="R1180" i="18" s="1"/>
  <c r="Q575" i="18"/>
  <c r="R575" i="18" s="1"/>
  <c r="Q26" i="18"/>
  <c r="R26" i="18" s="1"/>
  <c r="Q274" i="18"/>
  <c r="R274" i="18" s="1"/>
  <c r="Q874" i="18"/>
  <c r="R874" i="18" s="1"/>
  <c r="Q1074" i="18"/>
  <c r="R1074" i="18" s="1"/>
  <c r="Q559" i="18"/>
  <c r="R559" i="18" s="1"/>
  <c r="Q1213" i="18"/>
  <c r="R1213" i="18" s="1"/>
  <c r="Q595" i="18"/>
  <c r="R595" i="18" s="1"/>
  <c r="Q175" i="18"/>
  <c r="R175" i="18" s="1"/>
  <c r="Q152" i="18"/>
  <c r="R152" i="18" s="1"/>
  <c r="Q639" i="18"/>
  <c r="R639" i="18" s="1"/>
  <c r="Q683" i="18"/>
  <c r="R683" i="18" s="1"/>
  <c r="Q1348" i="18"/>
  <c r="R1348" i="18" s="1"/>
  <c r="Q944" i="18"/>
  <c r="R944" i="18" s="1"/>
  <c r="Q1299" i="18"/>
  <c r="R1299" i="18" s="1"/>
  <c r="Q660" i="18"/>
  <c r="R660" i="18" s="1"/>
  <c r="Q1218" i="18"/>
  <c r="R1218" i="18" s="1"/>
  <c r="Q247" i="18"/>
  <c r="R247" i="18" s="1"/>
  <c r="Q1267" i="18"/>
  <c r="R1267" i="18" s="1"/>
  <c r="Q41" i="18"/>
  <c r="R41" i="18" s="1"/>
  <c r="Q635" i="18"/>
  <c r="R635" i="18" s="1"/>
  <c r="Q499" i="18"/>
  <c r="R499" i="18" s="1"/>
  <c r="Q876" i="18"/>
  <c r="R876" i="18" s="1"/>
  <c r="Q567" i="18"/>
  <c r="R567" i="18" s="1"/>
  <c r="Q1083" i="18"/>
  <c r="R1083" i="18" s="1"/>
  <c r="Q326" i="18"/>
  <c r="R326" i="18" s="1"/>
  <c r="Q669" i="18"/>
  <c r="R669" i="18" s="1"/>
  <c r="Q347" i="18"/>
  <c r="R347" i="18" s="1"/>
  <c r="Q992" i="18"/>
  <c r="R992" i="18" s="1"/>
  <c r="Q110" i="18"/>
  <c r="R110" i="18" s="1"/>
  <c r="Q355" i="18"/>
  <c r="R355" i="18" s="1"/>
  <c r="Q277" i="18"/>
  <c r="R277" i="18" s="1"/>
  <c r="Q961" i="18"/>
  <c r="R961" i="18" s="1"/>
  <c r="Q222" i="18"/>
  <c r="R222" i="18" s="1"/>
  <c r="Q728" i="18"/>
  <c r="R728" i="18" s="1"/>
  <c r="Q860" i="18"/>
  <c r="R860" i="18" s="1"/>
  <c r="Q1161" i="18"/>
  <c r="R1161" i="18" s="1"/>
  <c r="Q942" i="18"/>
  <c r="R942" i="18" s="1"/>
  <c r="Q215" i="18"/>
  <c r="R215" i="18" s="1"/>
  <c r="Q74" i="18"/>
  <c r="R74" i="18" s="1"/>
  <c r="Q258" i="18"/>
  <c r="R258" i="18" s="1"/>
  <c r="Q1265" i="18"/>
  <c r="R1265" i="18" s="1"/>
  <c r="Q519" i="18"/>
  <c r="R519" i="18" s="1"/>
  <c r="Q1346" i="18"/>
  <c r="R1346" i="18" s="1"/>
  <c r="Q1293" i="18"/>
  <c r="R1293" i="18" s="1"/>
  <c r="Q324" i="18"/>
  <c r="R324" i="18" s="1"/>
  <c r="Q719" i="18"/>
  <c r="R719" i="18" s="1"/>
  <c r="Q1306" i="18"/>
  <c r="R1306" i="18" s="1"/>
  <c r="Q234" i="18"/>
  <c r="R234" i="18" s="1"/>
  <c r="Q241" i="18"/>
  <c r="R241" i="18" s="1"/>
  <c r="Q619" i="18"/>
  <c r="R619" i="18" s="1"/>
  <c r="Q628" i="18"/>
  <c r="R628" i="18" s="1"/>
  <c r="Q1194" i="18"/>
  <c r="R1194" i="18" s="1"/>
  <c r="Q379" i="18"/>
  <c r="R379" i="18" s="1"/>
  <c r="Q631" i="18"/>
  <c r="R631" i="18" s="1"/>
  <c r="Q145" i="18"/>
  <c r="R145" i="18" s="1"/>
  <c r="Q1369" i="18"/>
  <c r="R1369" i="18" s="1"/>
  <c r="Q732" i="18"/>
  <c r="R732" i="18" s="1"/>
  <c r="Q1220" i="18"/>
  <c r="R1220" i="18" s="1"/>
  <c r="Q505" i="18"/>
  <c r="R505" i="18" s="1"/>
  <c r="Q879" i="18"/>
  <c r="R879" i="18" s="1"/>
  <c r="Q31" i="18"/>
  <c r="R31" i="18" s="1"/>
  <c r="Q162" i="18"/>
  <c r="R162" i="18" s="1"/>
  <c r="Q455" i="18"/>
  <c r="R455" i="18" s="1"/>
  <c r="Q667" i="18"/>
  <c r="R667" i="18" s="1"/>
  <c r="Q1330" i="18"/>
  <c r="R1330" i="18" s="1"/>
  <c r="Q1262" i="18"/>
  <c r="R1262" i="18" s="1"/>
  <c r="Q640" i="18"/>
  <c r="R640" i="18" s="1"/>
  <c r="Q402" i="18"/>
  <c r="R402" i="18" s="1"/>
  <c r="Q883" i="18"/>
  <c r="R883" i="18" s="1"/>
  <c r="Q154" i="18"/>
  <c r="R154" i="18" s="1"/>
  <c r="Q856" i="18"/>
  <c r="R856" i="18" s="1"/>
  <c r="Q118" i="18"/>
  <c r="R118" i="18" s="1"/>
  <c r="Q769" i="18"/>
  <c r="R769" i="18" s="1"/>
  <c r="Q1364" i="18"/>
  <c r="R1364" i="18" s="1"/>
  <c r="Q678" i="18"/>
  <c r="R678" i="18" s="1"/>
  <c r="Q269" i="18"/>
  <c r="R269" i="18" s="1"/>
  <c r="Q1123" i="18"/>
  <c r="R1123" i="18" s="1"/>
  <c r="Q1136" i="18"/>
  <c r="R1136" i="18" s="1"/>
  <c r="Q1038" i="18"/>
  <c r="R1038" i="18" s="1"/>
  <c r="Q1347" i="18"/>
  <c r="R1347" i="18" s="1"/>
  <c r="Q613" i="18"/>
  <c r="R613" i="18" s="1"/>
  <c r="Q696" i="18"/>
  <c r="R696" i="18" s="1"/>
  <c r="Q579" i="18"/>
  <c r="R579" i="18" s="1"/>
  <c r="Q1324" i="18"/>
  <c r="R1324" i="18" s="1"/>
  <c r="Q585" i="18"/>
  <c r="R585" i="18" s="1"/>
  <c r="Q295" i="18"/>
  <c r="R295" i="18" s="1"/>
  <c r="Q159" i="18"/>
  <c r="R159" i="18" s="1"/>
  <c r="Q158" i="18"/>
  <c r="R158" i="18" s="1"/>
  <c r="Q103" i="18"/>
  <c r="R103" i="18" s="1"/>
  <c r="Q1127" i="18"/>
  <c r="R1127" i="18" s="1"/>
  <c r="Q352" i="18"/>
  <c r="R352" i="18" s="1"/>
  <c r="Q533" i="18"/>
  <c r="R533" i="18" s="1"/>
  <c r="Q641" i="18"/>
  <c r="R641" i="18" s="1"/>
  <c r="Q1302" i="18"/>
  <c r="R1302" i="18" s="1"/>
  <c r="Q483" i="18"/>
  <c r="R483" i="18" s="1"/>
  <c r="Q1291" i="18"/>
  <c r="R1291" i="18" s="1"/>
  <c r="Q604" i="18"/>
  <c r="R604" i="18" s="1"/>
  <c r="Q1114" i="18"/>
  <c r="R1114" i="18" s="1"/>
  <c r="Q778" i="18"/>
  <c r="R778" i="18" s="1"/>
  <c r="Q1236" i="18"/>
  <c r="R1236" i="18" s="1"/>
  <c r="Q102" i="18"/>
  <c r="R102" i="18" s="1"/>
  <c r="Q756" i="18"/>
  <c r="R756" i="18" s="1"/>
  <c r="Q121" i="18"/>
  <c r="R121" i="18" s="1"/>
  <c r="Q456" i="18"/>
  <c r="R456" i="18" s="1"/>
  <c r="Q560" i="18"/>
  <c r="R560" i="18" s="1"/>
  <c r="Q1147" i="18"/>
  <c r="R1147" i="18" s="1"/>
  <c r="Q390" i="18"/>
  <c r="R390" i="18" s="1"/>
  <c r="Q281" i="18"/>
  <c r="R281" i="18" s="1"/>
  <c r="Q1206" i="18"/>
  <c r="R1206" i="18" s="1"/>
  <c r="Q538" i="18"/>
  <c r="R538" i="18" s="1"/>
  <c r="Q138" i="18"/>
  <c r="R138" i="18" s="1"/>
  <c r="Q353" i="18"/>
  <c r="R353" i="18" s="1"/>
  <c r="Q838" i="18"/>
  <c r="R838" i="18" s="1"/>
  <c r="Q485" i="18"/>
  <c r="R485" i="18" s="1"/>
  <c r="Q671" i="18"/>
  <c r="R671" i="18" s="1"/>
  <c r="Q1309" i="18"/>
  <c r="R1309" i="18" s="1"/>
  <c r="Q524" i="18"/>
  <c r="R524" i="18" s="1"/>
  <c r="Q356" i="18"/>
  <c r="R356" i="18" s="1"/>
  <c r="Q743" i="18"/>
  <c r="R743" i="18" s="1"/>
  <c r="Q1005" i="18"/>
  <c r="R1005" i="18" s="1"/>
  <c r="Q998" i="18"/>
  <c r="R998" i="18" s="1"/>
  <c r="Q1310" i="18"/>
  <c r="R1310" i="18" s="1"/>
  <c r="Q805" i="18"/>
  <c r="R805" i="18" s="1"/>
  <c r="Q654" i="18"/>
  <c r="R654" i="18" s="1"/>
  <c r="Q439" i="18"/>
  <c r="R439" i="18" s="1"/>
  <c r="Q764" i="18"/>
  <c r="R764" i="18" s="1"/>
  <c r="Q742" i="18"/>
  <c r="R742" i="18" s="1"/>
  <c r="Q955" i="18"/>
  <c r="R955" i="18" s="1"/>
  <c r="Q465" i="18"/>
  <c r="R465" i="18" s="1"/>
  <c r="Q1326" i="18"/>
  <c r="R1326" i="18" s="1"/>
  <c r="Q464" i="18"/>
  <c r="R464" i="18" s="1"/>
  <c r="Q51" i="18"/>
  <c r="R51" i="18" s="1"/>
  <c r="Q140" i="18"/>
  <c r="R140" i="18" s="1"/>
  <c r="Q675" i="18"/>
  <c r="R675" i="18" s="1"/>
  <c r="Q253" i="18"/>
  <c r="R253" i="18" s="1"/>
  <c r="Q651" i="18"/>
  <c r="R651" i="18" s="1"/>
  <c r="Q191" i="18"/>
  <c r="R191" i="18" s="1"/>
  <c r="Q506" i="18"/>
  <c r="R506" i="18" s="1"/>
  <c r="Q1284" i="18"/>
  <c r="R1284" i="18" s="1"/>
  <c r="Q924" i="18"/>
  <c r="R924" i="18" s="1"/>
  <c r="Q410" i="18"/>
  <c r="R410" i="18" s="1"/>
  <c r="Q1084" i="18"/>
  <c r="R1084" i="18" s="1"/>
  <c r="Q1183" i="18"/>
  <c r="R1183" i="18" s="1"/>
  <c r="Q1050" i="18"/>
  <c r="R1050" i="18" s="1"/>
  <c r="Q123" i="18"/>
  <c r="R123" i="18" s="1"/>
  <c r="Q1128" i="18"/>
  <c r="R1128" i="18" s="1"/>
  <c r="Q841" i="18"/>
  <c r="R841" i="18" s="1"/>
  <c r="Q1363" i="18"/>
  <c r="R1363" i="18" s="1"/>
  <c r="Q1345" i="18"/>
  <c r="R1345" i="18" s="1"/>
  <c r="Q257" i="18"/>
  <c r="R257" i="18" s="1"/>
  <c r="Q815" i="18"/>
  <c r="R815" i="18" s="1"/>
  <c r="Q877" i="18"/>
  <c r="R877" i="18" s="1"/>
  <c r="Q765" i="18"/>
  <c r="R765" i="18" s="1"/>
  <c r="Q809" i="18"/>
  <c r="R809" i="18" s="1"/>
  <c r="Q1158" i="18"/>
  <c r="R1158" i="18" s="1"/>
  <c r="Q310" i="18"/>
  <c r="R310" i="18" s="1"/>
  <c r="Q695" i="18"/>
  <c r="R695" i="18" s="1"/>
  <c r="Q979" i="18"/>
  <c r="R979" i="18" s="1"/>
  <c r="Q458" i="18"/>
  <c r="R458" i="18" s="1"/>
  <c r="Q260" i="18"/>
  <c r="R260" i="18" s="1"/>
  <c r="Q411" i="18"/>
  <c r="R411" i="18" s="1"/>
  <c r="Q171" i="18"/>
  <c r="R171" i="18" s="1"/>
  <c r="Q1172" i="18"/>
  <c r="R1172" i="18" s="1"/>
  <c r="Q688" i="18"/>
  <c r="R688" i="18" s="1"/>
  <c r="Q1039" i="18"/>
  <c r="R1039" i="18" s="1"/>
  <c r="Q48" i="18"/>
  <c r="R48" i="18" s="1"/>
  <c r="Q392" i="18"/>
  <c r="R392" i="18" s="1"/>
  <c r="Q571" i="18"/>
  <c r="R571" i="18" s="1"/>
  <c r="Q872" i="18"/>
  <c r="R872" i="18" s="1"/>
  <c r="Q708" i="18"/>
  <c r="R708" i="18" s="1"/>
  <c r="Q554" i="18"/>
  <c r="R554" i="18" s="1"/>
  <c r="Q633" i="18"/>
  <c r="R633" i="18" s="1"/>
  <c r="Q1122" i="18"/>
  <c r="R1122" i="18" s="1"/>
  <c r="Q967" i="18"/>
  <c r="R967" i="18" s="1"/>
  <c r="Q1228" i="18"/>
  <c r="R1228" i="18" s="1"/>
  <c r="Q342" i="18"/>
  <c r="R342" i="18" s="1"/>
  <c r="Q956" i="18"/>
  <c r="R956" i="18" s="1"/>
  <c r="Q1311" i="18"/>
  <c r="R1311" i="18" s="1"/>
  <c r="Q929" i="18"/>
  <c r="R929" i="18" s="1"/>
  <c r="Q233" i="18"/>
  <c r="R233" i="18" s="1"/>
  <c r="Q544" i="18"/>
  <c r="R544" i="18" s="1"/>
  <c r="Q552" i="18"/>
  <c r="R552" i="18" s="1"/>
  <c r="Q189" i="18"/>
  <c r="R189" i="18" s="1"/>
  <c r="Q400" i="18"/>
  <c r="R400" i="18" s="1"/>
  <c r="Q22" i="18"/>
  <c r="R22" i="18" s="1"/>
  <c r="Q828" i="18"/>
  <c r="R828" i="18" s="1"/>
  <c r="Q849" i="18"/>
  <c r="R849" i="18" s="1"/>
  <c r="Q388" i="18"/>
  <c r="R388" i="18" s="1"/>
  <c r="Q92" i="18"/>
  <c r="R92" i="18" s="1"/>
  <c r="Q568" i="18"/>
  <c r="R568" i="18" s="1"/>
  <c r="Q490" i="18"/>
  <c r="R490" i="18" s="1"/>
  <c r="Q1349" i="18"/>
  <c r="R1349" i="18" s="1"/>
  <c r="Q1017" i="18"/>
  <c r="R1017" i="18" s="1"/>
  <c r="Q848" i="18"/>
  <c r="R848" i="18" s="1"/>
  <c r="Q624" i="18"/>
  <c r="R624" i="18" s="1"/>
  <c r="Q782" i="18"/>
  <c r="R782" i="18" s="1"/>
  <c r="Q797" i="18"/>
  <c r="R797" i="18" s="1"/>
  <c r="Q508" i="18"/>
  <c r="R508" i="18" s="1"/>
  <c r="Q87" i="18"/>
  <c r="R87" i="18" s="1"/>
  <c r="Q438" i="18"/>
  <c r="R438" i="18" s="1"/>
  <c r="Q721" i="18"/>
  <c r="R721" i="18" s="1"/>
  <c r="Q976" i="18"/>
  <c r="R976" i="18" s="1"/>
  <c r="Q637" i="18"/>
  <c r="R637" i="18" s="1"/>
  <c r="Q648" i="18"/>
  <c r="R648" i="18" s="1"/>
  <c r="Q244" i="18"/>
  <c r="R244" i="18" s="1"/>
  <c r="Q740" i="18"/>
  <c r="R740" i="18" s="1"/>
  <c r="Q12" i="18"/>
  <c r="R12" i="18" s="1"/>
  <c r="Q381" i="18"/>
  <c r="R381" i="18" s="1"/>
  <c r="Q763" i="18"/>
  <c r="R763" i="18" s="1"/>
  <c r="Q768" i="18"/>
  <c r="R768" i="18" s="1"/>
  <c r="Q350" i="18"/>
  <c r="R350" i="18" s="1"/>
  <c r="Q650" i="18"/>
  <c r="R650" i="18" s="1"/>
  <c r="Q578" i="18"/>
  <c r="R578" i="18" s="1"/>
  <c r="Q1117" i="18"/>
  <c r="R1117" i="18" s="1"/>
  <c r="Q1023" i="18"/>
  <c r="R1023" i="18" s="1"/>
  <c r="Q509" i="18"/>
  <c r="R509" i="18" s="1"/>
  <c r="Q845" i="18"/>
  <c r="R845" i="18" s="1"/>
  <c r="Q1042" i="18"/>
  <c r="R1042" i="18" s="1"/>
  <c r="Q873" i="18"/>
  <c r="R873" i="18" s="1"/>
  <c r="Q1270" i="18"/>
  <c r="R1270" i="18" s="1"/>
  <c r="Q403" i="18"/>
  <c r="R403" i="18" s="1"/>
  <c r="Q930" i="18"/>
  <c r="R930" i="18" s="1"/>
  <c r="Q210" i="18"/>
  <c r="R210" i="18" s="1"/>
  <c r="Q706" i="18"/>
  <c r="R706" i="18" s="1"/>
  <c r="Q69" i="18"/>
  <c r="R69" i="18" s="1"/>
  <c r="Q287" i="18"/>
  <c r="R287" i="18" s="1"/>
  <c r="Q95" i="18"/>
  <c r="R95" i="18" s="1"/>
  <c r="Q487" i="18"/>
  <c r="R487" i="18" s="1"/>
  <c r="Q581" i="18"/>
  <c r="R581" i="18" s="1"/>
  <c r="Q289" i="18"/>
  <c r="R289" i="18" s="1"/>
  <c r="Q1151" i="18"/>
  <c r="R1151" i="18" s="1"/>
  <c r="Q196" i="18"/>
  <c r="R196" i="18" s="1"/>
  <c r="Q1058" i="18"/>
  <c r="R1058" i="18" s="1"/>
  <c r="Q747" i="18"/>
  <c r="R747" i="18" s="1"/>
  <c r="Q279" i="18"/>
  <c r="R279" i="18" s="1"/>
  <c r="Q862" i="18"/>
  <c r="R862" i="18" s="1"/>
  <c r="Q341" i="18"/>
  <c r="R341" i="18" s="1"/>
  <c r="Q1304" i="18"/>
  <c r="R1304" i="18" s="1"/>
  <c r="Q818" i="18"/>
  <c r="R818" i="18" s="1"/>
  <c r="Q436" i="18"/>
  <c r="R436" i="18" s="1"/>
  <c r="Q527" i="18"/>
  <c r="R527" i="18" s="1"/>
  <c r="Q1150" i="18"/>
  <c r="R1150" i="18" s="1"/>
  <c r="Q802" i="18"/>
  <c r="R802" i="18" s="1"/>
  <c r="Q479" i="18"/>
  <c r="R479" i="18" s="1"/>
  <c r="Q589" i="18"/>
  <c r="R589" i="18" s="1"/>
  <c r="Q290" i="18"/>
  <c r="R290" i="18" s="1"/>
  <c r="Q59" i="18"/>
  <c r="R59" i="18" s="1"/>
  <c r="Q1116" i="18"/>
  <c r="R1116" i="18" s="1"/>
  <c r="Q35" i="18"/>
  <c r="R35" i="18" s="1"/>
  <c r="Q78" i="18"/>
  <c r="R78" i="18" s="1"/>
  <c r="Q780" i="18"/>
  <c r="R780" i="18" s="1"/>
  <c r="Q1025" i="18"/>
  <c r="R1025" i="18" s="1"/>
  <c r="Q569" i="18"/>
  <c r="R569" i="18" s="1"/>
  <c r="Q1261" i="18"/>
  <c r="R1261" i="18" s="1"/>
  <c r="Q896" i="18"/>
  <c r="R896" i="18" s="1"/>
  <c r="Q1259" i="18"/>
  <c r="R1259" i="18" s="1"/>
  <c r="Q1088" i="18"/>
  <c r="R1088" i="18" s="1"/>
  <c r="Q1094" i="18"/>
  <c r="R1094" i="18" s="1"/>
  <c r="Q1096" i="18"/>
  <c r="R1096" i="18" s="1"/>
  <c r="Q498" i="18"/>
  <c r="R498" i="18" s="1"/>
  <c r="Q466" i="18"/>
  <c r="R466" i="18" s="1"/>
  <c r="Q1211" i="18"/>
  <c r="R1211" i="18" s="1"/>
  <c r="Q546" i="18"/>
  <c r="R546" i="18" s="1"/>
  <c r="Q1333" i="18"/>
  <c r="R1333" i="18" s="1"/>
  <c r="Q946" i="18"/>
  <c r="R946" i="18" s="1"/>
  <c r="Q1003" i="18"/>
  <c r="R1003" i="18" s="1"/>
  <c r="Q926" i="18"/>
  <c r="R926" i="18" s="1"/>
  <c r="Q638" i="18"/>
  <c r="R638" i="18" s="1"/>
  <c r="Q42" i="18"/>
  <c r="R42" i="18" s="1"/>
  <c r="Q183" i="18"/>
  <c r="R183" i="18" s="1"/>
  <c r="Q1106" i="18"/>
  <c r="R1106" i="18" s="1"/>
  <c r="Q80" i="18"/>
  <c r="R80" i="18" s="1"/>
  <c r="Q30" i="18"/>
  <c r="R30" i="18" s="1"/>
  <c r="Q867" i="18"/>
  <c r="R867" i="18" s="1"/>
  <c r="Q262" i="18"/>
  <c r="R262" i="18" s="1"/>
  <c r="Q1378" i="18"/>
  <c r="R1378" i="18" s="1"/>
  <c r="Q816" i="18"/>
  <c r="R816" i="18" s="1"/>
  <c r="Q981" i="18"/>
  <c r="R981" i="18" s="1"/>
  <c r="Q1188" i="18"/>
  <c r="R1188" i="18" s="1"/>
  <c r="Q1234" i="18"/>
  <c r="R1234" i="18" s="1"/>
  <c r="Q811" i="18"/>
  <c r="R811" i="18" s="1"/>
  <c r="Q1167" i="18"/>
  <c r="R1167" i="18" s="1"/>
  <c r="Q621" i="18"/>
  <c r="R621" i="18" s="1"/>
  <c r="Q1181" i="18"/>
  <c r="R1181" i="18" s="1"/>
  <c r="Q599" i="18"/>
  <c r="R599" i="18" s="1"/>
  <c r="Q572" i="18"/>
  <c r="R572" i="18" s="1"/>
  <c r="Q311" i="18"/>
  <c r="R311" i="18" s="1"/>
  <c r="Q297" i="18"/>
  <c r="R297" i="18" s="1"/>
  <c r="Q1229" i="18"/>
  <c r="R1229" i="18" s="1"/>
  <c r="Q300" i="18"/>
  <c r="R300" i="18" s="1"/>
  <c r="Q1115" i="18"/>
  <c r="R1115" i="18" s="1"/>
  <c r="Q1087" i="18"/>
  <c r="R1087" i="18" s="1"/>
  <c r="Q174" i="18"/>
  <c r="R174" i="18" s="1"/>
  <c r="Q1067" i="18"/>
  <c r="R1067" i="18" s="1"/>
  <c r="Q685" i="18"/>
  <c r="R685" i="18" s="1"/>
  <c r="Q337" i="18"/>
  <c r="R337" i="18" s="1"/>
  <c r="Q664" i="18"/>
  <c r="R664" i="18" s="1"/>
  <c r="Q945" i="18"/>
  <c r="R945" i="18" s="1"/>
  <c r="Q958" i="18"/>
  <c r="R958" i="18" s="1"/>
  <c r="Q1232" i="18"/>
  <c r="R1232" i="18" s="1"/>
  <c r="Q915" i="18"/>
  <c r="R915" i="18" s="1"/>
  <c r="Q1328" i="18"/>
  <c r="R1328" i="18" s="1"/>
  <c r="Q893" i="18"/>
  <c r="R893" i="18" s="1"/>
  <c r="Q100" i="18"/>
  <c r="R100" i="18" s="1"/>
  <c r="Q1001" i="18"/>
  <c r="R1001" i="18" s="1"/>
  <c r="Q1153" i="18"/>
  <c r="R1153" i="18" s="1"/>
  <c r="Q504" i="18"/>
  <c r="R504" i="18" s="1"/>
  <c r="Q837" i="18"/>
  <c r="R837" i="18" s="1"/>
  <c r="Q997" i="18"/>
  <c r="R997" i="18" s="1"/>
  <c r="Q1296" i="18"/>
  <c r="R1296" i="18" s="1"/>
  <c r="Q54" i="18"/>
  <c r="R54" i="18" s="1"/>
  <c r="Q246" i="18"/>
  <c r="R246" i="18" s="1"/>
  <c r="Q662" i="18"/>
  <c r="R662" i="18" s="1"/>
  <c r="Q223" i="18"/>
  <c r="R223" i="18" s="1"/>
  <c r="Q536" i="18"/>
  <c r="R536" i="18" s="1"/>
  <c r="Q705" i="18"/>
  <c r="R705" i="18" s="1"/>
  <c r="Q163" i="18"/>
  <c r="R163" i="18" s="1"/>
  <c r="Q596" i="18"/>
  <c r="R596" i="18" s="1"/>
  <c r="Q173" i="18"/>
  <c r="R173" i="18" s="1"/>
  <c r="Q76" i="18"/>
  <c r="R76" i="18" s="1"/>
  <c r="Q626" i="18"/>
  <c r="R626" i="18" s="1"/>
  <c r="Q1283" i="18"/>
  <c r="R1283" i="18" s="1"/>
  <c r="Q372" i="18"/>
  <c r="R372" i="18" s="1"/>
  <c r="Q734" i="18"/>
  <c r="R734" i="18" s="1"/>
  <c r="Q1329" i="18"/>
  <c r="R1329" i="18" s="1"/>
  <c r="Q82" i="18"/>
  <c r="R82" i="18" s="1"/>
  <c r="Q141" i="18"/>
  <c r="R141" i="18" s="1"/>
  <c r="Q994" i="18"/>
  <c r="R994" i="18" s="1"/>
  <c r="Q659" i="18"/>
  <c r="R659" i="18" s="1"/>
  <c r="Q922" i="18"/>
  <c r="R922" i="18" s="1"/>
  <c r="Q1196" i="18"/>
  <c r="R1196" i="18" s="1"/>
  <c r="Q507" i="18"/>
  <c r="R507" i="18" s="1"/>
  <c r="Q468" i="18"/>
  <c r="R468" i="18" s="1"/>
  <c r="Q401" i="18"/>
  <c r="R401" i="18" s="1"/>
  <c r="Q580" i="18"/>
  <c r="R580" i="18" s="1"/>
  <c r="Q1012" i="18"/>
  <c r="R1012" i="18" s="1"/>
  <c r="Q412" i="18"/>
  <c r="R412" i="18" s="1"/>
  <c r="Q1108" i="18"/>
  <c r="R1108" i="18" s="1"/>
  <c r="Q1371" i="18"/>
  <c r="R1371" i="18" s="1"/>
  <c r="Q307" i="18"/>
  <c r="R307" i="18" s="1"/>
  <c r="Q47" i="18"/>
  <c r="R47" i="18" s="1"/>
  <c r="Q652" i="18"/>
  <c r="R652" i="18" s="1"/>
  <c r="Q315" i="18"/>
  <c r="R315" i="18" s="1"/>
  <c r="Q139" i="18"/>
  <c r="R139" i="18" s="1"/>
  <c r="Q1004" i="18"/>
  <c r="R1004" i="18" s="1"/>
  <c r="Q1170" i="18"/>
  <c r="R1170" i="18" s="1"/>
  <c r="Q739" i="18"/>
  <c r="R739" i="18" s="1"/>
  <c r="Q368" i="18"/>
  <c r="R368" i="18" s="1"/>
  <c r="Q758" i="18"/>
  <c r="R758" i="18" s="1"/>
  <c r="Q842" i="18"/>
  <c r="R842" i="18" s="1"/>
  <c r="Q472" i="18"/>
  <c r="R472" i="18" s="1"/>
  <c r="Q950" i="18"/>
  <c r="R950" i="18" s="1"/>
  <c r="Q909" i="18"/>
  <c r="R909" i="18" s="1"/>
  <c r="Q636" i="18"/>
  <c r="R636" i="18" s="1"/>
  <c r="Q1216" i="18"/>
  <c r="R1216" i="18" s="1"/>
  <c r="Q1102" i="18"/>
  <c r="R1102" i="18" s="1"/>
  <c r="Q1111" i="18"/>
  <c r="R1111" i="18" s="1"/>
  <c r="Q786" i="18"/>
  <c r="R786" i="18" s="1"/>
  <c r="Q576" i="18"/>
  <c r="R576" i="18" s="1"/>
  <c r="Q715" i="18"/>
  <c r="R715" i="18" s="1"/>
  <c r="Q153" i="18"/>
  <c r="R153" i="18" s="1"/>
  <c r="Q563" i="18"/>
  <c r="R563" i="18" s="1"/>
  <c r="Q1376" i="18"/>
  <c r="R1376" i="18" s="1"/>
  <c r="Q142" i="18"/>
  <c r="R142" i="18" s="1"/>
  <c r="Q1126" i="18"/>
  <c r="R1126" i="18" s="1"/>
  <c r="Q701" i="18"/>
  <c r="R701" i="18" s="1"/>
  <c r="Q736" i="18"/>
  <c r="R736" i="18" s="1"/>
  <c r="Q525" i="18"/>
  <c r="R525" i="18" s="1"/>
  <c r="Q441" i="18"/>
  <c r="R441" i="18" s="1"/>
  <c r="Q985" i="18"/>
  <c r="R985" i="18" s="1"/>
  <c r="Q421" i="18"/>
  <c r="R421" i="18" s="1"/>
  <c r="Q710" i="18"/>
  <c r="R710" i="18" s="1"/>
  <c r="Q417" i="18"/>
  <c r="R417" i="18" s="1"/>
  <c r="Q1093" i="18"/>
  <c r="R1093" i="18" s="1"/>
  <c r="Q122" i="18"/>
  <c r="R122" i="18" s="1"/>
  <c r="Q601" i="18"/>
  <c r="R601" i="18" s="1"/>
  <c r="Q177" i="18"/>
  <c r="R177" i="18" s="1"/>
  <c r="Q1361" i="18"/>
  <c r="R1361" i="18" s="1"/>
  <c r="Q643" i="18"/>
  <c r="R643" i="18" s="1"/>
  <c r="Q131" i="18"/>
  <c r="R131" i="18" s="1"/>
  <c r="Q146" i="18"/>
  <c r="R146" i="18" s="1"/>
  <c r="Q170" i="18"/>
  <c r="R170" i="18" s="1"/>
  <c r="Q1110" i="18"/>
  <c r="R1110" i="18" s="1"/>
  <c r="Q597" i="18"/>
  <c r="R597" i="18" s="1"/>
  <c r="Q367" i="18"/>
  <c r="R367" i="18" s="1"/>
  <c r="Q467" i="18"/>
  <c r="R467" i="18" s="1"/>
  <c r="Q291" i="18"/>
  <c r="R291" i="18" s="1"/>
  <c r="Q198" i="18"/>
  <c r="R198" i="18" s="1"/>
  <c r="Q1092" i="18"/>
  <c r="R1092" i="18" s="1"/>
  <c r="Q338" i="18"/>
  <c r="R338" i="18" s="1"/>
  <c r="Q1287" i="18"/>
  <c r="R1287" i="18" s="1"/>
  <c r="Q949" i="18"/>
  <c r="R949" i="18" s="1"/>
  <c r="Q251" i="18"/>
  <c r="R251" i="18" s="1"/>
  <c r="Q1189" i="18"/>
  <c r="R1189" i="18" s="1"/>
  <c r="Q899" i="18"/>
  <c r="R899" i="18" s="1"/>
  <c r="Q57" i="18"/>
  <c r="R57" i="18" s="1"/>
  <c r="Q237" i="18"/>
  <c r="R237" i="18" s="1"/>
  <c r="Q188" i="18"/>
  <c r="R188" i="18" s="1"/>
  <c r="Q369" i="18"/>
  <c r="R369" i="18" s="1"/>
  <c r="Q481" i="18"/>
  <c r="R481" i="18" s="1"/>
  <c r="Q150" i="18"/>
  <c r="R150" i="18" s="1"/>
  <c r="Q16" i="18"/>
  <c r="R16" i="18" s="1"/>
  <c r="Q588" i="18"/>
  <c r="R588" i="18" s="1"/>
  <c r="Q345" i="18"/>
  <c r="R345" i="18" s="1"/>
  <c r="Q854" i="18"/>
  <c r="R854" i="18" s="1"/>
  <c r="Q90" i="18"/>
  <c r="R90" i="18" s="1"/>
  <c r="Q1032" i="18"/>
  <c r="R1032" i="18" s="1"/>
  <c r="Q195" i="18"/>
  <c r="R195" i="18" s="1"/>
  <c r="Q1357" i="18"/>
  <c r="R1357" i="18" s="1"/>
  <c r="Q445" i="18"/>
  <c r="R445" i="18" s="1"/>
  <c r="Q670" i="18"/>
  <c r="R670" i="18" s="1"/>
  <c r="Q1277" i="18"/>
  <c r="R1277" i="18" s="1"/>
  <c r="Q443" i="18"/>
  <c r="R443" i="18" s="1"/>
  <c r="Q1187" i="18"/>
  <c r="R1187" i="18" s="1"/>
  <c r="Q799" i="18"/>
  <c r="R799" i="18" s="1"/>
  <c r="Q843" i="18"/>
  <c r="R843" i="18" s="1"/>
  <c r="Q1064" i="18"/>
  <c r="R1064" i="18" s="1"/>
  <c r="Q19" i="18"/>
  <c r="R19" i="18" s="1"/>
  <c r="Q566" i="18"/>
  <c r="R566" i="18" s="1"/>
  <c r="Q1034" i="18"/>
  <c r="R1034" i="18" s="1"/>
  <c r="Q335" i="18"/>
  <c r="R335" i="18" s="1"/>
  <c r="Q449" i="18"/>
  <c r="R449" i="18" s="1"/>
  <c r="Q941" i="18"/>
  <c r="R941" i="18" s="1"/>
  <c r="Q1013" i="18"/>
  <c r="R1013" i="18" s="1"/>
  <c r="Q900" i="18"/>
  <c r="R900" i="18" s="1"/>
  <c r="Q321" i="18"/>
  <c r="R321" i="18" s="1"/>
  <c r="Q911" i="18"/>
  <c r="R911" i="18" s="1"/>
  <c r="Q522" i="18"/>
  <c r="R522" i="18" s="1"/>
  <c r="Q1190" i="18"/>
  <c r="R1190" i="18" s="1"/>
  <c r="Q870" i="18"/>
  <c r="R870" i="18" s="1"/>
  <c r="Q1073" i="18"/>
  <c r="R1073" i="18" s="1"/>
  <c r="Q1036" i="18"/>
  <c r="R1036" i="18" s="1"/>
  <c r="Q833" i="18"/>
  <c r="R833" i="18" s="1"/>
  <c r="Q753" i="18"/>
  <c r="R753" i="18" s="1"/>
  <c r="Q720" i="18"/>
  <c r="R720" i="18" s="1"/>
  <c r="Q1202" i="18"/>
  <c r="R1202" i="18" s="1"/>
  <c r="Q157" i="18"/>
  <c r="R157" i="18" s="1"/>
  <c r="Q67" i="18"/>
  <c r="R67" i="18" s="1"/>
  <c r="Q1179" i="18"/>
  <c r="R1179" i="18" s="1"/>
  <c r="Q299" i="18"/>
  <c r="R299" i="18" s="1"/>
  <c r="Q164" i="18"/>
  <c r="R164" i="18" s="1"/>
  <c r="Q434" i="18"/>
  <c r="R434" i="18" s="1"/>
  <c r="Q461" i="18"/>
  <c r="R461" i="18" s="1"/>
  <c r="Q634" i="18"/>
  <c r="R634" i="18" s="1"/>
  <c r="Q242" i="18"/>
  <c r="R242" i="18" s="1"/>
  <c r="Q830" i="18"/>
  <c r="R830" i="18" s="1"/>
  <c r="Q750" i="18"/>
  <c r="R750" i="18" s="1"/>
  <c r="Q851" i="18"/>
  <c r="R851" i="18" s="1"/>
  <c r="Q426" i="18"/>
  <c r="R426" i="18" s="1"/>
  <c r="Q1375" i="18"/>
  <c r="R1375" i="18" s="1"/>
  <c r="Q788" i="18"/>
  <c r="R788" i="18" s="1"/>
  <c r="Q278" i="18"/>
  <c r="R278" i="18" s="1"/>
  <c r="O4" i="18"/>
  <c r="Q4" i="18" s="1"/>
  <c r="R4" i="18" s="1"/>
  <c r="N1379" i="18"/>
  <c r="P4" i="18" l="1"/>
  <c r="P1379" i="18" s="1"/>
  <c r="O1379" i="18"/>
  <c r="G1379" i="18"/>
</calcChain>
</file>

<file path=xl/sharedStrings.xml><?xml version="1.0" encoding="utf-8"?>
<sst xmlns="http://schemas.openxmlformats.org/spreadsheetml/2006/main" count="7205" uniqueCount="1980">
  <si>
    <t>CONCEPTO</t>
  </si>
  <si>
    <t>BODEGA</t>
  </si>
  <si>
    <t>10-30-10 X 50KG (YARA)</t>
  </si>
  <si>
    <t>B50</t>
  </si>
  <si>
    <t>10-30-10 X KILO</t>
  </si>
  <si>
    <t>KL</t>
  </si>
  <si>
    <t>15-15-15 X 50K Nitrofer</t>
  </si>
  <si>
    <t>15-15-15 X KILO</t>
  </si>
  <si>
    <t>IMPULSOR NV x KL</t>
  </si>
  <si>
    <t>F HUEVOS PIGMENTO x 40 KL</t>
  </si>
  <si>
    <t>BULTO</t>
  </si>
  <si>
    <t>RCA-346 LANZA FLEXIBLE</t>
  </si>
  <si>
    <t>UND</t>
  </si>
  <si>
    <t>25-4-24 KILO</t>
  </si>
  <si>
    <t>25-4-24 MANUCHAR</t>
  </si>
  <si>
    <t>ABAFED 18 EC LITRO (ABAMECTINA)</t>
  </si>
  <si>
    <t>LT</t>
  </si>
  <si>
    <t>ABOTEK X 50KL (15-4-23-4)</t>
  </si>
  <si>
    <t>IVERMECTINA X10ML</t>
  </si>
  <si>
    <t>PALMERA GEL ANASAC</t>
  </si>
  <si>
    <t>AGITA 1% SOBRE X 20GR</t>
  </si>
  <si>
    <t>SOB</t>
  </si>
  <si>
    <t>LACTAMOX JGA x 6 GR</t>
  </si>
  <si>
    <t>GR</t>
  </si>
  <si>
    <t>FILTRO PAPEL LECHE DELGADO</t>
  </si>
  <si>
    <t>AGUJA DESECH. 16 X 1</t>
  </si>
  <si>
    <t>MACOLLAMIENTO Y DESPEGUE POMA</t>
  </si>
  <si>
    <t>POMA</t>
  </si>
  <si>
    <t>ALAMBRE DE PUAS C 14.5  X 500 Mts.</t>
  </si>
  <si>
    <t>ALAMBRE DE PUAS 12.5 X 350MT</t>
  </si>
  <si>
    <t>RLL</t>
  </si>
  <si>
    <t>ALBENDAZOL 25% X 100CC</t>
  </si>
  <si>
    <t>FRS</t>
  </si>
  <si>
    <t>MANGA DE PALPACION</t>
  </si>
  <si>
    <t>ALPISTE  X 454 GR</t>
  </si>
  <si>
    <t>LB</t>
  </si>
  <si>
    <t>ALTO 100SL X 100CC</t>
  </si>
  <si>
    <t>AMINA 720  X LITRO</t>
  </si>
  <si>
    <t>AMINA 720 X 20LITROS</t>
  </si>
  <si>
    <t>PM</t>
  </si>
  <si>
    <t>AMINA X GALON</t>
  </si>
  <si>
    <t>GL</t>
  </si>
  <si>
    <t>AMINOVIT VIGORION x LT</t>
  </si>
  <si>
    <t>AMISTAR 50 WG X 40GR</t>
  </si>
  <si>
    <t>AMISTAR TOP X 250CC</t>
  </si>
  <si>
    <t>AMISTAR ZTRA X 250CC</t>
  </si>
  <si>
    <t>AMISTAR ZTRA X LITRO</t>
  </si>
  <si>
    <t>AMITRAZ 12.5 X 33CC VICAR</t>
  </si>
  <si>
    <t>ATHRIN BRIO x 250 CC</t>
  </si>
  <si>
    <t>AVITRON ( FEBENDAZOLE) TABLETA</t>
  </si>
  <si>
    <t>TB</t>
  </si>
  <si>
    <t>AZADON FORJADO #2 CAFETERO HERRAGRO</t>
  </si>
  <si>
    <t>AZUL DE METILENO X 6GR</t>
  </si>
  <si>
    <t>VAKIANO X LT</t>
  </si>
  <si>
    <t>BARRETON COLIMA X 3 LB</t>
  </si>
  <si>
    <t>BEBEDERO 6 1/2 LT PLASTICO</t>
  </si>
  <si>
    <t>CJ</t>
  </si>
  <si>
    <t>BIOZYME TF LITRO</t>
  </si>
  <si>
    <t>BOLFO TALCO X 100GR</t>
  </si>
  <si>
    <t>TRR</t>
  </si>
  <si>
    <t>RC-350B101X BOQUILLA TRACK BRONCE</t>
  </si>
  <si>
    <t>BOQUILLA CONO LLENO (MORADA)</t>
  </si>
  <si>
    <t>BOQUILLA CON ROTOR</t>
  </si>
  <si>
    <t>BROCOLI X 2GR</t>
  </si>
  <si>
    <t>CAL DOLOMITA x 50 KL</t>
  </si>
  <si>
    <t>CALCIO VELOX  x  LIBRA</t>
  </si>
  <si>
    <t>CALFOS POLVO X 50 KILOS</t>
  </si>
  <si>
    <t>CANCILLER X 250CC</t>
  </si>
  <si>
    <t>CANCILLER X LITRO</t>
  </si>
  <si>
    <t>CARBENDAZIM LITRO</t>
  </si>
  <si>
    <t>CARRETA TOLVA  METALICA (76LT)</t>
  </si>
  <si>
    <t>ALBAHACA MORADA</t>
  </si>
  <si>
    <t>CHUPO TERNERO ROJO</t>
  </si>
  <si>
    <t>CIPERVET X 10 GRAMOS</t>
  </si>
  <si>
    <t>CLOSER X 200c.c.</t>
  </si>
  <si>
    <t>COCCIGAN SOBRE X 25GR</t>
  </si>
  <si>
    <t>COLIFLOR X 5 GR GERM</t>
  </si>
  <si>
    <t>MICROMIN BOVINOS x 1 KL</t>
  </si>
  <si>
    <t>COMEDERO PLAST. X 7KILOS</t>
  </si>
  <si>
    <t>COMPLELAND ORAL X 100CC</t>
  </si>
  <si>
    <t>COMPLEMIL ORAL x 100 ML</t>
  </si>
  <si>
    <t>ML</t>
  </si>
  <si>
    <t>COMPLEMIL X LITRO</t>
  </si>
  <si>
    <t>COSMOAGUAS X 200GR</t>
  </si>
  <si>
    <t>COSMOCEL 20-30-10 KILO</t>
  </si>
  <si>
    <t>CRECER 500 X 900GR</t>
  </si>
  <si>
    <t>GLIFOSATO 747 SOBRE</t>
  </si>
  <si>
    <t>CUCHILLA DOBLE TIRO</t>
  </si>
  <si>
    <t>CUCHILLA GUADAAA 350 X 1</t>
  </si>
  <si>
    <t>CURAGAN NL X 375ML</t>
  </si>
  <si>
    <t>CUTAMYCON V CREMA X 35GR</t>
  </si>
  <si>
    <t>DAP X KILO</t>
  </si>
  <si>
    <t>DETIAGAS TABLETAS</t>
  </si>
  <si>
    <t>DEXAPEN X 10CC</t>
  </si>
  <si>
    <t>DEXAPEN X 20CC</t>
  </si>
  <si>
    <t>DEXTROMIN RB12 X500</t>
  </si>
  <si>
    <t>DILARVON COJIN X 30CC</t>
  </si>
  <si>
    <t>COJ</t>
  </si>
  <si>
    <t>DITHANE M-45WP X KILO</t>
  </si>
  <si>
    <t>COBREX FCO X 50ML</t>
  </si>
  <si>
    <t>FCO</t>
  </si>
  <si>
    <t>EMBAJADOR X 50KL (20-4-18)</t>
  </si>
  <si>
    <t>ENGEO 247SC X 250 ML</t>
  </si>
  <si>
    <t>EQUISTAR JGA X 20GR</t>
  </si>
  <si>
    <t>JER</t>
  </si>
  <si>
    <t>ERITROVET SB X 30GR</t>
  </si>
  <si>
    <t>ESCOBA PLAST 22 DIENTES BELLOTA</t>
  </si>
  <si>
    <t>ESPECIFICO SCHERING X 120 ML</t>
  </si>
  <si>
    <t>ESPECIFICO SHERING X 330 ML</t>
  </si>
  <si>
    <t>ESPINACA X 3 GR SGA</t>
  </si>
  <si>
    <t>EXALT 60 SC X 100C.C.</t>
  </si>
  <si>
    <t>F GEST HNA. X 40K</t>
  </si>
  <si>
    <t>B40</t>
  </si>
  <si>
    <t>F CERDO INICIO KILO</t>
  </si>
  <si>
    <t>F CERDO INIC. PAST. X 40K</t>
  </si>
  <si>
    <t>F CERDO LEVANTE 25-30  X 40kl</t>
  </si>
  <si>
    <t>F CERDOS PRE-INIC PAST X 40K</t>
  </si>
  <si>
    <t>F CONEJOS PAST X 40K</t>
  </si>
  <si>
    <t>F CONEJOS X KILO</t>
  </si>
  <si>
    <t>F CUYES PT.X 40K</t>
  </si>
  <si>
    <t>F CUYES X KILO</t>
  </si>
  <si>
    <t>F ENG. PARRILLERO GR X 40K</t>
  </si>
  <si>
    <t>F HUEVO GR X KILO</t>
  </si>
  <si>
    <t>BLACKPOT x KL</t>
  </si>
  <si>
    <t>F I PARRILLERO X KILO</t>
  </si>
  <si>
    <t>F L STAND 70 HNA X 40K</t>
  </si>
  <si>
    <t>F LECHE 14-16 HARINA X 40</t>
  </si>
  <si>
    <t>F POLLO CAMPESINO GR</t>
  </si>
  <si>
    <t>CEBOLLA ROJA x 2 GR GERM</t>
  </si>
  <si>
    <t>F MOJARRA CRECIM 40% KILO</t>
  </si>
  <si>
    <t>F SAL FORMULA 1 CALCICA X 40K</t>
  </si>
  <si>
    <t>F SAL UNIVERSAL F X 10K</t>
  </si>
  <si>
    <t>B10</t>
  </si>
  <si>
    <t>F SAL UNIVERSAL F X 40K</t>
  </si>
  <si>
    <t>F SAL UNIVERSAL X KILO</t>
  </si>
  <si>
    <t>F VACAS PRELACTANCIA PX40K</t>
  </si>
  <si>
    <t>FEBENZOL 10% JERINGA X 25ML</t>
  </si>
  <si>
    <t>FENTOPEN 500 EC X 250CC</t>
  </si>
  <si>
    <t>FENTOPEN 500EC LITRO</t>
  </si>
  <si>
    <t>FERREX B12 X 25ML</t>
  </si>
  <si>
    <t>FILPO ADULTO X KILO</t>
  </si>
  <si>
    <t>FILPO X30 K</t>
  </si>
  <si>
    <t>B30</t>
  </si>
  <si>
    <t>FITORAZ X 500GR</t>
  </si>
  <si>
    <t>FLORESCENCIA  KL</t>
  </si>
  <si>
    <t>FOLITOP AMONIKUALIUM x KL</t>
  </si>
  <si>
    <t>FOLITOP AMINO PHOSZINC x KL</t>
  </si>
  <si>
    <t>FORUM 500 X 120GR</t>
  </si>
  <si>
    <t>FUMIGADORA ASIA PRESION FERCON</t>
  </si>
  <si>
    <t>ROYAL CONDOR CLASICA X 20LTS</t>
  </si>
  <si>
    <t>GANAPEN 5"</t>
  </si>
  <si>
    <t>GEMINIS X 125GR</t>
  </si>
  <si>
    <t>GLIFOSOL LITRO</t>
  </si>
  <si>
    <t>GLIFOSOL POMA X 20 LTS</t>
  </si>
  <si>
    <t>GRAMOXONE GALON</t>
  </si>
  <si>
    <t>GRAMOXONE LITRO</t>
  </si>
  <si>
    <t>GRAPA X KL PUMA</t>
  </si>
  <si>
    <t>GUSANTROL X 60GR</t>
  </si>
  <si>
    <t>HARINA DE MAIZ X KILO</t>
  </si>
  <si>
    <t>HIERBABUENA</t>
  </si>
  <si>
    <t>SOBRE</t>
  </si>
  <si>
    <t>HIERRO DEXTRAN ERMA x 20 ML</t>
  </si>
  <si>
    <t>HILO P.P. X 1500 MTS</t>
  </si>
  <si>
    <t>HILO P.P. X 750 MTS</t>
  </si>
  <si>
    <t>HORMIX X 500GR</t>
  </si>
  <si>
    <t>IMPACTO X 100 ML</t>
  </si>
  <si>
    <t>IMPACTO X 25CC</t>
  </si>
  <si>
    <t>IMPULSOR ULTRA 120 ( 65 KMS)</t>
  </si>
  <si>
    <t>INTREPID 2F X 100 CC</t>
  </si>
  <si>
    <t>INTREPID 2F X LITRO</t>
  </si>
  <si>
    <t>JABON ASUNTOL X 90GR</t>
  </si>
  <si>
    <t>JERINGA DESECH. X 10 CC</t>
  </si>
  <si>
    <t>JERINGA DESECH. X 3 CC</t>
  </si>
  <si>
    <t>JERINGA DESECH. X 5CC</t>
  </si>
  <si>
    <t>TERMOMETRO DE MAXIMA Y MINIMA</t>
  </si>
  <si>
    <t>KAVITEX 20/20 X 20CC</t>
  </si>
  <si>
    <t>CC</t>
  </si>
  <si>
    <t>KCL MANUCHAR x 50 KL</t>
  </si>
  <si>
    <t>BT50</t>
  </si>
  <si>
    <t>KCL X KILO</t>
  </si>
  <si>
    <t>KETOCONAZOL 200 MG X TAB 10</t>
  </si>
  <si>
    <t>TAB</t>
  </si>
  <si>
    <t>RC-K8X KIT EMBOLO</t>
  </si>
  <si>
    <t>RC-K6X KIT EMPAQUE LLAVE STEEL PLAST.</t>
  </si>
  <si>
    <t>RC-K2X KIT EMPAQUES</t>
  </si>
  <si>
    <t>RC-K812X KIT PIN Y ARANDELA VARILLA</t>
  </si>
  <si>
    <t>KLERAT X 20GR SOBRE</t>
  </si>
  <si>
    <t>LANNATE X 135GR</t>
  </si>
  <si>
    <t>LANNATE X LITRO</t>
  </si>
  <si>
    <t>RC-346EX-INX LANZA CAPRI EMSABLADA INOXIDABLE</t>
  </si>
  <si>
    <t>LATIGO X LITRO</t>
  </si>
  <si>
    <t>LIMA BELLOTA 8"</t>
  </si>
  <si>
    <t>LIMA NICHOLSON</t>
  </si>
  <si>
    <t>FS-302 LLAVE DE PASO MACHO 1/4</t>
  </si>
  <si>
    <t>LLAVE PARA TENSORES</t>
  </si>
  <si>
    <t>LORSBAN X 250CC</t>
  </si>
  <si>
    <t>LORSBAN X KILO</t>
  </si>
  <si>
    <t>LORSBAN X LITRO</t>
  </si>
  <si>
    <t>MACHETE AGUILA CORNETA 20"</t>
  </si>
  <si>
    <t>MACOLLAMIENTO DESPEGUE X LITRO</t>
  </si>
  <si>
    <t>MAGESTIC X 200GR</t>
  </si>
  <si>
    <t>MAIZ AMA. ICA V-305 KILO (SEMILLA)</t>
  </si>
  <si>
    <t>MALATHION 57% X LITRO</t>
  </si>
  <si>
    <t>MALLA GALLINERO PLASTICA 1.8MT X 50M</t>
  </si>
  <si>
    <t>MAMITOLINA X 20 GR</t>
  </si>
  <si>
    <t>RA-305EX MANGUERA SALIDA CAMARA ALIADA</t>
  </si>
  <si>
    <t>RC-305X MANGUERA SALIDA CAMARA CLASICA</t>
  </si>
  <si>
    <t>SOGA AMARILLA 3 MM 1/8</t>
  </si>
  <si>
    <t>MT</t>
  </si>
  <si>
    <t>MANZATE X 1 KG</t>
  </si>
  <si>
    <t>MARAX TABLETA</t>
  </si>
  <si>
    <t>MASTITIS TEST C.M.T. X 500ML</t>
  </si>
  <si>
    <t>MATABABOSA X 300GR</t>
  </si>
  <si>
    <t>MERTEC 500SC X 100 CC</t>
  </si>
  <si>
    <t>MIEL DE PURGA  X 30KG</t>
  </si>
  <si>
    <t>BT30</t>
  </si>
  <si>
    <t>MIEL DE PURGA TARRO</t>
  </si>
  <si>
    <t>BANDEJA PRUEBA DE MASTITIS</t>
  </si>
  <si>
    <t>MILBEKNOCK X 100 ML</t>
  </si>
  <si>
    <t>MINAVIAR X 25GR</t>
  </si>
  <si>
    <t>MININO X LIBRA</t>
  </si>
  <si>
    <t>MIRAGE X 100 CC</t>
  </si>
  <si>
    <t>MIRRINGO X KILO</t>
  </si>
  <si>
    <t>MIRRINGO X LIBRA</t>
  </si>
  <si>
    <t>MIXEL TOP LITRO</t>
  </si>
  <si>
    <t>MOGOLLA X 40 KILOS</t>
  </si>
  <si>
    <t>MALLA PAJARITO x ROLLO</t>
  </si>
  <si>
    <t>ROLLO</t>
  </si>
  <si>
    <t>MOVENTO OS X 200ML</t>
  </si>
  <si>
    <t>OSMOCOTE 1/2 LIBRA</t>
  </si>
  <si>
    <t>NOVACAN CACHORROS X 2.5 ML</t>
  </si>
  <si>
    <t>NUMETRIN LITRO</t>
  </si>
  <si>
    <t>NUTRECAN CACH X 15 KL</t>
  </si>
  <si>
    <t>B15</t>
  </si>
  <si>
    <t>NUTRECAN CACH X 500 GR</t>
  </si>
  <si>
    <t>NUTRECAN CROQ X 800 GR</t>
  </si>
  <si>
    <t>AGILITY PEQ VERDE x 8 KL</t>
  </si>
  <si>
    <t>BT</t>
  </si>
  <si>
    <t>NUTREPOLLO X 40 KL</t>
  </si>
  <si>
    <t>NUTREPOLLO X KL</t>
  </si>
  <si>
    <t>NUTRISS POLLO/V KILO</t>
  </si>
  <si>
    <t>NUTRISS CACH X KILO</t>
  </si>
  <si>
    <t>NUTRISS CARNE x 30 KL</t>
  </si>
  <si>
    <t>BTO</t>
  </si>
  <si>
    <t>ORTHENE X 200GR</t>
  </si>
  <si>
    <t>ORTHOCIDE X 500GR</t>
  </si>
  <si>
    <t>OXITETRACICLINA 50 MK X 500CC</t>
  </si>
  <si>
    <t>OXITETRACICLINA 50 MK X 50CC</t>
  </si>
  <si>
    <t>PALA REDONDA N 2</t>
  </si>
  <si>
    <t>PALA REDONDA #4 COLLINS</t>
  </si>
  <si>
    <t>PALIN BANANERO ANGOSTO</t>
  </si>
  <si>
    <t>NOVACAN ADT x 10 ML</t>
  </si>
  <si>
    <t>Q-IDA CAN ADULTO x 30 KL</t>
  </si>
  <si>
    <t>PEINILLA AGUILA CORNETA 20"</t>
  </si>
  <si>
    <t>OREGANO SGA</t>
  </si>
  <si>
    <t>PEREJIL LISO STAND II SGA</t>
  </si>
  <si>
    <t>PEZOSAN X 30GR</t>
  </si>
  <si>
    <t>PORCINO SOBRE X 5GR</t>
  </si>
  <si>
    <t>PROFENOCRON X LITRO</t>
  </si>
  <si>
    <t>PUNTILLA 1 1/2</t>
  </si>
  <si>
    <t>PUNTILLA 2 PULG x 400 GR</t>
  </si>
  <si>
    <t>PUNTILLA 3 1/2</t>
  </si>
  <si>
    <t>PUNTILLA 3 x 400 GR</t>
  </si>
  <si>
    <t>PUNTILLA 5"</t>
  </si>
  <si>
    <t>PYRINEX 4EC X LITRO</t>
  </si>
  <si>
    <t>QUINOCALF 10% ORAL X 10 ML</t>
  </si>
  <si>
    <t>QUINOCALF TABLETA</t>
  </si>
  <si>
    <t>R CACHORROS X 30K</t>
  </si>
  <si>
    <t>RC-122EX RACOR BOMBA ROYAL</t>
  </si>
  <si>
    <t>CUPRA GL x LT</t>
  </si>
  <si>
    <t>RAIZAL KILO</t>
  </si>
  <si>
    <t>REBROTE X 10K KILOS</t>
  </si>
  <si>
    <t>REBROTE X KILO</t>
  </si>
  <si>
    <t>REMOLACHA SAENZ FETY x 12 GR</t>
  </si>
  <si>
    <t>REPOLLO BOLA VERDE STAND II SGA</t>
  </si>
  <si>
    <t>REVUS 250EC X 125CC</t>
  </si>
  <si>
    <t>RIDOMIL GOLD 68 X 375GR</t>
  </si>
  <si>
    <t>RILEXINE 200NP JERINGA</t>
  </si>
  <si>
    <t>ROMADE COJIN X 20CC</t>
  </si>
  <si>
    <t>RONDEL PUPPY X 2 ML</t>
  </si>
  <si>
    <t>RONDEL X 10 ADULTO ML</t>
  </si>
  <si>
    <t>ROUND UP X GALON</t>
  </si>
  <si>
    <t>ROUND UP X LITRO</t>
  </si>
  <si>
    <t>AWAKE x 250 ML</t>
  </si>
  <si>
    <t>ROZAR X 15 GR</t>
  </si>
  <si>
    <t>NEEMAZAL FRS</t>
  </si>
  <si>
    <t>SCORE 250 SC X 100ML</t>
  </si>
  <si>
    <t>SCORE 250EC X250 CC</t>
  </si>
  <si>
    <t>CILANTRO LONG x 454 GR</t>
  </si>
  <si>
    <t>SOLLA CAMPEON DORADO X 40 KL</t>
  </si>
  <si>
    <t>SKEL EC  X LITRO</t>
  </si>
  <si>
    <t>STREPTOLAND SOBRE X 20GR</t>
  </si>
  <si>
    <t>TAPA EMBOLO MITTO</t>
  </si>
  <si>
    <t>TAPON ESFERA RC (O)</t>
  </si>
  <si>
    <t>RC-920ENX LLAVE CLASICA NUEVA</t>
  </si>
  <si>
    <t>TELA VERDE</t>
  </si>
  <si>
    <t>TILOSIN CAPSULA.250Mg</t>
  </si>
  <si>
    <t>TOMATE SANTA CLARA X STAND II</t>
  </si>
  <si>
    <t>TORNILLO TRANCA ESFERA RC (G)</t>
  </si>
  <si>
    <t>TRIADAMIN X LT</t>
  </si>
  <si>
    <t>TRIGARD SB X 6GR</t>
  </si>
  <si>
    <t>TRIMEDIAZINA INY. X 10ML</t>
  </si>
  <si>
    <t>TRIMEDIAZINA INY. X 50CC</t>
  </si>
  <si>
    <t>TRIVIA X 400GR</t>
  </si>
  <si>
    <t>RC-931X TUBO LLAVE DE PASO STEEL PLAST</t>
  </si>
  <si>
    <t>UREA X KILO</t>
  </si>
  <si>
    <t>VACOL POMADA X 390GR</t>
  </si>
  <si>
    <t>VACOL POMADA X 60GR</t>
  </si>
  <si>
    <t>VASO SELLADOR PEZONES</t>
  </si>
  <si>
    <t>VERDADERO 600WG X 50GR</t>
  </si>
  <si>
    <t>VERTIMEC X 100 CC</t>
  </si>
  <si>
    <t>VERTIMEC X 250 CC</t>
  </si>
  <si>
    <t>VIMEC TOP X 100ML PROMO</t>
  </si>
  <si>
    <t>VIMEC TOP X 10CC</t>
  </si>
  <si>
    <t>VIMEC TOP X 500ML</t>
  </si>
  <si>
    <t>VIMEC TOP X 50 ML</t>
  </si>
  <si>
    <t>VITAPIO SOBRE X 10GR</t>
  </si>
  <si>
    <t>YARA NITROMAG X 50KILOS</t>
  </si>
  <si>
    <t>YARA LIVA NITRABOR X 25KILOS</t>
  </si>
  <si>
    <t>YODO HATO BACT X 60 ML</t>
  </si>
  <si>
    <t>YODO HATOBACT X 120ML</t>
  </si>
  <si>
    <t>ZAPALLO B X 5GR</t>
  </si>
  <si>
    <t>R CROQUETAS X 2 KILOS</t>
  </si>
  <si>
    <t>ACELGA x 25 GR FERCON</t>
  </si>
  <si>
    <t>kl</t>
  </si>
  <si>
    <t>CEBOLLA CABEZONA x 1 GR GERM</t>
  </si>
  <si>
    <t>PEREJIL LISO GERM x 20 GR</t>
  </si>
  <si>
    <t>ZANAHORIA STAND II SGA</t>
  </si>
  <si>
    <t>KILO</t>
  </si>
  <si>
    <t>HABICHUELA LAGO AZUL X 25 GR SGA</t>
  </si>
  <si>
    <t>FRIJOL CARGAMANTO  BEJUCO x 1 KL</t>
  </si>
  <si>
    <t>HILO X 3000 MTS</t>
  </si>
  <si>
    <t>F CERDO LEVANTE POR KILO</t>
  </si>
  <si>
    <t>F CERDO ENGORDE 65 X KILO</t>
  </si>
  <si>
    <t>COMPLEMIL X50ML</t>
  </si>
  <si>
    <t>TORDON 101 X  LITRO</t>
  </si>
  <si>
    <t>RALLY EC 100 CC</t>
  </si>
  <si>
    <t>NUTRECAN ADULTO X 25 KILOS CROQ</t>
  </si>
  <si>
    <t>MTS</t>
  </si>
  <si>
    <t>F CERDO PRE INICIO X KILO</t>
  </si>
  <si>
    <t>PARAQUAT  X LITRO</t>
  </si>
  <si>
    <t>ABONISSA BT</t>
  </si>
  <si>
    <t>AGROTIN LITRO</t>
  </si>
  <si>
    <t>ENGEO 247SC X 100 CC</t>
  </si>
  <si>
    <t>TIJERA PODADORA NUMERO 9</t>
  </si>
  <si>
    <t>MALLA CUADRADA X MTS</t>
  </si>
  <si>
    <t>BLS</t>
  </si>
  <si>
    <t>SHAMPO CON AMOR ARBOL DE TE x SOBRE</t>
  </si>
  <si>
    <t>ESPECIFICO SHERING X 470ML</t>
  </si>
  <si>
    <t>SELLADOR IXER X LT</t>
  </si>
  <si>
    <t>BTO 40</t>
  </si>
  <si>
    <t>SHAMPOO CANAMOR ANTIPULGAS x 30 ML</t>
  </si>
  <si>
    <t>HEMAVET B12 X 100 ML</t>
  </si>
  <si>
    <t>F PONEDORA x BTO</t>
  </si>
  <si>
    <t>ALBENDAVEM 25% x LT SERVINSUMOS</t>
  </si>
  <si>
    <t>ANTRACOL X 400GR</t>
  </si>
  <si>
    <t>NUTRISS CARNE x 1 KL</t>
  </si>
  <si>
    <t>F CORCEL PAST X 40 KL</t>
  </si>
  <si>
    <t>F MOJARRA CREC. 40%  X 40KL</t>
  </si>
  <si>
    <t>NUTRISS CACH X 15KILOS</t>
  </si>
  <si>
    <t>R CACHORRO X 2 KILOS</t>
  </si>
  <si>
    <t>FILPO CACHORRO X 10 KL</t>
  </si>
  <si>
    <t>DACONIL 720SC X 250CC</t>
  </si>
  <si>
    <t>COGOLLE X KILO</t>
  </si>
  <si>
    <t>ENRAIPHOS kl</t>
  </si>
  <si>
    <t>ROYAL CONDOR ACTIVA X 20LTS</t>
  </si>
  <si>
    <t>DOG CHOW ADULT x 475 GR (AMARILLO)</t>
  </si>
  <si>
    <t>DOG CHOW CACH x 2 KL (MORADO)</t>
  </si>
  <si>
    <t>DOG CHOW ADULT (ROJO) X 8KL</t>
  </si>
  <si>
    <t>DOG CHOW ADULT  X 8KL (AMARILLO)</t>
  </si>
  <si>
    <t>CUCHILLA GUADAÑA LIVIANA</t>
  </si>
  <si>
    <t>DOG CHOW CACH x 1KL (MORADO)</t>
  </si>
  <si>
    <t>DOG CHOW CACH.  X 8KL (MORADO)</t>
  </si>
  <si>
    <t>DOG CHOW CACH R/PEQ X 475GR (MORADO)</t>
  </si>
  <si>
    <t>DOG CHOW CACHORRO X 8 KL (VERDE)</t>
  </si>
  <si>
    <t>R CROQUETAS X 1 KILO</t>
  </si>
  <si>
    <t>R CROQUETAS X 20 KILOS</t>
  </si>
  <si>
    <t>CIROMEX BRIO X 200</t>
  </si>
  <si>
    <t>SKEL 250EC X 250</t>
  </si>
  <si>
    <t>Q-DA CAT LIBRA</t>
  </si>
  <si>
    <t>AVEX X 100ML</t>
  </si>
  <si>
    <t>VITAVAX LB</t>
  </si>
  <si>
    <t>GANAPEN 10''</t>
  </si>
  <si>
    <t>ESPECIFICO SCHERING x LT</t>
  </si>
  <si>
    <t>CALCIO x 2 KL</t>
  </si>
  <si>
    <t>PIPERACINA UND</t>
  </si>
  <si>
    <t>VOLIAMFLEXI X 250</t>
  </si>
  <si>
    <t>MAMITOLINA 60GR</t>
  </si>
  <si>
    <t>LEVAMISOL X 20 ML</t>
  </si>
  <si>
    <t>VIMEC TOP X 250ML</t>
  </si>
  <si>
    <t>DOG CHOW ADULTO R/ PEQUEÑAS X 1 KILO</t>
  </si>
  <si>
    <t>DOG CHOW ADULT R/PEQUEÑAS X 2KL</t>
  </si>
  <si>
    <t>DOG CHOW ADULTO X 2 KILOS (ROJO)</t>
  </si>
  <si>
    <t>CAL AGRICOLA</t>
  </si>
  <si>
    <t>PROMOCALIER GOTERO</t>
  </si>
  <si>
    <t>NUMETRIN X 250ML</t>
  </si>
  <si>
    <t>TAMIZ X 250</t>
  </si>
  <si>
    <t>PEREJIL CRESPO  GERMI x 3 GR</t>
  </si>
  <si>
    <t>MALLA PAJARITO MTS</t>
  </si>
  <si>
    <t>PROGIBB SOBRE</t>
  </si>
  <si>
    <t>CALMAFOS X 500ML</t>
  </si>
  <si>
    <t>SILLETA DOBLE ANILLO</t>
  </si>
  <si>
    <t>TELA POLISOMBRA 2.10</t>
  </si>
  <si>
    <t>TELA NEGRA</t>
  </si>
  <si>
    <t>MININO KILO</t>
  </si>
  <si>
    <t>BELT x 50 ML</t>
  </si>
  <si>
    <t>NATIVO X 120ML</t>
  </si>
  <si>
    <t>PROTEUS FRS X 200ML</t>
  </si>
  <si>
    <t>ALAMBRE PU 14.5 X 350MTS</t>
  </si>
  <si>
    <t>ALAMBRE 16.5 X 400 MTS</t>
  </si>
  <si>
    <t>31-8-8-2 POTREROS MANUCHAR</t>
  </si>
  <si>
    <t>17-6-18-2  x 50 KL MANUCHAR</t>
  </si>
  <si>
    <t>CALFOSVIT X 50ML</t>
  </si>
  <si>
    <t>NOVABRONCOL X 120</t>
  </si>
  <si>
    <t>COBRETHANE KILO</t>
  </si>
  <si>
    <t>DOG CHOW CACHARRO VERDE KILO</t>
  </si>
  <si>
    <t>DOG CHOW CACH. VERDE X 475GR</t>
  </si>
  <si>
    <t>BARAKA X 250ML</t>
  </si>
  <si>
    <t>LEPECID FRS</t>
  </si>
  <si>
    <t>GALON</t>
  </si>
  <si>
    <t>OVILLO 750MTS</t>
  </si>
  <si>
    <t>PRIMEC X GOTERO</t>
  </si>
  <si>
    <t>TRIMEBAC GOTAS</t>
  </si>
  <si>
    <t>NOVACAN ADULT X 5ML</t>
  </si>
  <si>
    <t>FOSYCAL PERROS X 120ML</t>
  </si>
  <si>
    <t>BEBEDERO 5 LTS</t>
  </si>
  <si>
    <t>MAIZ ENTERO KILO</t>
  </si>
  <si>
    <t>MAIZ PERGAMINO  BT X 50KL</t>
  </si>
  <si>
    <t>MAIZ PARTIDO BT</t>
  </si>
  <si>
    <t>SAL SOMEX 5% MOCHILA X10KL</t>
  </si>
  <si>
    <t>MOGOLLA KILO</t>
  </si>
  <si>
    <t>ESPECIFICO HATO x GALON</t>
  </si>
  <si>
    <t>RC-830EX PORTABOQUILLA UNIVERSAL</t>
  </si>
  <si>
    <t>MAIZ PARTIDO KILO</t>
  </si>
  <si>
    <t>VERDADERO KILO</t>
  </si>
  <si>
    <t>MACHETE AGUILA CORNETA 22"</t>
  </si>
  <si>
    <t>EFISOIL HUMUS x KL</t>
  </si>
  <si>
    <t>NUTRECAN CACHORRO X 4KL</t>
  </si>
  <si>
    <t>COMPLEBET X 100ML</t>
  </si>
  <si>
    <t>NEOCLORDELIN LACTANCIA</t>
  </si>
  <si>
    <t>TYLOSER X 50ML</t>
  </si>
  <si>
    <t>FILTRO PLAST PARA LECHE COMPLETO</t>
  </si>
  <si>
    <t>SAL SOMEX MB MOCHILA X10 KL</t>
  </si>
  <si>
    <t>CLAVEL VARIADO</t>
  </si>
  <si>
    <t>REMITAL KILO</t>
  </si>
  <si>
    <t>COMEDERO DE 18 KILOS</t>
  </si>
  <si>
    <t>LATA</t>
  </si>
  <si>
    <t>TELA BLANCA</t>
  </si>
  <si>
    <t>ESTELAR LT 1280</t>
  </si>
  <si>
    <t>ALAMBRE DE PUAS 16.5*200MTS</t>
  </si>
  <si>
    <t>MALLA PLAST X MTS</t>
  </si>
  <si>
    <t>ALBAHACA GENOVESA</t>
  </si>
  <si>
    <t>TIERRA MEJORADDA X 2KL</t>
  </si>
  <si>
    <t>SUSTRACOCO SUSTRATO  x KL</t>
  </si>
  <si>
    <t>R PREMIUM CACH x 15 KL</t>
  </si>
  <si>
    <t>CANASTA CONICA+NIDO COCO 35 CM</t>
  </si>
  <si>
    <t>CANASTA MEDIA LUNA CORAZON 30cm</t>
  </si>
  <si>
    <t>CALENDULA FERCON</t>
  </si>
  <si>
    <t>CAMPANILLA FLOR AZUL CIELO</t>
  </si>
  <si>
    <t>CEBOLLA CABEZONA SGA STAND I</t>
  </si>
  <si>
    <t>CEBOLLA RED CREOLE STAND I SGA</t>
  </si>
  <si>
    <t>PEPINO POINSET x 3 GR</t>
  </si>
  <si>
    <t>CLAVEL ROJO FERCON</t>
  </si>
  <si>
    <t>FORZA PASTILLA FLORES X 25</t>
  </si>
  <si>
    <t>FORZA PASTILLA FOLLAJE X 25UND</t>
  </si>
  <si>
    <t>GIRASOL LORO  x 454 GR</t>
  </si>
  <si>
    <t>LECHUGA SIMPSON x 5 GERM</t>
  </si>
  <si>
    <t>MANZANILLA GERM</t>
  </si>
  <si>
    <t>OREGANO x 1 GR FERCON</t>
  </si>
  <si>
    <t>PENSAMIENTO GIG AMARILLO</t>
  </si>
  <si>
    <t>PENSAMIENTO GIG VARIADO FERCON</t>
  </si>
  <si>
    <t>TAPETE JAPONES FLOR ENANA</t>
  </si>
  <si>
    <t>TOMATE SANTA CLARA SOB X 20 GR GERM</t>
  </si>
  <si>
    <t>AFALON LB</t>
  </si>
  <si>
    <t>CATOSAL X 50ML</t>
  </si>
  <si>
    <t>CALFON ORALX 350ML</t>
  </si>
  <si>
    <t>CONECTOR CINTA MANGUERA 16MM AZUL</t>
  </si>
  <si>
    <t>RC- 933X FILTRO LLAVE PASO STEELP</t>
  </si>
  <si>
    <t>INSUFLADORA HORMIGAS</t>
  </si>
  <si>
    <t>BROILER KILO</t>
  </si>
  <si>
    <t>YARA INTEGRADOR KILO</t>
  </si>
  <si>
    <t>R PREMIUM X KILO</t>
  </si>
  <si>
    <t>CAZADOR HORMIGAS</t>
  </si>
  <si>
    <t>BANDEJA GER 50 CAV</t>
  </si>
  <si>
    <t>MAIZ HIBRIDO KL</t>
  </si>
  <si>
    <t>BOLSA SEMILLERO ( 3 X 5 )</t>
  </si>
  <si>
    <t>50BTO</t>
  </si>
  <si>
    <t>EFISOIL RENOVATION x KL</t>
  </si>
  <si>
    <t>FOLITOP AMINO NITRO x KL</t>
  </si>
  <si>
    <t>LITRO</t>
  </si>
  <si>
    <t>IMPULSOR X 50ML</t>
  </si>
  <si>
    <t>RECOLECTOR DE CAFE</t>
  </si>
  <si>
    <t>STARTOX 20.8% x 20 ML</t>
  </si>
  <si>
    <t>BOVIPUR X 120ML</t>
  </si>
  <si>
    <t>AGUJA DURATEK 16 x 1 1/2 SUBCUTANEA</t>
  </si>
  <si>
    <t>IMICAR X 50 ML</t>
  </si>
  <si>
    <t>NOVACAN CACHORRO X 5ML</t>
  </si>
  <si>
    <t>ARVEJA PIQUINIGRA SGA x LB</t>
  </si>
  <si>
    <t>Q-IDA CAT X 8 KL</t>
  </si>
  <si>
    <t>RUGIS X 90 GR</t>
  </si>
  <si>
    <t>UN</t>
  </si>
  <si>
    <t>18-18-18 MANUCHAR</t>
  </si>
  <si>
    <t>CONNECT DUO X 200ML</t>
  </si>
  <si>
    <t>AMISTAR TOP X LITRO</t>
  </si>
  <si>
    <t>NUTRISS CACH X 2 KILOS</t>
  </si>
  <si>
    <t>PEZOSAN X 100GR</t>
  </si>
  <si>
    <t>OVERSEL X 50ML</t>
  </si>
  <si>
    <t>HORMIX x 250 GR</t>
  </si>
  <si>
    <t>ROYAL CONDOR INTEGRA X 20LTS</t>
  </si>
  <si>
    <t>JERINGA DESECH. X 20</t>
  </si>
  <si>
    <t>HEMATURINA X 10 G</t>
  </si>
  <si>
    <t>AMITRAZ AGROZ 20;8 X 20 ML</t>
  </si>
  <si>
    <t>PRIMORDIAL Y SEGUNDA X LT</t>
  </si>
  <si>
    <t>BOQUILLA HERBICIDA</t>
  </si>
  <si>
    <t>BELAMYL x 10 ML</t>
  </si>
  <si>
    <t>NUTRIZYME x GALON</t>
  </si>
  <si>
    <t>CINTA BOVINOMETRICA</t>
  </si>
  <si>
    <t>YODOFOX x 120 ML</t>
  </si>
  <si>
    <t>EVIL X LT</t>
  </si>
  <si>
    <t>ALGAE x LT</t>
  </si>
  <si>
    <t>F YEGUAS LACTANCIA</t>
  </si>
  <si>
    <t>COMEDERO 14.2 LT (VERDE)</t>
  </si>
  <si>
    <t>10-20-30 x BTO MANUCHAR</t>
  </si>
  <si>
    <t>TOMILLO X 0.5 GR GERM</t>
  </si>
  <si>
    <t>CANASTA MEDIA LUNA SENCILLA 30cm</t>
  </si>
  <si>
    <t>APIO ESTANDAR FERCON</t>
  </si>
  <si>
    <t>ESPINACA x 5 GR GERMI</t>
  </si>
  <si>
    <t>23-4-20-3 MANUCHAR</t>
  </si>
  <si>
    <t>NUTRECAN ADULTO X 2 KL</t>
  </si>
  <si>
    <t>MANNA X KL</t>
  </si>
  <si>
    <t>NUTRECAN CACHO. X 2 KL</t>
  </si>
  <si>
    <t>CIMARRON SOBRE</t>
  </si>
  <si>
    <t>RC-103BX ESFERA</t>
  </si>
  <si>
    <t>AL COMBATE 5KLS</t>
  </si>
  <si>
    <t>CO-013 FUMIGADORA GARDEN ROYAL CONDOR</t>
  </si>
  <si>
    <t>SAL SOMEX MB KILO</t>
  </si>
  <si>
    <t>TRIADAMIN X GALON</t>
  </si>
  <si>
    <t>AMULET X 240 BAYER</t>
  </si>
  <si>
    <t>NUTRIZYME LT</t>
  </si>
  <si>
    <t>OXITETRACICLINA 50 MK X 100 ML</t>
  </si>
  <si>
    <t>GRUA LECHERA X 100 ML</t>
  </si>
  <si>
    <t>FORZEN ORAL X 100 ML</t>
  </si>
  <si>
    <t>CARBONATO DE CALCIO PARA POLLAS</t>
  </si>
  <si>
    <t>GR - KG</t>
  </si>
  <si>
    <t>FUMIGADORA 5 LT CON VALVULA</t>
  </si>
  <si>
    <t>BOVIPUR 25% JERINGA X 20 ML</t>
  </si>
  <si>
    <t>MALLA POLLO 1.20 X 36 MTS</t>
  </si>
  <si>
    <t>MALLA POLLO 1.80 X 36 MTS</t>
  </si>
  <si>
    <t>OFTALMOSYN X 10 ML</t>
  </si>
  <si>
    <t>ATHRIN BRIO X 100ML</t>
  </si>
  <si>
    <t>SAL SOMEX LECHE x KL</t>
  </si>
  <si>
    <t>SOLLA CAMPEON VERDE</t>
  </si>
  <si>
    <t>FEBENZOL X 500ML</t>
  </si>
  <si>
    <t>FORZEN B15 X 20ML</t>
  </si>
  <si>
    <t>BT40</t>
  </si>
  <si>
    <t>BOQUILLA ADAPTADA</t>
  </si>
  <si>
    <t>Kl</t>
  </si>
  <si>
    <t>MICROQUEL AMIN CUAJE x KL</t>
  </si>
  <si>
    <t>DOG CHOW ADULT V/S X 475G (ROJO)</t>
  </si>
  <si>
    <t>PAPAYA x 3 GR</t>
  </si>
  <si>
    <t>SAFE K x LT</t>
  </si>
  <si>
    <t>DOG CHOW CACH R/PEQ (MORADO) 4 kL</t>
  </si>
  <si>
    <t>YEE CABESOTE MITTO</t>
  </si>
  <si>
    <t>ORIN EMBOLO</t>
  </si>
  <si>
    <t>STOMP LT</t>
  </si>
  <si>
    <t>CACODIL B12  X 25ML</t>
  </si>
  <si>
    <t>ZANAHORIA STAND I SGA</t>
  </si>
  <si>
    <t>SAL SOMEX AL 10% X 10KILOS</t>
  </si>
  <si>
    <t>F POLLO ENGORDE x BTO</t>
  </si>
  <si>
    <t>NUTRISS POLLO x 30 Kl</t>
  </si>
  <si>
    <t>INFINITO x 200Ml</t>
  </si>
  <si>
    <t>UREA MANUCHAR x 50 KL</t>
  </si>
  <si>
    <t>SELLADOR IXER GL</t>
  </si>
  <si>
    <t>MALLA POLLO 0.90 X 36MTS</t>
  </si>
  <si>
    <t>NUTRI RIEGO PRODUCCION X 10KL</t>
  </si>
  <si>
    <t>PRIMORDIAL Y SEGUNDA GALON</t>
  </si>
  <si>
    <t>BEBEDEROS PARA CERDOS</t>
  </si>
  <si>
    <t>SECAMIL x UND</t>
  </si>
  <si>
    <t>DEXTROMIN B x 500 ML</t>
  </si>
  <si>
    <t>AL COMBATE x KL</t>
  </si>
  <si>
    <t>MASTER POLLITO MINI PELET</t>
  </si>
  <si>
    <t>NUTRISS POLLO x 20 KG</t>
  </si>
  <si>
    <t>MASTER POLLITO KILO</t>
  </si>
  <si>
    <t>IVERMECTINA 1% X50ML</t>
  </si>
  <si>
    <t>BAÑOL 20.8% * 500 ML</t>
  </si>
  <si>
    <t>BAÑOL 20.8% * 1000 ML</t>
  </si>
  <si>
    <t>F LAC PAST x 40KL</t>
  </si>
  <si>
    <t>F HUEVOS P x P x BULTO</t>
  </si>
  <si>
    <t>KIT EMBOLO MITTO</t>
  </si>
  <si>
    <t>QUINOCALF 10% ORAL x 200 C.C</t>
  </si>
  <si>
    <t>ROYAL CONDOR ALIADA X 20 LTS</t>
  </si>
  <si>
    <t>BIBERON TERNEROS 2.5 LT</t>
  </si>
  <si>
    <t>F MOJARRA CRE 30% E x 40 KL</t>
  </si>
  <si>
    <t>CIROMEX BRIO x 100</t>
  </si>
  <si>
    <t>F POLLO INICIO x BTO</t>
  </si>
  <si>
    <t>ACELGA LARGA STAND II SGA</t>
  </si>
  <si>
    <t>MENTA  x 0.5 GR GERM</t>
  </si>
  <si>
    <t>RABANO x STAND II</t>
  </si>
  <si>
    <t>CARBONATO DE CALCIO KILO</t>
  </si>
  <si>
    <t>COBREX FCO x 10 ML</t>
  </si>
  <si>
    <t>ESPECIFICO HATOBAC x LT</t>
  </si>
  <si>
    <t>CLORFENAPIR 240 x 120 CC</t>
  </si>
  <si>
    <t>ALBENDAZOL 25% x 20 ML JERINGA</t>
  </si>
  <si>
    <t>RC-521 X T DE CONEXION CLASICA</t>
  </si>
  <si>
    <t>KG</t>
  </si>
  <si>
    <t>ENRAIPHOS x 10 KL</t>
  </si>
  <si>
    <t>RECOLECTOR 18 LT</t>
  </si>
  <si>
    <t>MACOLLAMIENTO Y DESPEGUE x GALON</t>
  </si>
  <si>
    <t>F RENTALECHE X 40 KILOS</t>
  </si>
  <si>
    <t>F MOJARRA ENGORDE 25% x KL</t>
  </si>
  <si>
    <t>SAL SOMEX AL 10% BTO x 40 KL</t>
  </si>
  <si>
    <t>ESPECIFICO HATOBAC x 120 ML</t>
  </si>
  <si>
    <t>ESPECIFICO HATO x 470 ML</t>
  </si>
  <si>
    <t>COMPLELAND x LT</t>
  </si>
  <si>
    <t>PAREDON DE X20ml</t>
  </si>
  <si>
    <t>PEPINO POINSETT STAND II SGA</t>
  </si>
  <si>
    <t>ACELGA STAND I SGA</t>
  </si>
  <si>
    <t>DESARROLLO x KL</t>
  </si>
  <si>
    <t>BELAMYL 100 ML</t>
  </si>
  <si>
    <t>DOG CHOW CACH AZUL x 22.7 KG</t>
  </si>
  <si>
    <t>AWAKE x LT</t>
  </si>
  <si>
    <t>FS-402 CONECTOR T MARIPOSA</t>
  </si>
  <si>
    <t>bt</t>
  </si>
  <si>
    <t>RA-123X TUERCA MARIPOSA PLASTICA</t>
  </si>
  <si>
    <t>CLORPYRIFOS NUFARM x LT</t>
  </si>
  <si>
    <t>EVOFERT CAB ZN X GALON</t>
  </si>
  <si>
    <t>PALL RIN-D x KL</t>
  </si>
  <si>
    <t>COMPLEMENTO NV x KL</t>
  </si>
  <si>
    <t>SULPHARVET SOLUBLE 48 % x 20 GR</t>
  </si>
  <si>
    <t>TYLOCHEM SOBRE X10gr</t>
  </si>
  <si>
    <t>R PREMIUM x 2 KL</t>
  </si>
  <si>
    <t>LECHUGA GRANDES LAGOS x 5 GR GERM</t>
  </si>
  <si>
    <t>REPOLLO CORAZON DE BUEY x 3GR SGA</t>
  </si>
  <si>
    <t>TORONJIL x 1 GR</t>
  </si>
  <si>
    <t>PIMENTON STAND II SGA</t>
  </si>
  <si>
    <t>CEBOLLA ROJA x 5 GR GERM</t>
  </si>
  <si>
    <t>REMOLACHA x 5 GR IMPULSEMILLAS</t>
  </si>
  <si>
    <t>F MOJARRA AL 25% ENG BT</t>
  </si>
  <si>
    <t>PEGAL PH x 150 CC</t>
  </si>
  <si>
    <t>DOG CHOW ADULT x 4 KL ROJO</t>
  </si>
  <si>
    <t>DOG CHOW CACH x 4 KL (VERDE)</t>
  </si>
  <si>
    <t>F MOJARRA 20% ENG x 40 KL</t>
  </si>
  <si>
    <t>CUTAMYCON LOCION FCO x 50 ML</t>
  </si>
  <si>
    <t>EL ALEMAN (PARAQUAT) x GALON</t>
  </si>
  <si>
    <t>CALCIO EN HELADO</t>
  </si>
  <si>
    <t>SUPRESOR x 100 CC</t>
  </si>
  <si>
    <t>MALLA CUADRADA x ROLLO BLANCO</t>
  </si>
  <si>
    <t>TERMINATOR x 20 CC</t>
  </si>
  <si>
    <t>FENLAK X 120 CC</t>
  </si>
  <si>
    <t>TABLETA</t>
  </si>
  <si>
    <t>DORAMEC PROLONGER x 250 ML</t>
  </si>
  <si>
    <t>ASTER MEZCLA COLORES</t>
  </si>
  <si>
    <t>DALIA DOBLE MEZCLA</t>
  </si>
  <si>
    <t>HABICHUELA SGA x 454</t>
  </si>
  <si>
    <t>CEBOLLA LARGA SGA STAND I</t>
  </si>
  <si>
    <t>CILANTRO PATRIMORADO STAND FERCON</t>
  </si>
  <si>
    <t>GUSANTROL x 500 ML</t>
  </si>
  <si>
    <t>OXITETRACICLINA 50 MK X 250 ML</t>
  </si>
  <si>
    <t>CHUNKY  CACHORRO 9KL</t>
  </si>
  <si>
    <t>CHUNKY ADULTO x 9KL</t>
  </si>
  <si>
    <t>CUFIGA 80 WP x 500 GR</t>
  </si>
  <si>
    <t>FOSTAL 80 WP x 500 GR</t>
  </si>
  <si>
    <t>RESCATE SOB x 150 GR</t>
  </si>
  <si>
    <t>NEFASTO x 100 GR</t>
  </si>
  <si>
    <t>MITIPYR x 100 CC</t>
  </si>
  <si>
    <t>ZINPAR x TABLETA (GARRAPATICIDA)</t>
  </si>
  <si>
    <t>CALFON ENERGY x 350 ML</t>
  </si>
  <si>
    <t>ESPECIFICO HATO x 60 ML</t>
  </si>
  <si>
    <t>YODO HATOBACT x 500 ML</t>
  </si>
  <si>
    <t>YODO HATOBACT x 250 ML</t>
  </si>
  <si>
    <t>BOQUILLA CUATRO CHORROS AMARILLA</t>
  </si>
  <si>
    <t>15-4-24-5  MANUCHAR</t>
  </si>
  <si>
    <t>SPECIAL ANDINO x 50 KL</t>
  </si>
  <si>
    <t>ESCOBA PLASTICA 26 DIENTES</t>
  </si>
  <si>
    <t>SAL SOMEX MB x BTO 40 KL</t>
  </si>
  <si>
    <t>CAJA</t>
  </si>
  <si>
    <t>SAL SOMEX SMG x 40 KL</t>
  </si>
  <si>
    <t>BELAMYL x 50 CC</t>
  </si>
  <si>
    <t>BTO50</t>
  </si>
  <si>
    <t>PROMOTOR x KL</t>
  </si>
  <si>
    <t>SAL SOMEX CALCILECHE 12% BULTO</t>
  </si>
  <si>
    <t>VETAPEN x 1'500</t>
  </si>
  <si>
    <t>VETAPEN x 6'000</t>
  </si>
  <si>
    <t>Q-IDA CAN CACHORRO x 15 KL</t>
  </si>
  <si>
    <t>F TERNERA NODRIZA PAST</t>
  </si>
  <si>
    <t>HORQUETAS</t>
  </si>
  <si>
    <t>LIMA ECONOMICA</t>
  </si>
  <si>
    <t>LIMA MOTOSIERRA</t>
  </si>
  <si>
    <t>QUINOCALF x LT</t>
  </si>
  <si>
    <t>CALSYN FCO x 120 ML</t>
  </si>
  <si>
    <t>TRONADOR x LT</t>
  </si>
  <si>
    <t>VERDICT x 250 CC</t>
  </si>
  <si>
    <t>CONTRINO x 100 GR</t>
  </si>
  <si>
    <t>PYRINEX COEX x 250 CC</t>
  </si>
  <si>
    <t>FLUMEG INY x 25 ML</t>
  </si>
  <si>
    <t>DOXICICLINA/AMBROXOL SOBRE</t>
  </si>
  <si>
    <t>DOG CHOW ADULT V/S X 4KL (AMARILLO)</t>
  </si>
  <si>
    <t>10-30-10 X 50 KL MANUCHAR</t>
  </si>
  <si>
    <t>F CERDO ENGORD 65-75P X 40KL</t>
  </si>
  <si>
    <t>FERREX B-12 x 50 ML</t>
  </si>
  <si>
    <t>VACUNA TRIPLE CANINA</t>
  </si>
  <si>
    <t>ABRAZADERA DE 1/2</t>
  </si>
  <si>
    <t>FULMINADO x 100 ML</t>
  </si>
  <si>
    <t>NOVACAN ADULTO x 2.5 ML</t>
  </si>
  <si>
    <t>BUTAZINOL INY x 20 ML</t>
  </si>
  <si>
    <t>RONDEL JGA x 5 ML</t>
  </si>
  <si>
    <t>CEFAKAN JGA X 5ML UND</t>
  </si>
  <si>
    <t>DETERGENTE ALCALINO</t>
  </si>
  <si>
    <t>DETERGENTE ACIDO x GALON</t>
  </si>
  <si>
    <t>PRIMORDIAL Y SEGUNDA X 20LT</t>
  </si>
  <si>
    <t>ENROVET 10% ORAL GOTERO</t>
  </si>
  <si>
    <t>F NOVILLAS DESARROLLO X 40KL P</t>
  </si>
  <si>
    <t>REYCAB-ZN GL</t>
  </si>
  <si>
    <t>AMISTAR TOP X 125ML</t>
  </si>
  <si>
    <t>BOTAMISOL KILO</t>
  </si>
  <si>
    <t>CITOGROWERX500ML</t>
  </si>
  <si>
    <t>SAL SOMEX CALCILECHE 12 % X 10KL</t>
  </si>
  <si>
    <t>NUTRISS CARNE x 2 KL</t>
  </si>
  <si>
    <t>MIRRINGO ARENA x 5 KL</t>
  </si>
  <si>
    <t>ETHION AGROZ 83 * 30 ML</t>
  </si>
  <si>
    <t>DIFECOL 250 x 250 ML</t>
  </si>
  <si>
    <t>AGILITY GOLT x 3 KL VERDE</t>
  </si>
  <si>
    <t>CREDELIO 900 MG 22-45 x TABLETA (AZUL)</t>
  </si>
  <si>
    <t>UNIMAST 20 x 25 ML</t>
  </si>
  <si>
    <t>BRAVECTO DE 10A 20KL</t>
  </si>
  <si>
    <t>BRAVECTO DE 20 A 40KL</t>
  </si>
  <si>
    <t>APIO X 2 GR</t>
  </si>
  <si>
    <t>NUTRISS POLLO/VEG x 2 KL</t>
  </si>
  <si>
    <t>SAM GRANULADO BT X50KL</t>
  </si>
  <si>
    <t>REMITAL  YARA X50</t>
  </si>
  <si>
    <t>SB</t>
  </si>
  <si>
    <t>DAP BT X 50KL MANUCHAR</t>
  </si>
  <si>
    <t>FENLAK x 500 ML</t>
  </si>
  <si>
    <t>TRONADOR GALON</t>
  </si>
  <si>
    <t>DIMETOATO 400 EC x LT</t>
  </si>
  <si>
    <t>SPECIAL INICIO BT X 50KL</t>
  </si>
  <si>
    <t>DESVIADOR DE RAYOS</t>
  </si>
  <si>
    <t>VARILLA COOPERWLL DE 1.8 M (CON ABRAZADERA)</t>
  </si>
  <si>
    <t>REMOLACHA x 25 GR FERCON</t>
  </si>
  <si>
    <t>CACODIL B12 500</t>
  </si>
  <si>
    <t>CUTAMYCON x 100 GR</t>
  </si>
  <si>
    <t>ALFOSITOL POTASIO x LT</t>
  </si>
  <si>
    <t>PAST</t>
  </si>
  <si>
    <t>SOGA MARINERA 6MM</t>
  </si>
  <si>
    <t>SOGAGANADERA10MM</t>
  </si>
  <si>
    <t>SOGA MARINERA 12MM</t>
  </si>
  <si>
    <t>cc</t>
  </si>
  <si>
    <t>SOGA MARINERA 8MM</t>
  </si>
  <si>
    <t>ROFLAXIVEN X 10ML</t>
  </si>
  <si>
    <t>CARVASOL x LT</t>
  </si>
  <si>
    <t>ETHIOKILL x 125 ML</t>
  </si>
  <si>
    <t>NUCHEROL x 50 GR</t>
  </si>
  <si>
    <t>BOLFO SOBRE</t>
  </si>
  <si>
    <t>SAL SOMEX CALCILECHE AL 17%</t>
  </si>
  <si>
    <t>CORREA MITTO</t>
  </si>
  <si>
    <t>POMADA ALFA x 60 GR</t>
  </si>
  <si>
    <t>FULMINATOR X 250cc</t>
  </si>
  <si>
    <t>20LT</t>
  </si>
  <si>
    <t>NEODRY JERG x 10 ML</t>
  </si>
  <si>
    <t>BELT x 500 ML</t>
  </si>
  <si>
    <t>NATIVO x LT</t>
  </si>
  <si>
    <t>R PREM CHAC x 1 KL</t>
  </si>
  <si>
    <t>R PREM CACH x 2 KL</t>
  </si>
  <si>
    <t>BIOFLOX x TABLETA</t>
  </si>
  <si>
    <t>GLUCONATO DE CALCIO PAST</t>
  </si>
  <si>
    <t>UD</t>
  </si>
  <si>
    <t>MELOXIC POMADA X 30gr</t>
  </si>
  <si>
    <t>CONFIRM LT</t>
  </si>
  <si>
    <t>EMIVEM 50 x 500 CC</t>
  </si>
  <si>
    <t>FORTALEXA N . x 40 GR</t>
  </si>
  <si>
    <t>CEFTRIOL SUS 500mg X19GR</t>
  </si>
  <si>
    <t>PAREDON X 120cc</t>
  </si>
  <si>
    <t>OVERSEL OVER x 500 ML</t>
  </si>
  <si>
    <t>CHUNKY CACH x 2 KL</t>
  </si>
  <si>
    <t>CHUNKY ADT x 2 KL</t>
  </si>
  <si>
    <t>AMARRE Y CONSIST LT</t>
  </si>
  <si>
    <t>FERTIENGROSS X LT</t>
  </si>
  <si>
    <t>EL ALEMAN X 20 LTS</t>
  </si>
  <si>
    <t>KENO PURE x LT</t>
  </si>
  <si>
    <t>METRIVET OVULOS</t>
  </si>
  <si>
    <t>EFISOIL SUPERBIA KILO</t>
  </si>
  <si>
    <t>NYLON GUADAÑA x MTS</t>
  </si>
  <si>
    <t>MALLA CUADRADA x ROLLO NEGRA</t>
  </si>
  <si>
    <t>MALLA CUADRADA x ROLLO VERDE</t>
  </si>
  <si>
    <t>MALLA CUADRADA x ROLLO AZUL</t>
  </si>
  <si>
    <t>MALLA CUADRADA x ROLLO AMARILLA</t>
  </si>
  <si>
    <t>GANADOR EPRI FCO x 50 ML</t>
  </si>
  <si>
    <t>MALLA CUADRADA x ROLLO NARANJA</t>
  </si>
  <si>
    <t>MALLA CUADRADA x ROLLO ROJO</t>
  </si>
  <si>
    <t>FILPO GATOS x LB</t>
  </si>
  <si>
    <t>FILPO GATOSx 8 KL</t>
  </si>
  <si>
    <t>N-LARGE x 250 ML</t>
  </si>
  <si>
    <t>RC-203X EMPAQUE RECIPIENTE</t>
  </si>
  <si>
    <t>RC-806/805/820X TORNILLO/TUERCA/ARANDELA</t>
  </si>
  <si>
    <t>RC-700EHX CORREA NEG ECONOMICA</t>
  </si>
  <si>
    <t>und</t>
  </si>
  <si>
    <t>RC-400EX EMBOLO ENSAMBLADO</t>
  </si>
  <si>
    <t>RC-105X TUBO BOMBA METALICO</t>
  </si>
  <si>
    <t>RA-105PX TUBO BOMBA PLASTICO</t>
  </si>
  <si>
    <t>RC-125EX RACOR MET CHASIS PLAT TUB</t>
  </si>
  <si>
    <t>RC-933X FILTRO LLAVE DE PASO</t>
  </si>
  <si>
    <t>RA-K2X KIT EMPAQUES ALIADA/ACTIVA</t>
  </si>
  <si>
    <t>Y1 PORTABOQUILLA DOBLE</t>
  </si>
  <si>
    <t>PROMOCALIER x LT</t>
  </si>
  <si>
    <t>FLORBIOTICO ORAL x 10 ML</t>
  </si>
  <si>
    <t>PARACANIS JGA x 2 ML</t>
  </si>
  <si>
    <t>ROFLAXIVEM 5% INY x 50 ML</t>
  </si>
  <si>
    <t>NOVAC-20 FCO x 120 ML</t>
  </si>
  <si>
    <t>NEXGARD 10-25 KG TALLA L VERDE</t>
  </si>
  <si>
    <t>NEXGARD 4-10 KG TALLA M AZUL</t>
  </si>
  <si>
    <t>LIVANAL x 10 ML</t>
  </si>
  <si>
    <t>COMPLEX 55 x 20 ML</t>
  </si>
  <si>
    <t>PROMOCALIER x 100 ML</t>
  </si>
  <si>
    <t>CHUNKY ADT x 25 KL</t>
  </si>
  <si>
    <t>BIORGAN x 50 ML</t>
  </si>
  <si>
    <t>SAL SOMEX 5% x 40 KL</t>
  </si>
  <si>
    <t>RAPTOR PELLETS x 300 GR</t>
  </si>
  <si>
    <t>AGUJA DES 20 " 1 PORCINO</t>
  </si>
  <si>
    <t>AGUJA DESC 18 * 1/2</t>
  </si>
  <si>
    <t>AGUJA DES 18 " 1 1/2</t>
  </si>
  <si>
    <t>AGUJA DURATEK 16 x 1/2</t>
  </si>
  <si>
    <t>ARGOLLA NARIGUERA BRONCE DELGADA</t>
  </si>
  <si>
    <t>FILTRO MALLA PLASTICO</t>
  </si>
  <si>
    <t>AMINOVIT x 5 LT</t>
  </si>
  <si>
    <t>AMARRE Y CONSISTENCIA x GALON</t>
  </si>
  <si>
    <t>NEXGARD 25 - 50 KG TALLA XL ROJO</t>
  </si>
  <si>
    <t>RONDEL x 2 ML</t>
  </si>
  <si>
    <t>GRAMOXONE x 20 LTS</t>
  </si>
  <si>
    <t>DIFECOL x LT</t>
  </si>
  <si>
    <t>NOVAC-20 x LITRO</t>
  </si>
  <si>
    <t>TRONADOR x 20 LT</t>
  </si>
  <si>
    <t>KOYOTE x LT</t>
  </si>
  <si>
    <t>RC-811 TORNILLO EMPAQUE Y REFUERZO RECIPIENTE</t>
  </si>
  <si>
    <t>RC-303X TUERCA MARIPOSA METALICA</t>
  </si>
  <si>
    <t>RC-920ELPX LLAVE INTEGRA</t>
  </si>
  <si>
    <t>RA-501DEX CAMARA DE PRESION BLANCA</t>
  </si>
  <si>
    <t>RC-120X TUBO DE SALIDA</t>
  </si>
  <si>
    <t>RC-803X VARILLA ASCENSO</t>
  </si>
  <si>
    <t>RC-700EA1 CORREA ACOLCHADA</t>
  </si>
  <si>
    <t>RC-817X ABRAZADERA CAMARA</t>
  </si>
  <si>
    <t>RG-818X ABRAZADERA TUBO BOMBA</t>
  </si>
  <si>
    <t>POLIQUEL MG x LT</t>
  </si>
  <si>
    <t>AVEX X  LITRO</t>
  </si>
  <si>
    <t>NUD</t>
  </si>
  <si>
    <t>LECHUGA GRANDES LAGOS BATAVIA x 1GR</t>
  </si>
  <si>
    <t>YUDO 50 ECx LITRO</t>
  </si>
  <si>
    <t>FORTALEXA N.V x 200 GR</t>
  </si>
  <si>
    <t>TROPEL</t>
  </si>
  <si>
    <t>Y1 PORTABOQUILLA BRONCE</t>
  </si>
  <si>
    <t>RACOR ROJO MANGUERA PLASTICO</t>
  </si>
  <si>
    <t>AISLADOR CERCA VIVA AMARILLO</t>
  </si>
  <si>
    <t>TENSOR PEQUEÑO ( Max 500 mts)</t>
  </si>
  <si>
    <t>sob</t>
  </si>
  <si>
    <t>AISLADOR TIPO PERA OVALADO AMARILLO</t>
  </si>
  <si>
    <t>CINTA AZUL ULTRA 13mm (200m) 5 FIL</t>
  </si>
  <si>
    <t>CORDON NARANJA ULTRA (200M) 6 FIL</t>
  </si>
  <si>
    <t>MANIGUETA PORTILLO AMARILLA</t>
  </si>
  <si>
    <t>RECIBIDOR DE MANIGUETAS</t>
  </si>
  <si>
    <t>AISLADOR PUNTILLA GRANDE</t>
  </si>
  <si>
    <t>RESORTE PORTILLO 3MTS LARGO GLAV CALIENTE</t>
  </si>
  <si>
    <t>RESORTE PORTILLO 3MTS CORTO GLAV CALIENTE</t>
  </si>
  <si>
    <t>IMPULSOR ULTRA 120 VTS (15KM)</t>
  </si>
  <si>
    <t>IMPULSOR ULTRA 120 VTS (45KMS)</t>
  </si>
  <si>
    <t>SAL SOMEX BOVIMIN x 40 KL</t>
  </si>
  <si>
    <t>Q-DA CAN x 15 KL</t>
  </si>
  <si>
    <t>YODOFOX x LT</t>
  </si>
  <si>
    <t>PORCIFER B12 x 10ML</t>
  </si>
  <si>
    <t>OXITOCINA OVER x ML</t>
  </si>
  <si>
    <t>BAÑOL 20.8 x 120ML</t>
  </si>
  <si>
    <t>RESORTE TIJERA #7</t>
  </si>
  <si>
    <t>SECAMIL CJ X 4und</t>
  </si>
  <si>
    <t>GALLOMIX TABLETA</t>
  </si>
  <si>
    <t>MACETA cod 0204  8cm</t>
  </si>
  <si>
    <t>MACETA cod 0211  10cm</t>
  </si>
  <si>
    <t>MACETA cod 0216  12cm</t>
  </si>
  <si>
    <t>MACETA cod 0343  14cm</t>
  </si>
  <si>
    <t>MACETA cod 0232  17cm</t>
  </si>
  <si>
    <t>GUAYABA ROJA FERCON</t>
  </si>
  <si>
    <t>PENSAMIENTO CASI NEGRO</t>
  </si>
  <si>
    <t>PETUNIA HIBRIDA</t>
  </si>
  <si>
    <t>MARGARITA CRISANTEMO BLANCA</t>
  </si>
  <si>
    <t>HINOJO SOBRE</t>
  </si>
  <si>
    <t>PENSAMIENTO GIGANTE ROJO</t>
  </si>
  <si>
    <t>GRANADILLA SOBRE</t>
  </si>
  <si>
    <t>PENSAMIENTO GIGANTE MEZCLA</t>
  </si>
  <si>
    <t>PENSAMIENTO AZUL OSCURO</t>
  </si>
  <si>
    <t>ZINNIA SOBRE</t>
  </si>
  <si>
    <t>CALENDULA X 2 GR GERM</t>
  </si>
  <si>
    <t>ALBAHACA x 2 GR GERM</t>
  </si>
  <si>
    <t>TRANQUILAN CJA x 20 TABS</t>
  </si>
  <si>
    <t>VACUNA RABIA (CONTRA LA RABIA)</t>
  </si>
  <si>
    <t>VACUNA VIRATEC 9 (QUINTUPLE ADULTO)</t>
  </si>
  <si>
    <t>CERRERO 200 SL x LT</t>
  </si>
  <si>
    <t>FUMIGADORA A MOTOR DE LANZA</t>
  </si>
  <si>
    <t>EL ALEMAN X LT</t>
  </si>
  <si>
    <t>CYPROX x LT</t>
  </si>
  <si>
    <t>DELMOX 50 * 500 ML</t>
  </si>
  <si>
    <t>BOLDENONA 50 SERVI x 10 ML</t>
  </si>
  <si>
    <t>HEMOPAR B12 S.I x 100 ML</t>
  </si>
  <si>
    <t>IMPULSOR x 10 ML</t>
  </si>
  <si>
    <t>RO-818NEX ABRAZADERA TUBO BOMBA</t>
  </si>
  <si>
    <t>RC-301X EMP DE LANZA</t>
  </si>
  <si>
    <t>RC-933LNX FILTRO LARGO LLAVE DE PASO</t>
  </si>
  <si>
    <t>RA-931X TUBO LLAVE DE PASO STEEL PLAST</t>
  </si>
  <si>
    <t>RC-931CIX TUBO LLAVE DE PASO METALICA</t>
  </si>
  <si>
    <t>RC-302EX TUBO SALIDA CAMARA CON MARIPOSA</t>
  </si>
  <si>
    <t>RG-819 LPEX CODO LANZA PLASTICA</t>
  </si>
  <si>
    <t>RC-522X MANGUERA BOMBA A CAMARA</t>
  </si>
  <si>
    <t>RC-524X T DE CONEXION METAL CHASIS INO</t>
  </si>
  <si>
    <t>RC-523TX T DE CONEXION INTEGRA</t>
  </si>
  <si>
    <t>RA-521AX T DE CONEXION ALIADA</t>
  </si>
  <si>
    <t>RC-501EX CAMARA DE PRESION ENSAMBLADA CLASICA</t>
  </si>
  <si>
    <t>RO-817NX ABRAZADERA CAMARA ALIADA</t>
  </si>
  <si>
    <t>Ml</t>
  </si>
  <si>
    <t>RC-504X ANILLO CAMARA</t>
  </si>
  <si>
    <t>RC-921X CUERPO LLAVE STEEL PLAST</t>
  </si>
  <si>
    <t>RC-100EX  BOMBA COMPLETA</t>
  </si>
  <si>
    <t>RC-320EX LLAVE DE PASO METALICA</t>
  </si>
  <si>
    <t>RC-410EX TAPA EMBOLO</t>
  </si>
  <si>
    <t>RM-K812PLSX KIT PIN EN U ARANDELA PLASTICA</t>
  </si>
  <si>
    <t>RC-201X FILTRO RECIPIENTE</t>
  </si>
  <si>
    <t>RC-420-30CCX GOTERO LUBRICADOR DE 30 CC</t>
  </si>
  <si>
    <t>FS-406 CONEXION CRUZ PARA MANGUERA 8.5 MM</t>
  </si>
  <si>
    <t>FS-407 TE EPINA DE PESCADO MANG 8.5 M.M</t>
  </si>
  <si>
    <t>FS-408 TE ESPINA DE ESCADO ROSCADO</t>
  </si>
  <si>
    <t>FS-303 LLAVE DE PASO MACHO/HEMBRA</t>
  </si>
  <si>
    <t>SG-502 PORTA BOQUILLA DE DOS SALIDAS</t>
  </si>
  <si>
    <t>RA-818EX ABRAZADERA PLASTICA TUBO BOMBA</t>
  </si>
  <si>
    <t>RC-121X MANG RECIPIENTE A BOMBA</t>
  </si>
  <si>
    <t>RC-808X TUERCA SUJECION CABEZOTE</t>
  </si>
  <si>
    <t>RG-100X CABEZOTE PLASTICO</t>
  </si>
  <si>
    <t>SAL SOMEX CRIA x 40 KL</t>
  </si>
  <si>
    <t>SAL SOMEX DESTETOS x 30 KL</t>
  </si>
  <si>
    <t>RC-H-KIT REPUESTOS PANTALLA PARA HERBICI</t>
  </si>
  <si>
    <t>CHASIS INOXIDABLE PROMOCIONAL CLASICA/IND</t>
  </si>
  <si>
    <t>VOSTOK x 375 GR SOBRE</t>
  </si>
  <si>
    <t>FERTILIZANTE PARA ORQUIDEAS x SOBRE</t>
  </si>
  <si>
    <t>PROMALINA x 120 ML</t>
  </si>
  <si>
    <t>PROMALINA x 500 ML</t>
  </si>
  <si>
    <t>VERDICT x LT</t>
  </si>
  <si>
    <t>KADABRA x LT</t>
  </si>
  <si>
    <t>KADABRA x 150 CC</t>
  </si>
  <si>
    <t>TRILLA x KL</t>
  </si>
  <si>
    <t>MALLA METALICA 1.80 x MTS</t>
  </si>
  <si>
    <t>NUTRISTIM CALCIO x LT</t>
  </si>
  <si>
    <t>RC-923 VASTAGO ENSAM. METALICO</t>
  </si>
  <si>
    <t>RA-605ZX KIT VARILLA CHASIS ALI-ACT</t>
  </si>
  <si>
    <t>FS-106 LANZA FUMIGACION 1/2*46 CM</t>
  </si>
  <si>
    <t>LNZM-06 LNZA MOTORIZADOS 60 CM</t>
  </si>
  <si>
    <t>EFISOIL HUMUS x 5 KL</t>
  </si>
  <si>
    <t>EVOFERT PROMOTOR x LT</t>
  </si>
  <si>
    <t>EVOFERT PRODUCCION x LT</t>
  </si>
  <si>
    <t>CURBIIX FUSION X LT</t>
  </si>
  <si>
    <t>ALFOSITOL POTASION x GL</t>
  </si>
  <si>
    <t>AISLADOR MANGUERA LISA (ROLLO x 50 MTS)</t>
  </si>
  <si>
    <t>CHUNKY GATOS x LB</t>
  </si>
  <si>
    <t>SOLU ACTIV PROD x 9.5</t>
  </si>
  <si>
    <t>SOLU ACT PROD x KL</t>
  </si>
  <si>
    <t>ALAMBRE DE PUA 14x200MTS</t>
  </si>
  <si>
    <t>EVOFERT PROMOTOR x  GALON</t>
  </si>
  <si>
    <t>TUBO BOMBA CON CABEZOTE MITTO</t>
  </si>
  <si>
    <t>sobre</t>
  </si>
  <si>
    <t>CHASIS PLASTICO MITTO</t>
  </si>
  <si>
    <t>ESFERAS MITTO INOX</t>
  </si>
  <si>
    <t>VARILLA EMBOLO MITTO COMPLETA</t>
  </si>
  <si>
    <t>CODO BC LAZA ESTACIONARIA</t>
  </si>
  <si>
    <t>DISCO BOQUILLA ESTAC D3</t>
  </si>
  <si>
    <t>EVOFERT INICIO x LT</t>
  </si>
  <si>
    <t>EVOFERT PRODUCCION x GALON</t>
  </si>
  <si>
    <t>EXACTUS 75 WG x 150 GR</t>
  </si>
  <si>
    <t>VASTO 10 WG x 150 GR</t>
  </si>
  <si>
    <t>FUMIGADORA DE GALON</t>
  </si>
  <si>
    <t>RACOR MARIPOSA MITTO</t>
  </si>
  <si>
    <t>ALAMBRE CERCA ELECTRICA 1040 C.14 x 25 KG</t>
  </si>
  <si>
    <t>ANTRIBAXOL x 30 ML</t>
  </si>
  <si>
    <t>ATAKAR X 500</t>
  </si>
  <si>
    <t>BAYTRIL x LT</t>
  </si>
  <si>
    <t>CACODIL B12 x 100</t>
  </si>
  <si>
    <t>CACODIL B12 x 50 ML</t>
  </si>
  <si>
    <t>CACODIL B15 x 250 ML</t>
  </si>
  <si>
    <t>CALMAYEC x 500 ML</t>
  </si>
  <si>
    <t>CREMA DERMICA</t>
  </si>
  <si>
    <t>PRONALGIN x 20 ML</t>
  </si>
  <si>
    <t>SULFEMIN SOBRE x 25 GR</t>
  </si>
  <si>
    <t>TIOBAC x 50 ML</t>
  </si>
  <si>
    <t>VERMIZOL x 20 ML</t>
  </si>
  <si>
    <t>DIURIDEM x 20 ML</t>
  </si>
  <si>
    <t>DIURIDEM x 50 ML</t>
  </si>
  <si>
    <t>FIPRO TOP STOP x  0.67 ML</t>
  </si>
  <si>
    <t>FOSFOSAN x 100 ML</t>
  </si>
  <si>
    <t>KETODOL 100 x 10 ML</t>
  </si>
  <si>
    <t>KETODOL 100 x 30 ML</t>
  </si>
  <si>
    <t>NEO SERPA RAT CEBO x 30 GR</t>
  </si>
  <si>
    <t>CLOXASEC CAJA JER x 10 ML</t>
  </si>
  <si>
    <t>THILAM 247 x LT</t>
  </si>
  <si>
    <t>SERPICO 40 WP x 40 GR</t>
  </si>
  <si>
    <t>THIAMETHOXAN TOP x LT</t>
  </si>
  <si>
    <t>STIMULATE x LT</t>
  </si>
  <si>
    <t>FORGE x 250 CC</t>
  </si>
  <si>
    <t>FORGE x LT</t>
  </si>
  <si>
    <t>TALCO x 120 GR</t>
  </si>
  <si>
    <t>CIPROVIC x 25 GR SOBRE</t>
  </si>
  <si>
    <t>VETAPEN 3.000.000</t>
  </si>
  <si>
    <t>FOSYCAL TERNEROS x 120 ML</t>
  </si>
  <si>
    <t>TILOVET 20% x 50 ML</t>
  </si>
  <si>
    <t>ANAPLASMOL x 10 AMP</t>
  </si>
  <si>
    <t>ACELGA ESTANDAR FERCON</t>
  </si>
  <si>
    <t>CEBOLLA LARGA x STANDARD I 1 GR SGA</t>
  </si>
  <si>
    <t>REMOLACHA ESATDAR FERCON x SOB</t>
  </si>
  <si>
    <t>UTHANE 80 WP</t>
  </si>
  <si>
    <t>ACIERTO 500 CC</t>
  </si>
  <si>
    <t>MEDROXIPROGESTERONA x 1 ML</t>
  </si>
  <si>
    <t>REVICAL OVER x 500 ML</t>
  </si>
  <si>
    <t>CEFEXIM 20% x 30 G</t>
  </si>
  <si>
    <t>OVERMIX x TAB</t>
  </si>
  <si>
    <t>OREGERAS CARAVANAS BOGALVET</t>
  </si>
  <si>
    <t>ABONISSA FOL x LT</t>
  </si>
  <si>
    <t>EVOFERT CAB ZN X LT</t>
  </si>
  <si>
    <t>EVOFERT COMPLETO x LT</t>
  </si>
  <si>
    <t>POTENT K x LT</t>
  </si>
  <si>
    <t>BOQUILLA EST RECTA</t>
  </si>
  <si>
    <t>MALLA CUADRADA x MT 1.50 MTS</t>
  </si>
  <si>
    <t>EVOFERT INICIO GALON</t>
  </si>
  <si>
    <t>F SAL 8 CON SE x 10 KL</t>
  </si>
  <si>
    <t>ALBENDAZOL 25% X200ML</t>
  </si>
  <si>
    <t>ELEMENT x LT</t>
  </si>
  <si>
    <t>ELEMENT x 250 CC</t>
  </si>
  <si>
    <t>THILAM x 250 CC</t>
  </si>
  <si>
    <t>ACTIVADOR x 500 G</t>
  </si>
  <si>
    <t>CYPROX x 100CC</t>
  </si>
  <si>
    <t>BOLDENONA 50 x 250 ML</t>
  </si>
  <si>
    <t>SANIDERM CREMA x 40 GR</t>
  </si>
  <si>
    <t>BONAVIT INY FCO x 100 ML</t>
  </si>
  <si>
    <t>BAÑOL 20.8% x 20 ML</t>
  </si>
  <si>
    <t>BONAVIT INY FCO x 30 ML</t>
  </si>
  <si>
    <t>QUINODIAR SUSPENCION ORAL x 30 ML</t>
  </si>
  <si>
    <t>COCCICALF ORAL x 10 ML</t>
  </si>
  <si>
    <t>ALER-CAF 10 MG x TABLETA</t>
  </si>
  <si>
    <t>CITOGROWER x 250 CC</t>
  </si>
  <si>
    <t>COMBATE 5000 x LT</t>
  </si>
  <si>
    <t>SPHERE MAX x 50 ML</t>
  </si>
  <si>
    <t>CAL SUPERIOR</t>
  </si>
  <si>
    <t>EVOFERT PROMOTOR x 500 CC</t>
  </si>
  <si>
    <t>EVOFERT GREEN PH X LT</t>
  </si>
  <si>
    <t>VICARPEN 8'000.000</t>
  </si>
  <si>
    <t>ARVEJA x 20 GR GERM</t>
  </si>
  <si>
    <t>RG-816X TUERCA TORNILLO ABRAZADERA</t>
  </si>
  <si>
    <t>RA-100MX CABEZOTE MET ALIADA</t>
  </si>
  <si>
    <t>RA-105X TUBO BOMBA MET ALIADA</t>
  </si>
  <si>
    <t>RA-829X TUERCA MARIPOSA PLASTICA</t>
  </si>
  <si>
    <t>8079-PP- FILTRO MALLA 50 INOX</t>
  </si>
  <si>
    <t>RACOR MANGUERA BRONCE</t>
  </si>
  <si>
    <t>RJ-10184EX BOQUILLA ROJA /AMARILLA (150-250)</t>
  </si>
  <si>
    <t>RC-605ZX KIT VARILLA CHASIS CLASIS-INTEG</t>
  </si>
  <si>
    <t>RC-809ENX PALANCA ROYAL MANGO NEGRO</t>
  </si>
  <si>
    <t>GD-6 BOQUILLA GENERICA YAMAH</t>
  </si>
  <si>
    <t>GD-35 BOQUILLA ABANICO D35</t>
  </si>
  <si>
    <t>GC-35 BOQUILLA DOBLE ABANICO C35</t>
  </si>
  <si>
    <t>VOLTIMETRO DE LUCES</t>
  </si>
  <si>
    <t>TENSOR GRANDE (MaX 1000 Mts)</t>
  </si>
  <si>
    <t>AVISO DE PRECAUCION</t>
  </si>
  <si>
    <t>AJI JALAPEÑO x 10 GR</t>
  </si>
  <si>
    <t>BRACHIARIA DECUMBENS GOLD x 1 KL SGA</t>
  </si>
  <si>
    <t>BRACHIARIA BRIZANTHA TOLEDO GOLD x 1 KL</t>
  </si>
  <si>
    <t>SUSTRATO ORQUIDEAS GRUESO x 1.3 KL</t>
  </si>
  <si>
    <t>EVOFERT INICIO x POMA</t>
  </si>
  <si>
    <t>DELTAMAR X30 ML</t>
  </si>
  <si>
    <t>LIMA BELLOTA 6 "</t>
  </si>
  <si>
    <t>FS-107 LANZA REGURADORA 1/2 * 31 CM</t>
  </si>
  <si>
    <t>BENZOMECTINA SOBRE</t>
  </si>
  <si>
    <t>TAZER x LT</t>
  </si>
  <si>
    <t>FOTO ACTIVE X 500ML</t>
  </si>
  <si>
    <t>ROOT UP X500ML</t>
  </si>
  <si>
    <t>DOG CHOW POUCH MINI CARNE x SOBRE</t>
  </si>
  <si>
    <t>DOG CHOW GALLETA JUNIOR</t>
  </si>
  <si>
    <t>DOG CHOW GALLETAS MAXI</t>
  </si>
  <si>
    <t>GRASA GUADAÑA x 400 POWER PULL</t>
  </si>
  <si>
    <t>NUTRIPLEX K45+M x KL</t>
  </si>
  <si>
    <t>NUTRIPLEX P55+M KL</t>
  </si>
  <si>
    <t>BIORGANIK x 5 KL</t>
  </si>
  <si>
    <t>WORM-EX GALLOS x TABLETA (IVERMECTINA)</t>
  </si>
  <si>
    <t>APROACH x LT</t>
  </si>
  <si>
    <t>MITERRA x LT</t>
  </si>
  <si>
    <t>MITERRA x 250 CC</t>
  </si>
  <si>
    <t>FOTO ACTIVE LITROML</t>
  </si>
  <si>
    <t>EVOFERT PRODUCCION POMA</t>
  </si>
  <si>
    <t>CARIAL OPTI x 300 CC</t>
  </si>
  <si>
    <t>FORZEN B15 * 50 ML</t>
  </si>
  <si>
    <t>COMPLEX 55 x 50 ML</t>
  </si>
  <si>
    <t>AGUJA DES 23 " 1</t>
  </si>
  <si>
    <t>BIORGANIK x 20 KL</t>
  </si>
  <si>
    <t>DELTAMAR MADERA x 30 ML</t>
  </si>
  <si>
    <t>SERVIOX 200 L.A x 50 MLSERVINSUMOS</t>
  </si>
  <si>
    <t>ESTATICE MEZCLA EXTRA</t>
  </si>
  <si>
    <t>FORZA MIX x 3 KL (TURBA)</t>
  </si>
  <si>
    <t>EFISOIL SUPERBIA x 250 GR</t>
  </si>
  <si>
    <t>TRANQUILAN INY x 10 ML</t>
  </si>
  <si>
    <t>PEZOSAN-N 220 GR</t>
  </si>
  <si>
    <t>DALIPEN * 6000.000 U.I</t>
  </si>
  <si>
    <t>FELIGEN CRP</t>
  </si>
  <si>
    <t>STIMULATE x 250 CC</t>
  </si>
  <si>
    <t>POWER PHOST x LT</t>
  </si>
  <si>
    <t>X-CYTE x LT</t>
  </si>
  <si>
    <t>PRIMEC x 100 ML</t>
  </si>
  <si>
    <t>CREDELIO 56 MG 1-5 KG x TABLETA (AMARILLO)</t>
  </si>
  <si>
    <t>CREDELIO 112 MG 2-5 KL * TABLETA ( ROSADO)</t>
  </si>
  <si>
    <t>CREDELIO 225 MG 5-11 KG * TABLETA ( NARANJA )</t>
  </si>
  <si>
    <t>CREDELIO 450 MG 11- 22 KG x TABLETA (VERDE)</t>
  </si>
  <si>
    <t>BRAVECTO 4.5-10 KG</t>
  </si>
  <si>
    <t>VARILLA DE ASCENSO MITTO</t>
  </si>
  <si>
    <t>PALANCA MITTO</t>
  </si>
  <si>
    <t>DESARROLLADOR ESPECIAL</t>
  </si>
  <si>
    <t>ONLY-PET 10-20 KL</t>
  </si>
  <si>
    <t>ONLY-PET 20-40 KG</t>
  </si>
  <si>
    <t>ONLY-PET + 40KG</t>
  </si>
  <si>
    <t>ONLY PET (GATOS)*0.67 C.C</t>
  </si>
  <si>
    <t>ONLY-PET 10 KG (PERROS)</t>
  </si>
  <si>
    <t>SANUCH TARRO x 250 GR</t>
  </si>
  <si>
    <t>NORDOX 75 WG 1K - ANASAC</t>
  </si>
  <si>
    <t>DOCTUS 80 WGx 400 GR (TEBUTHIURON)</t>
  </si>
  <si>
    <t>LABRUM 25 EC (PYRACLOSTROBIN)X 600 ML</t>
  </si>
  <si>
    <t>REGADERA PLASTICA x 8 LT</t>
  </si>
  <si>
    <t>NOMINA DE TRABAJAORES MENSUAL</t>
  </si>
  <si>
    <t>%</t>
  </si>
  <si>
    <t>GERENTE</t>
  </si>
  <si>
    <t>ADMINISTRADORA</t>
  </si>
  <si>
    <t>VENTAS</t>
  </si>
  <si>
    <t>ASIGNACION MENSUAL</t>
  </si>
  <si>
    <t>-</t>
  </si>
  <si>
    <t>DIAS LABORALES</t>
  </si>
  <si>
    <t>SUELDO MENSUAL</t>
  </si>
  <si>
    <t>AUXILIO TRANSPORTE</t>
  </si>
  <si>
    <t>TETAL DEVENGADO</t>
  </si>
  <si>
    <t xml:space="preserve">SALUD </t>
  </si>
  <si>
    <t>PENSION</t>
  </si>
  <si>
    <t>OTRAS DEDUCCIONES</t>
  </si>
  <si>
    <t>TOTAL DEDUCCIONES</t>
  </si>
  <si>
    <t>NETO A PAGAR</t>
  </si>
  <si>
    <t xml:space="preserve">PENSION DEL </t>
  </si>
  <si>
    <t>ARL</t>
  </si>
  <si>
    <t>CAJA COMPENSACION</t>
  </si>
  <si>
    <t>CESANTIAS MES</t>
  </si>
  <si>
    <t>INTERES A LAS CESANTIAS</t>
  </si>
  <si>
    <t>PRIMA SERVICIOS MES</t>
  </si>
  <si>
    <t>VACACIONES MES</t>
  </si>
  <si>
    <t>COSTO MO MES</t>
  </si>
  <si>
    <t>COSTO MO DIA</t>
  </si>
  <si>
    <t>COSTO MO HORA</t>
  </si>
  <si>
    <t>CONSTO MO MIN</t>
  </si>
  <si>
    <t>N°</t>
  </si>
  <si>
    <t>ACTIVIDAD</t>
  </si>
  <si>
    <t>Captacion de clientes</t>
  </si>
  <si>
    <t>COSTO MO POR ACTIVIDAD</t>
  </si>
  <si>
    <t>ARRENDAMIENTO</t>
  </si>
  <si>
    <t>DEPARTAMENTO</t>
  </si>
  <si>
    <t>AREA M"</t>
  </si>
  <si>
    <t>AREA</t>
  </si>
  <si>
    <t>TOTAL</t>
  </si>
  <si>
    <t>PROCESO</t>
  </si>
  <si>
    <t>INDUCTOR</t>
  </si>
  <si>
    <t>ENERGIA</t>
  </si>
  <si>
    <t>NOMBRE</t>
  </si>
  <si>
    <t>COSTO H.</t>
  </si>
  <si>
    <t>V.UTIL (AÑOS)</t>
  </si>
  <si>
    <t>D. ANUAL</t>
  </si>
  <si>
    <t>D. MES</t>
  </si>
  <si>
    <t>D. DIA</t>
  </si>
  <si>
    <t>D. HORA</t>
  </si>
  <si>
    <t>D. MIN</t>
  </si>
  <si>
    <t>PC MESA VENTAS 1</t>
  </si>
  <si>
    <t>PC MESA VENTAS 2</t>
  </si>
  <si>
    <t>PC MESA VENTAS 3</t>
  </si>
  <si>
    <t>IMPRESORA</t>
  </si>
  <si>
    <t>ESCRITORIO</t>
  </si>
  <si>
    <t>UNIDAD DE MEDIDA</t>
  </si>
  <si>
    <t>COSTO UNITARIO</t>
  </si>
  <si>
    <t>JEFE DE BODEGA</t>
  </si>
  <si>
    <t>ASISTENTE TECNICO</t>
  </si>
  <si>
    <t>Venta de mercancia</t>
  </si>
  <si>
    <t>Mostrador agricola</t>
  </si>
  <si>
    <t>COSTOS INDIRECTOS DE COMERCIALIZACION</t>
  </si>
  <si>
    <t>HORAS AL MES POR ACTIVIDAD</t>
  </si>
  <si>
    <t>CODIGO GRUPO</t>
  </si>
  <si>
    <t>CODIGO PRODUCTO</t>
  </si>
  <si>
    <t>DESCRIPCION PRODUCTO</t>
  </si>
  <si>
    <t>CENTRO COSTO</t>
  </si>
  <si>
    <t>NOMBRES</t>
  </si>
  <si>
    <t>CODIGO  MACROACTIVIDADES</t>
  </si>
  <si>
    <t>CARTERA</t>
  </si>
  <si>
    <t>ACTIVIDADES-TAREAS</t>
  </si>
  <si>
    <t>CA1</t>
  </si>
  <si>
    <t>CA2</t>
  </si>
  <si>
    <t>CA3</t>
  </si>
  <si>
    <t>CA4</t>
  </si>
  <si>
    <t>CA5</t>
  </si>
  <si>
    <t>Contratacion de personal</t>
  </si>
  <si>
    <t>Contratacion de servicios</t>
  </si>
  <si>
    <t>Recepcion de correspondencia</t>
  </si>
  <si>
    <t>Elaboracion de documentos o informes requeridos</t>
  </si>
  <si>
    <t>Archivo</t>
  </si>
  <si>
    <t>Control de saldos de Caja y Banco</t>
  </si>
  <si>
    <t>Captacion de Proveedores</t>
  </si>
  <si>
    <t>Planificacion y organizacion</t>
  </si>
  <si>
    <t>Atencion al cliente</t>
  </si>
  <si>
    <t>Representar legalmente la empresa ante diferentes entidades.</t>
  </si>
  <si>
    <t>Pago Proveedores</t>
  </si>
  <si>
    <t>Pago Gastos administrativos</t>
  </si>
  <si>
    <t>Pago Obligaciones financieras</t>
  </si>
  <si>
    <t>Informacion de Productos y precios</t>
  </si>
  <si>
    <t>Recepcion de llamadas para pedidos</t>
  </si>
  <si>
    <t xml:space="preserve">Realizar cuadre de caja diario </t>
  </si>
  <si>
    <t>Elaboracion de estados financieros</t>
  </si>
  <si>
    <t>Liquidar y revisar los pagos correspondientes a impuestos</t>
  </si>
  <si>
    <t>Elaborar las declaraciones de renta</t>
  </si>
  <si>
    <t>Elaboracion de información exogena.</t>
  </si>
  <si>
    <t xml:space="preserve">Mantener actualizada la contabilidad. </t>
  </si>
  <si>
    <t>Realizar asientos contables.</t>
  </si>
  <si>
    <t>Recibir documentación de facturas y documentos equivalentes</t>
  </si>
  <si>
    <t>Elaborar cuentas de cobro a los clientes o empresas</t>
  </si>
  <si>
    <t xml:space="preserve">Verificar documentos necesarios para solicitar el pago de facturas </t>
  </si>
  <si>
    <t>Informar al area contable el estado de cartera</t>
  </si>
  <si>
    <t xml:space="preserve">Actualizar información de clientes y proveedores </t>
  </si>
  <si>
    <t>Facturacion de ventas</t>
  </si>
  <si>
    <t>Nomina electronica</t>
  </si>
  <si>
    <t>Documento sopoerte electronico</t>
  </si>
  <si>
    <t>GESTION DE BODEGA</t>
  </si>
  <si>
    <t>Control de inventario</t>
  </si>
  <si>
    <t>Cargue y Descargue de mercancia</t>
  </si>
  <si>
    <t>Peso y empaque de productos</t>
  </si>
  <si>
    <t>CA01 01</t>
  </si>
  <si>
    <t>CA01 02</t>
  </si>
  <si>
    <t>CA01 03</t>
  </si>
  <si>
    <t>CA01 04</t>
  </si>
  <si>
    <t>CA01 05</t>
  </si>
  <si>
    <t>CA01 06</t>
  </si>
  <si>
    <t>CA01 07</t>
  </si>
  <si>
    <t>CA01 08</t>
  </si>
  <si>
    <t>CA01 10</t>
  </si>
  <si>
    <t>CA01 11</t>
  </si>
  <si>
    <t>CA01 09</t>
  </si>
  <si>
    <t>Asesoria y recomendación de productos</t>
  </si>
  <si>
    <t>COD-ACTIVIDAD</t>
  </si>
  <si>
    <t>Cobro de cartera</t>
  </si>
  <si>
    <t>Conciliacion bancaria</t>
  </si>
  <si>
    <t>Recepcion de ordenes de pedidos.</t>
  </si>
  <si>
    <t>CA02 12</t>
  </si>
  <si>
    <t>CA02 13</t>
  </si>
  <si>
    <t>CA02 14</t>
  </si>
  <si>
    <t>CA03 15</t>
  </si>
  <si>
    <t>CA03 16</t>
  </si>
  <si>
    <t>CA03 17</t>
  </si>
  <si>
    <t>CA03 18</t>
  </si>
  <si>
    <t>CA03 19</t>
  </si>
  <si>
    <t>CA03 20</t>
  </si>
  <si>
    <t>CA03 21</t>
  </si>
  <si>
    <t>CA03 22</t>
  </si>
  <si>
    <t>CA04 23</t>
  </si>
  <si>
    <t>CA04 24</t>
  </si>
  <si>
    <t>CA04 25</t>
  </si>
  <si>
    <t>CA04 26</t>
  </si>
  <si>
    <t>CA04 27</t>
  </si>
  <si>
    <t>CA04 28</t>
  </si>
  <si>
    <t>CA04 29</t>
  </si>
  <si>
    <t>CA04 30</t>
  </si>
  <si>
    <t>CA04 31</t>
  </si>
  <si>
    <t>CA04 32</t>
  </si>
  <si>
    <t>CA05 33</t>
  </si>
  <si>
    <t>CA05 34</t>
  </si>
  <si>
    <t>CA05 35</t>
  </si>
  <si>
    <t>CA05 36</t>
  </si>
  <si>
    <t>CA05 37</t>
  </si>
  <si>
    <t>CA06 40</t>
  </si>
  <si>
    <t>CA06 41</t>
  </si>
  <si>
    <t>CA06 42</t>
  </si>
  <si>
    <t>ITEM</t>
  </si>
  <si>
    <t>DEPRECIACION POR METODO LINEA RECTA ACTIVOS</t>
  </si>
  <si>
    <t xml:space="preserve">% DE TIEMPO </t>
  </si>
  <si>
    <t>MOSTRADOR 1</t>
  </si>
  <si>
    <t>MOSTRADOR 2</t>
  </si>
  <si>
    <t>MOSTRADOR 3</t>
  </si>
  <si>
    <t>CONTABILIDAD</t>
  </si>
  <si>
    <t>PAGOS</t>
  </si>
  <si>
    <t>ADMINISTRATIVA</t>
  </si>
  <si>
    <t>TOTAL HORAS AREA</t>
  </si>
  <si>
    <t>VALOR X AREA</t>
  </si>
  <si>
    <t>TIEMPO EMPLEADO POR ACTIVIDAD</t>
  </si>
  <si>
    <t>GRAMERA</t>
  </si>
  <si>
    <t>PC PORTATIL GERENCIA</t>
  </si>
  <si>
    <t>PC MESA ADMINISTRACION</t>
  </si>
  <si>
    <t>EMPLEADO</t>
  </si>
  <si>
    <t>DEPRECIACION POR AREA POR HORAS DE TRABAJO</t>
  </si>
  <si>
    <t>TOTAL DEPRECIACION POR M-ACT</t>
  </si>
  <si>
    <t>CENTRO AGRO FERRETERO DEL CAUCA SAS ZOMAC</t>
  </si>
  <si>
    <t>Nit. 901476331-4</t>
  </si>
  <si>
    <t>Estado de Resultados</t>
  </si>
  <si>
    <t>INGRESOS</t>
  </si>
  <si>
    <t>INGRESOS OPERACIONALES</t>
  </si>
  <si>
    <t>4135.</t>
  </si>
  <si>
    <t>Comercio al  por  mayor  y al  por menor</t>
  </si>
  <si>
    <t>4135.22.</t>
  </si>
  <si>
    <t>Venta de  productos  agropecuarios</t>
  </si>
  <si>
    <t>4175.</t>
  </si>
  <si>
    <t>Devoluciones en  ventas  (DB)</t>
  </si>
  <si>
    <t>4175.05.</t>
  </si>
  <si>
    <t>GRAVADOS</t>
  </si>
  <si>
    <t>4175.10.</t>
  </si>
  <si>
    <t>NO GRAVADOS</t>
  </si>
  <si>
    <t>COSTOS DE VENTAS</t>
  </si>
  <si>
    <t>6135.</t>
  </si>
  <si>
    <t>6135.20.</t>
  </si>
  <si>
    <t>Venta de  productos  en  almacenes no  especializados</t>
  </si>
  <si>
    <t>6135.22.</t>
  </si>
  <si>
    <t>UTILIDAD BRUTA EN VENTAS</t>
  </si>
  <si>
    <t>GASTOS OPERACIONALES</t>
  </si>
  <si>
    <t>Operacionales de Administración</t>
  </si>
  <si>
    <t>5105.</t>
  </si>
  <si>
    <t>Gastos de  personal</t>
  </si>
  <si>
    <t>5105.06.</t>
  </si>
  <si>
    <t>Sueldos</t>
  </si>
  <si>
    <t>5105.27.</t>
  </si>
  <si>
    <t>Auxilio de  transporte</t>
  </si>
  <si>
    <t>5105.30.</t>
  </si>
  <si>
    <t>Cesantías</t>
  </si>
  <si>
    <t>5105.33.</t>
  </si>
  <si>
    <t>Intereses sobre  cesantías</t>
  </si>
  <si>
    <t>5105.36.</t>
  </si>
  <si>
    <t>Prima de  servicios</t>
  </si>
  <si>
    <t>5105.39.</t>
  </si>
  <si>
    <t>Vacaciones</t>
  </si>
  <si>
    <t>5105.68.</t>
  </si>
  <si>
    <t>5105.70.</t>
  </si>
  <si>
    <t>Aportes a  fondos  de  pensiones y/o  cesantías</t>
  </si>
  <si>
    <t>5105.72.</t>
  </si>
  <si>
    <t>Aportes cajas  de  compensación  familiar</t>
  </si>
  <si>
    <t>5105.84.</t>
  </si>
  <si>
    <t>Gastos médicos  y  drogas</t>
  </si>
  <si>
    <t>5110.</t>
  </si>
  <si>
    <t>Honorarios</t>
  </si>
  <si>
    <t>5110.30.</t>
  </si>
  <si>
    <t>Asesoría financiera</t>
  </si>
  <si>
    <t>5110.35.</t>
  </si>
  <si>
    <t>Asesoría técnica</t>
  </si>
  <si>
    <t>5120.</t>
  </si>
  <si>
    <t>Arrendamientos</t>
  </si>
  <si>
    <t>5120.10.</t>
  </si>
  <si>
    <t>Construcciones y  edificaciones</t>
  </si>
  <si>
    <t>5135.</t>
  </si>
  <si>
    <t>Servicios</t>
  </si>
  <si>
    <t>5135.10.</t>
  </si>
  <si>
    <t>Temporales</t>
  </si>
  <si>
    <t>5135.25.</t>
  </si>
  <si>
    <t>Acueducto y  alcantarillado</t>
  </si>
  <si>
    <t>5135.30.</t>
  </si>
  <si>
    <t>Energía eléctrica</t>
  </si>
  <si>
    <t>5135.35.</t>
  </si>
  <si>
    <t>Teléfono</t>
  </si>
  <si>
    <t>5140.</t>
  </si>
  <si>
    <t>Gastos legales</t>
  </si>
  <si>
    <t>5145.</t>
  </si>
  <si>
    <t>Mantenimiento y  reparaciones</t>
  </si>
  <si>
    <t>5145.20.</t>
  </si>
  <si>
    <t>Equipo de  oficina</t>
  </si>
  <si>
    <t>5145.40.</t>
  </si>
  <si>
    <t>Flota y  equipo  de  transporte</t>
  </si>
  <si>
    <t>5145.98.</t>
  </si>
  <si>
    <t>IVA MAYOR VALOR</t>
  </si>
  <si>
    <t>5150.</t>
  </si>
  <si>
    <t>Adecuación e  instalación</t>
  </si>
  <si>
    <t>5150.10.</t>
  </si>
  <si>
    <t>Arreglos ornamentales</t>
  </si>
  <si>
    <t>5150.15.</t>
  </si>
  <si>
    <t>Reparaciones locativas</t>
  </si>
  <si>
    <t>5150.98.</t>
  </si>
  <si>
    <t>5195.</t>
  </si>
  <si>
    <t>Diversos</t>
  </si>
  <si>
    <t>5195.20.</t>
  </si>
  <si>
    <t>Gastos de  representación  y  relaciones públicas</t>
  </si>
  <si>
    <t>5195.25.</t>
  </si>
  <si>
    <t>Elementos de  aseo  y  cafetería</t>
  </si>
  <si>
    <t>5195.30.</t>
  </si>
  <si>
    <t>5195.35.</t>
  </si>
  <si>
    <t>Combustibles y  lubricantes</t>
  </si>
  <si>
    <t>5195.60.</t>
  </si>
  <si>
    <t>Casino y  restaurante</t>
  </si>
  <si>
    <t>5195.95.</t>
  </si>
  <si>
    <t>Otros</t>
  </si>
  <si>
    <t>5195.96.</t>
  </si>
  <si>
    <t>Iva mayor valor al gasto</t>
  </si>
  <si>
    <t>Operacionales de ventas</t>
  </si>
  <si>
    <t>5205.</t>
  </si>
  <si>
    <t>5205.06.</t>
  </si>
  <si>
    <t>5205.27.</t>
  </si>
  <si>
    <t>5205.30.</t>
  </si>
  <si>
    <t>5205.33.</t>
  </si>
  <si>
    <t>5205.36.</t>
  </si>
  <si>
    <t>5205.39.</t>
  </si>
  <si>
    <t>5205.68.</t>
  </si>
  <si>
    <t>5205.70.</t>
  </si>
  <si>
    <t>5205.72.</t>
  </si>
  <si>
    <t>Apor tes  cajas  de  compensación familiar</t>
  </si>
  <si>
    <t>5235.</t>
  </si>
  <si>
    <t>5235.35.</t>
  </si>
  <si>
    <t>UTILIDAD OPERACIONAL</t>
  </si>
  <si>
    <t>INGRESOS NO OPERACIONALES</t>
  </si>
  <si>
    <t>GASTOS NO OPERACIONALES</t>
  </si>
  <si>
    <t>5305.</t>
  </si>
  <si>
    <t>Financieros</t>
  </si>
  <si>
    <t>5305.05.</t>
  </si>
  <si>
    <t>Gastos bancarios</t>
  </si>
  <si>
    <t>5305.20.</t>
  </si>
  <si>
    <t>Intereses</t>
  </si>
  <si>
    <t>IMPUESTO DE RENTA Y COMPLEMENTARIOS</t>
  </si>
  <si>
    <t>RESULTADO DEL PERIODO ANTES DE IMPUESTOS</t>
  </si>
  <si>
    <t>PROVISION IMPUESTO DE RENTA 25%</t>
  </si>
  <si>
    <t>PROVISION CREE 9%</t>
  </si>
  <si>
    <t>UTILIDAD NETA DEL EJERCICIO</t>
  </si>
  <si>
    <t>COSTO DEPRECIACION POR ACTIVIDAD</t>
  </si>
  <si>
    <t>ADMINISTRACION</t>
  </si>
  <si>
    <t>CA6</t>
  </si>
  <si>
    <t>ARRENDAMIENTO POR DEPARTAMENTO</t>
  </si>
  <si>
    <t>ARRENDAMIENTO POR PROCESO</t>
  </si>
  <si>
    <t>ARRENDAMIENTO POR ACTIVIDAD</t>
  </si>
  <si>
    <t>% POR PROCESO</t>
  </si>
  <si>
    <t>RECURSOS</t>
  </si>
  <si>
    <t>PERSONAL</t>
  </si>
  <si>
    <t>ADECUACIONES E INSTALACIONES</t>
  </si>
  <si>
    <t>DEPRECIACIONES</t>
  </si>
  <si>
    <t>DIVERSOS</t>
  </si>
  <si>
    <t>PROCESOS</t>
  </si>
  <si>
    <t>EDIFICIO</t>
  </si>
  <si>
    <t>ACUEDUCTO</t>
  </si>
  <si>
    <t>REPARACIONES LOCATIVAS</t>
  </si>
  <si>
    <t>ELEMENTOS DE ASEO Y CAFETERIA</t>
  </si>
  <si>
    <t>UTILES, PAPELERIA Y FOTOCOPIAS</t>
  </si>
  <si>
    <t>TIEMPO EMPLEADO</t>
  </si>
  <si>
    <r>
      <t>M</t>
    </r>
    <r>
      <rPr>
        <b/>
        <vertAlign val="superscript"/>
        <sz val="10"/>
        <color indexed="8"/>
        <rFont val="Arial Narrow"/>
        <family val="2"/>
      </rPr>
      <t>2</t>
    </r>
  </si>
  <si>
    <r>
      <t>M</t>
    </r>
    <r>
      <rPr>
        <b/>
        <vertAlign val="superscript"/>
        <sz val="10"/>
        <color indexed="8"/>
        <rFont val="Arial Narrow"/>
        <family val="2"/>
      </rPr>
      <t>3</t>
    </r>
  </si>
  <si>
    <t>% CONSUMO</t>
  </si>
  <si>
    <t>M2</t>
  </si>
  <si>
    <t>% ASIGNACION EQUIPOS  EN USO</t>
  </si>
  <si>
    <t>EMPLEADOS</t>
  </si>
  <si>
    <t>SERVICIOS</t>
  </si>
  <si>
    <t>SERVICIO DE RESTAURANTE</t>
  </si>
  <si>
    <t>COMBIUSTIBLE</t>
  </si>
  <si>
    <t>TEMPORALES</t>
  </si>
  <si>
    <t>POR SERVICIO</t>
  </si>
  <si>
    <t>GASTOS LEGALES</t>
  </si>
  <si>
    <t>TRAMITES Y LICENCIAS</t>
  </si>
  <si>
    <t>POR TRAMITE</t>
  </si>
  <si>
    <t>MES</t>
  </si>
  <si>
    <t>CANTIDAD</t>
  </si>
  <si>
    <t>TELEFONO/ INTERNET</t>
  </si>
  <si>
    <t>EQUIPOS</t>
  </si>
  <si>
    <t>PAPELERIA</t>
  </si>
  <si>
    <t>CA06 38</t>
  </si>
  <si>
    <t>CA06 39</t>
  </si>
  <si>
    <t>COMBUSTIBLE</t>
  </si>
  <si>
    <t>ASIGNACION %</t>
  </si>
  <si>
    <t>PRECIO VENTA</t>
  </si>
  <si>
    <t>Desde 01-JULIO-2022 hasta 31-DICIEMBRE-2022</t>
  </si>
  <si>
    <t>4135.22.05.</t>
  </si>
  <si>
    <t>4135.22.05.01.</t>
  </si>
  <si>
    <t>Gravados 5%</t>
  </si>
  <si>
    <t>4135.22.05.02.</t>
  </si>
  <si>
    <t>Gravados 19%</t>
  </si>
  <si>
    <t>4135.22.10.</t>
  </si>
  <si>
    <t>4135.22.10.01.</t>
  </si>
  <si>
    <t>Excluidos</t>
  </si>
  <si>
    <t>4135.22.10.02.</t>
  </si>
  <si>
    <t>Exentos</t>
  </si>
  <si>
    <t>4175.05.01.</t>
  </si>
  <si>
    <t>GRAVADOS DEL 5%</t>
  </si>
  <si>
    <t>4175.10.01.</t>
  </si>
  <si>
    <t>EXCLUIDOS</t>
  </si>
  <si>
    <t>6135.20.01.</t>
  </si>
  <si>
    <t>Productos Gravados 5%</t>
  </si>
  <si>
    <t>6135.20.02.</t>
  </si>
  <si>
    <t>Productos Gravados 19%</t>
  </si>
  <si>
    <t>6135.20.03.</t>
  </si>
  <si>
    <t>Productos Exentos y excluidos</t>
  </si>
  <si>
    <t>6135.20.04.</t>
  </si>
  <si>
    <t>Gravado a la tarifa 0%</t>
  </si>
  <si>
    <t>6135.22.20.</t>
  </si>
  <si>
    <t>Trasnporte de mercancia</t>
  </si>
  <si>
    <t>6135.22.25.</t>
  </si>
  <si>
    <t>Compra de cajas y estopas</t>
  </si>
  <si>
    <t>6135.22.25.01.</t>
  </si>
  <si>
    <t>Compra de estopas y cajas</t>
  </si>
  <si>
    <t>6135.22.25.02.</t>
  </si>
  <si>
    <t>Iva mayor valor costos</t>
  </si>
  <si>
    <t>5105.48.</t>
  </si>
  <si>
    <t>Bonificaciones</t>
  </si>
  <si>
    <t>Aportes a  administradoras  de  riesgosprofesionales ARP</t>
  </si>
  <si>
    <t>5105.75.</t>
  </si>
  <si>
    <t>Aportes ICBF</t>
  </si>
  <si>
    <t>5105.78.</t>
  </si>
  <si>
    <t>SENA</t>
  </si>
  <si>
    <t>5135.20.</t>
  </si>
  <si>
    <t>Procesamiento electrónico  de  datos</t>
  </si>
  <si>
    <t>5135.50.</t>
  </si>
  <si>
    <t>Transporte fletes  y  acarreos</t>
  </si>
  <si>
    <t>5135.60.</t>
  </si>
  <si>
    <t>Internet</t>
  </si>
  <si>
    <t>5140.10.</t>
  </si>
  <si>
    <t>Registro mercantil</t>
  </si>
  <si>
    <t>5145.10.</t>
  </si>
  <si>
    <t>5145.75.</t>
  </si>
  <si>
    <t>Vehiculo</t>
  </si>
  <si>
    <t>5150.05.</t>
  </si>
  <si>
    <t>Instalaciones eléctricas</t>
  </si>
  <si>
    <t>5150.95.</t>
  </si>
  <si>
    <t>Útiles papelería  y  fotocopias</t>
  </si>
  <si>
    <t>Apor tes  a  administradoras  de riesgos  profesionales ARP</t>
  </si>
  <si>
    <t>5305.05.01.</t>
  </si>
  <si>
    <t>Administrativo</t>
  </si>
  <si>
    <t>5305.20.01.</t>
  </si>
  <si>
    <t>Intereses corrientes</t>
  </si>
  <si>
    <t>5305.20.02.</t>
  </si>
  <si>
    <t>Intereses de mora</t>
  </si>
  <si>
    <t>5315.</t>
  </si>
  <si>
    <t>Gastos extraordinarios</t>
  </si>
  <si>
    <t>5315.20.</t>
  </si>
  <si>
    <t>Impuestos asumidos</t>
  </si>
  <si>
    <t>5315.20.01.</t>
  </si>
  <si>
    <t>Retefuentes</t>
  </si>
  <si>
    <t>5315.25.</t>
  </si>
  <si>
    <t>Gastos no deducibles</t>
  </si>
  <si>
    <t>5395.</t>
  </si>
  <si>
    <t>Gastos diversos</t>
  </si>
  <si>
    <t>5395.20.</t>
  </si>
  <si>
    <t>Multas sanciones  y  litigios</t>
  </si>
  <si>
    <t xml:space="preserve">SERVICIO DE INTERNET Y TELEFONIA </t>
  </si>
  <si>
    <t>HONORARIOS CONTABLES</t>
  </si>
  <si>
    <t>HONORARIOS TECNICOS</t>
  </si>
  <si>
    <t>MANTENIMIENTO REPARACION</t>
  </si>
  <si>
    <t>GASTOS DE REPRESENTACION</t>
  </si>
  <si>
    <t>GASTOS FINANCIERO</t>
  </si>
  <si>
    <t>GASTOS FINANCIEROS</t>
  </si>
  <si>
    <t>PROCESAMIENTO DATOS</t>
  </si>
  <si>
    <t>MANTENIMIENTO Y REPARACIONES</t>
  </si>
  <si>
    <t>MACRO ACTIVIDAD</t>
  </si>
  <si>
    <t>CODIGO ACTIVIDAD</t>
  </si>
  <si>
    <t xml:space="preserve"> VENTAS</t>
  </si>
  <si>
    <t>PROCESAMIENTO DATOS (FACTURATECH)</t>
  </si>
  <si>
    <t>SERVICIO ACUEDUCTO</t>
  </si>
  <si>
    <t>ELEMENTOS DE ASEO</t>
  </si>
  <si>
    <t>Asesoria financiera</t>
  </si>
  <si>
    <t>HONORARIO SALUD EN EL TRABAJO</t>
  </si>
  <si>
    <t>ENERGIA ELECTRICA</t>
  </si>
  <si>
    <t>HORAS USO</t>
  </si>
  <si>
    <t xml:space="preserve"> VENTAS </t>
  </si>
  <si>
    <t>CONSTRUCCION Y EDIFICACIONES</t>
  </si>
  <si>
    <t>EQUIPO OFICINA</t>
  </si>
  <si>
    <t>N. SERVICIOS</t>
  </si>
  <si>
    <t>VALRO SERVICIO TEMPORAL</t>
  </si>
  <si>
    <t>ALEMENTOS DE ASEO POR DEPARTAMENT</t>
  </si>
  <si>
    <t>ELEMENTOS DE ASEO  POR PROCESO</t>
  </si>
  <si>
    <t>ELEMENTOS DE ASEO  POR ACTIVIDAD</t>
  </si>
  <si>
    <t>SERVICIO ACUEDUCTO POR DEPARTAMENTO</t>
  </si>
  <si>
    <t>SERVICIO DE ACUEDUCTO  POR PROCESO</t>
  </si>
  <si>
    <t>SERVICIO DE ACUEDUCTO  POR ACTIVIDAD</t>
  </si>
  <si>
    <t>COSTO SERVICIO TEMPORAL</t>
  </si>
  <si>
    <t>COSTO TEMPORAL POR ACTIVIDAD</t>
  </si>
  <si>
    <t>JEFE BODEGA</t>
  </si>
  <si>
    <t>TEMPORAL OR ACTIVIDAD</t>
  </si>
  <si>
    <t>TOTAL COSTO POR ACTIVIDAD</t>
  </si>
  <si>
    <t>UTILIDAD POR PRODUCTO</t>
  </si>
  <si>
    <t>% RENTABILIDAD</t>
  </si>
  <si>
    <t>SERVICIO RESTAURANTE</t>
  </si>
  <si>
    <t>HONORARIOS SALUD TRABAJO</t>
  </si>
  <si>
    <t>% ASIGNACION</t>
  </si>
  <si>
    <t>MANTENIMINETO EQUIPO OFICINA</t>
  </si>
  <si>
    <t>TRANSPORTE MERCANCIA</t>
  </si>
  <si>
    <t>EMPAQUES BOLSAS</t>
  </si>
  <si>
    <t>CENTRO COSTOS</t>
  </si>
  <si>
    <t>COSTO</t>
  </si>
  <si>
    <t>M2 (Metro cuadrado)</t>
  </si>
  <si>
    <t>N° de servicios</t>
  </si>
  <si>
    <t>Horas uso</t>
  </si>
  <si>
    <t>Tiempo empleado</t>
  </si>
  <si>
    <t>% ( Asignacion porcentual por actividad)</t>
  </si>
  <si>
    <t>GASTOS ADM , ITERESES</t>
  </si>
  <si>
    <t>TIEMPO EMPLEADO POR ACTIVIDAD MENSUAL</t>
  </si>
  <si>
    <t>HORAS DE TRABAJO MENSUALES POR AREAS</t>
  </si>
  <si>
    <t>VALOR DE MO MENSUAL POR AREA</t>
  </si>
  <si>
    <t>PRODUCTOS ACTIVOS</t>
  </si>
  <si>
    <t>10-20-20 X 50K YARA</t>
  </si>
  <si>
    <t>AGRODYNE SL X LITRO</t>
  </si>
  <si>
    <t>AGUJA DES. 16 X 1 1/2 (INTRAMUSCULAR</t>
  </si>
  <si>
    <t>AMITRAZ 12.5% X 100CC AGROZ</t>
  </si>
  <si>
    <t>AWAKE X 100</t>
  </si>
  <si>
    <t>BIOZYME TF X 225CC</t>
  </si>
  <si>
    <t>BOLFO SHAMPOO X 100ML</t>
  </si>
  <si>
    <t>CABRIO TOP X 500GR</t>
  </si>
  <si>
    <t>CHASIS ROYAL</t>
  </si>
  <si>
    <t>CINTA ATRAPAMOSCAS UNIDAD</t>
  </si>
  <si>
    <t>CIPERMETRINA UPL EC X 250CC</t>
  </si>
  <si>
    <t>ARRIERO x KL</t>
  </si>
  <si>
    <t>PASTA DESCORNAR</t>
  </si>
  <si>
    <t>ESPECIFICO HATOBAC x 250 ML</t>
  </si>
  <si>
    <t>CREDIT X GALON</t>
  </si>
  <si>
    <t>CREDIT X LITRO</t>
  </si>
  <si>
    <t>CURZATE M8 X 500GR</t>
  </si>
  <si>
    <t>DESTETADOR PLASTICO</t>
  </si>
  <si>
    <t>F CERDO LEVANTE x 20 KL</t>
  </si>
  <si>
    <t>ELOSAL X 5 LT</t>
  </si>
  <si>
    <t>ELOSAL X LITRO</t>
  </si>
  <si>
    <t>ESTOCADA 90SP X 60GR</t>
  </si>
  <si>
    <t>EXALT X 500C.C.</t>
  </si>
  <si>
    <t>F LACT HNA X 40</t>
  </si>
  <si>
    <t>F FASE I GR X 40K</t>
  </si>
  <si>
    <t>F HUEVOS GR X 40K</t>
  </si>
  <si>
    <t>F I PARRILLERO GR X 40K</t>
  </si>
  <si>
    <t>F L STAND 70 PASTX 40KL</t>
  </si>
  <si>
    <t>F OLIMPICO CINTA AZUL X 30 KL</t>
  </si>
  <si>
    <t>F SAL 8  X 40 KL</t>
  </si>
  <si>
    <t>FILPO ADULTO X 10 KILOS</t>
  </si>
  <si>
    <t>FINCUC TUBO X 90 GR</t>
  </si>
  <si>
    <t>FLOXCELIN ORAL X 10 ML</t>
  </si>
  <si>
    <t>RC-920EMPX LLAVE ALIADA</t>
  </si>
  <si>
    <t>GLIFOSATO x POMA</t>
  </si>
  <si>
    <t>GANAPEN 7.5"</t>
  </si>
  <si>
    <t>GLIFOSOL X GALON</t>
  </si>
  <si>
    <t>ACEITE SINTE 2T PINTA</t>
  </si>
  <si>
    <t>JABON ASUNTOL SABILA X 90GR</t>
  </si>
  <si>
    <t>JABON FRECUENCE</t>
  </si>
  <si>
    <t>LATIGO X 250c.c</t>
  </si>
  <si>
    <t>LECHUGA GRANDES LAGOS BATAVIA x 454 GR</t>
  </si>
  <si>
    <t>SANDIA</t>
  </si>
  <si>
    <t>RC- 920EX LLAVE CLASICA</t>
  </si>
  <si>
    <t>MACHETE AGUILA CORNETA 16"</t>
  </si>
  <si>
    <t>MICROCOMPLETOX 46 KG</t>
  </si>
  <si>
    <t>B46</t>
  </si>
  <si>
    <t>NITRASAM X 50 KL (NUTRIMON)</t>
  </si>
  <si>
    <t>NITRONS CA- MAG</t>
  </si>
  <si>
    <t>OXICLORURO DE COBRE KILO (OXICRON)</t>
  </si>
  <si>
    <t>PALA DRAGA BELLOTA</t>
  </si>
  <si>
    <t>PALIN BELLOTA 5505-H</t>
  </si>
  <si>
    <t>SINRAT X 20gr</t>
  </si>
  <si>
    <t>UNIDAD</t>
  </si>
  <si>
    <t>COLLAR BOLFO PERROS</t>
  </si>
  <si>
    <t>PEGAL  X LT</t>
  </si>
  <si>
    <t>PLATO ATRAPA MOSCA BOLSA X 2</t>
  </si>
  <si>
    <t>POLIQUEL MULTI LITRO</t>
  </si>
  <si>
    <t>PORTA BOQUILLA BRONCE ECONOMICO (G)</t>
  </si>
  <si>
    <t>R CACH. X KILO</t>
  </si>
  <si>
    <t>R CACHORRO X 15 K</t>
  </si>
  <si>
    <t>BT15</t>
  </si>
  <si>
    <t>R CROQUETAS X 30 KL</t>
  </si>
  <si>
    <t>RACUMIN POLVO X 100GR</t>
  </si>
  <si>
    <t>MICROCOMPLETO x KL</t>
  </si>
  <si>
    <t>RAID CUCARACHAS NEGRO</t>
  </si>
  <si>
    <t>RINTAL SB X 7.5GR</t>
  </si>
  <si>
    <t>RONDEL PUPPY x 5 ML</t>
  </si>
  <si>
    <t>SKEL 250EC X 100CC</t>
  </si>
  <si>
    <t>SAM X BULTO X 50K</t>
  </si>
  <si>
    <t>TODO EN UNO X KILO</t>
  </si>
  <si>
    <t>VERMICERDOS SB X 5GR</t>
  </si>
  <si>
    <t>VITACELL X 120ML</t>
  </si>
  <si>
    <t>YARA MILA INTEGRADOR X 50 KILOS</t>
  </si>
  <si>
    <t>ZANAHORIA CHANTENAY FERCON</t>
  </si>
  <si>
    <t>CILANTRO SG-300 RESIS X LIBRA SGA</t>
  </si>
  <si>
    <t>HILO ATATODO</t>
  </si>
  <si>
    <t>NUTRECAN ADULTO X 15 KILOS</t>
  </si>
  <si>
    <t>F RENTALECHE PASTILLA</t>
  </si>
  <si>
    <t>HARINA DE MAIZ X BULTO</t>
  </si>
  <si>
    <t>MACHETE AGUILA CORNETA  # 18</t>
  </si>
  <si>
    <t>MIRRINGO X 8 KILOS</t>
  </si>
  <si>
    <t>B8</t>
  </si>
  <si>
    <t>F POTROS BT X 40KL</t>
  </si>
  <si>
    <t>CABTRAC X LT</t>
  </si>
  <si>
    <t>AGUJA DURATEK 16 x 1</t>
  </si>
  <si>
    <t>PARAQUAT X 20 LT</t>
  </si>
  <si>
    <t>MAMITOLINA X 250GR</t>
  </si>
  <si>
    <t>TORDON X GALON</t>
  </si>
  <si>
    <t>TAMIZ X LITRO</t>
  </si>
  <si>
    <t>CILANTRO LONG x 5 GR</t>
  </si>
  <si>
    <t>RC-H-02 PANTALLA HERBICIDA</t>
  </si>
  <si>
    <t>CONFIDOR X 100CC</t>
  </si>
  <si>
    <t>F CODORNICES X 40KL</t>
  </si>
  <si>
    <t>F CAMPO LECHE HNA X 40KL</t>
  </si>
  <si>
    <t>NUTRISS CACH X 30 KILOS</t>
  </si>
  <si>
    <t>F POLLITAS CRECIMIENTO x 40 KL</t>
  </si>
  <si>
    <t>BEBEDERO AUTOMATICO</t>
  </si>
  <si>
    <t>GALLINAS</t>
  </si>
  <si>
    <t>25-4-24 X 50 KL YARA</t>
  </si>
  <si>
    <t>FULMINADO x 20 ML</t>
  </si>
  <si>
    <t>TOMATE CHERRY x 5 GRM GERM</t>
  </si>
  <si>
    <t>TERMINATOR x 120 ML</t>
  </si>
  <si>
    <t>FENLAK x 20 ML</t>
  </si>
  <si>
    <t>ARVEJA SANTA ISABEL x 454 GR</t>
  </si>
  <si>
    <t>FRIJOL CALIMA x KL</t>
  </si>
  <si>
    <t>DOG CHOW ADULT V/SANAx 22 KG (ROJO)</t>
  </si>
  <si>
    <t>F SAL UNIVERSAL 6 X 40KL</t>
  </si>
  <si>
    <t>GLIFOSATO 480 RAINBOW x GALON</t>
  </si>
  <si>
    <t>BANDEJA 72 CAV</t>
  </si>
  <si>
    <t>FILL AGRO</t>
  </si>
  <si>
    <t>ALBENDAZOL X 500ML</t>
  </si>
  <si>
    <t>LNZM-0.90 LANZA MOTORIZADO 90CM</t>
  </si>
  <si>
    <t>BOLSA DE PLATANO</t>
  </si>
  <si>
    <t>NITROPIÑERO X 20 LT</t>
  </si>
  <si>
    <t>PMA</t>
  </si>
  <si>
    <t>GIRASOL DE FLOR GIGANTE</t>
  </si>
  <si>
    <t>TOMILLO FERCON</t>
  </si>
  <si>
    <t>NEGASUNT AEROSOL</t>
  </si>
  <si>
    <t>CONECTOR CINTA MANGUERA SILLETA</t>
  </si>
  <si>
    <t>BROILER BULTO</t>
  </si>
  <si>
    <t>R PREMIUM X 20 KL</t>
  </si>
  <si>
    <t>F POLLO CAMPESINO GR KILO</t>
  </si>
  <si>
    <t>BOLSA SEMILLERO LB ( 5 X 7 )</t>
  </si>
  <si>
    <t>BOLSA SEMILLERO  KL ( 5 X 8 )</t>
  </si>
  <si>
    <t>DACONIL X LT</t>
  </si>
  <si>
    <t>POLLOS</t>
  </si>
  <si>
    <t>BANDEJA GER 162 CAV</t>
  </si>
  <si>
    <t>BANDEJA GER 200 CAV</t>
  </si>
  <si>
    <t>RABANO x 20 GR FERCON</t>
  </si>
  <si>
    <t>BOLSA SEMILLERO ( 4 X 5 )</t>
  </si>
  <si>
    <t>GLIFOSATO 480 RAINBOW x LT</t>
  </si>
  <si>
    <t>SULFATO DE POTASIO KL</t>
  </si>
  <si>
    <t>BALDE LECHERO x 12 LITROS aluminio</t>
  </si>
  <si>
    <t>KASUMIN X LITRO</t>
  </si>
  <si>
    <t>FORMADOR 2000 X LITRO</t>
  </si>
  <si>
    <t>FORMADOR 2000 X poma</t>
  </si>
  <si>
    <t>VOLIAM FLEXI X LITRO</t>
  </si>
  <si>
    <t>SICARIO RODENCIDA</t>
  </si>
  <si>
    <t>UNA</t>
  </si>
  <si>
    <t>VITAMINA K 10ML</t>
  </si>
  <si>
    <t>GLUCONATO CALCIO x 250 ML</t>
  </si>
  <si>
    <t>DIARREVET X SOBRE 10 G</t>
  </si>
  <si>
    <t>BRACHIARIA DECUMBENS GERM</t>
  </si>
  <si>
    <t>FORMADOR x GL</t>
  </si>
  <si>
    <t>ALGA 600 KILO</t>
  </si>
  <si>
    <t>GLYPHOGAN 480 SL GFA x GL</t>
  </si>
  <si>
    <t>HENO PANGOLA</t>
  </si>
  <si>
    <t>PACA</t>
  </si>
  <si>
    <t>GLIFOSOL x KL</t>
  </si>
  <si>
    <t>CANASTA+NIDO 32cm</t>
  </si>
  <si>
    <t>HUMUS ALFA X LT</t>
  </si>
  <si>
    <t>GLIFOCAFE X LT</t>
  </si>
  <si>
    <t>CARRETA PLASTICA ANTIPINCHAZO</t>
  </si>
  <si>
    <t>FULMINATOR LITRO</t>
  </si>
  <si>
    <t>F TERNERAS NODRIZA EXTRUIDO X 40KL</t>
  </si>
  <si>
    <t>MACHETE BARRIGON BELLOTA</t>
  </si>
  <si>
    <t>F CERDO ENGORDE FINALIZADOR x 40 KL</t>
  </si>
  <si>
    <t>ALISIN X LITRO</t>
  </si>
  <si>
    <t>SAL SOMEX 6% x 40 KL</t>
  </si>
  <si>
    <t>NITRO CROP x POMA</t>
  </si>
  <si>
    <t>SOLU ACT INICIO x 9.5</t>
  </si>
  <si>
    <t>SOLUACTIVE DESAROLLO x KL</t>
  </si>
  <si>
    <t>CORREA ROYAL</t>
  </si>
  <si>
    <t>PEPINO x 5 GR GERM</t>
  </si>
  <si>
    <t>BOLSA PLASTICA</t>
  </si>
  <si>
    <t>F RODEO PASTILLA X 40KL</t>
  </si>
  <si>
    <t>F CUYES x 20 kl</t>
  </si>
  <si>
    <t>ETHREL SL 48 x 200 Ml</t>
  </si>
  <si>
    <t>OBERON x 200 Ml</t>
  </si>
  <si>
    <t>NUTRISS CARNE x 20 KL</t>
  </si>
  <si>
    <t>POLLOS COLORADOS</t>
  </si>
  <si>
    <t>CALCIO-BORO x KL</t>
  </si>
  <si>
    <t>RC-920EPLX LLAVE ACTIVA</t>
  </si>
  <si>
    <t>PORCIFER B12  x 50 ML</t>
  </si>
  <si>
    <t>Q-IDA CAN x KL</t>
  </si>
  <si>
    <t>15-15-15 YARA</t>
  </si>
  <si>
    <t>F BROILER PIGMENTADO G</t>
  </si>
  <si>
    <t>CILANTRO LONG x 5 GR GERM</t>
  </si>
  <si>
    <t>TOMATE SANTA CLARA  x 5 GR GERM</t>
  </si>
  <si>
    <t>F GEST PAST x 40 KL</t>
  </si>
  <si>
    <t>COMEDERO PLAST 12 KL</t>
  </si>
  <si>
    <t>R PREMIUM x 30 KL</t>
  </si>
  <si>
    <t>YODO HATO BAC x LT</t>
  </si>
  <si>
    <t>NOVABRONCOL x LT</t>
  </si>
  <si>
    <t>RETOÑO x 10 KL</t>
  </si>
  <si>
    <t>METSULFURON X kl</t>
  </si>
  <si>
    <t>SOLLA CONEJOS x 40 KL</t>
  </si>
  <si>
    <t>PEREJIL LISO x 5GR GERMI</t>
  </si>
  <si>
    <t>MODERGAN NF ORAL x LITRO</t>
  </si>
  <si>
    <t>F ENG PARRILLERO x KL</t>
  </si>
  <si>
    <t>CIPERMETRINA UPL LITRO</t>
  </si>
  <si>
    <t>REPOLLO BOLA VERDE x 5 GR GERM</t>
  </si>
  <si>
    <t>CEBOLLA CABEZONA x 5 GR</t>
  </si>
  <si>
    <t>DOG CHOW CACH VERDE x 2 KL</t>
  </si>
  <si>
    <t>CACODIL x 50 ML</t>
  </si>
  <si>
    <t>ROUNDUP ACTIVO x 10 LT</t>
  </si>
  <si>
    <t>EQUIPUR x 20 GR</t>
  </si>
  <si>
    <t>CEBOLLA LARGA  X 1GR GERM</t>
  </si>
  <si>
    <t>ZINTRAC MGB x LT</t>
  </si>
  <si>
    <t>ESTELAR x GL</t>
  </si>
  <si>
    <t>BRIGTH x 60 GR</t>
  </si>
  <si>
    <t>PURGANTOL COJIN x 30 ML</t>
  </si>
  <si>
    <t>VETAPEN x 9'000</t>
  </si>
  <si>
    <t>CARBENDAZIM x GALON</t>
  </si>
  <si>
    <t>FS-401 CONECTOR SIMPLE ESTACIONARIA</t>
  </si>
  <si>
    <t>AGUJA 16'1 INTRAMUSCULAR</t>
  </si>
  <si>
    <t>N-LARGE  x 100 CC</t>
  </si>
  <si>
    <t>ZAKOR AVES x 500 TAB</t>
  </si>
  <si>
    <t>HABICHUELA LAGO AZUL FERCON x LB</t>
  </si>
  <si>
    <t>18-18-18 x KL</t>
  </si>
  <si>
    <t>LAPIZ MARCADOR GANADO</t>
  </si>
  <si>
    <t>F TOROS EXPOSICION x 40 KL</t>
  </si>
  <si>
    <t>DIURON X KILO</t>
  </si>
  <si>
    <t>PANAMICINA LZ X 100ML</t>
  </si>
  <si>
    <t>ENGYSTOL x 50 TBL</t>
  </si>
  <si>
    <t>GLOMAX INY x 10 ML</t>
  </si>
  <si>
    <t>MATARRAZ x 250 ML</t>
  </si>
  <si>
    <t>HOJAS FORTE 500 X GL</t>
  </si>
  <si>
    <t>AGILITY MAMAS  x 8KL</t>
  </si>
  <si>
    <t>YARA RAFOS BT X 50KL</t>
  </si>
  <si>
    <t>GLIFOCAFE x POMA</t>
  </si>
  <si>
    <t>POLLO GRANDE</t>
  </si>
  <si>
    <t>CACODIL B12 X 250+ 100ML</t>
  </si>
  <si>
    <t>F POLLAS INICIACION x 40 KL</t>
  </si>
  <si>
    <t>ATOMIK LITRO</t>
  </si>
  <si>
    <t>CERTUS x 100 GR</t>
  </si>
  <si>
    <t>MIRRINGO ARENA x 10 KL</t>
  </si>
  <si>
    <t>RENOVACION SPECIAL</t>
  </si>
  <si>
    <t>FULMINATOR X 100cc</t>
  </si>
  <si>
    <t>PALA CARBONERA BELLOTA</t>
  </si>
  <si>
    <t>HEMOPAR B 12 INY x 30 ML</t>
  </si>
  <si>
    <t>PARACANISS PUPPY X 5ML</t>
  </si>
  <si>
    <t>FERTIESPECIAL ELEMENTOS MENORES</t>
  </si>
  <si>
    <t>VITAVET x 50 ML</t>
  </si>
  <si>
    <t>SOLU ACT INICION x KL</t>
  </si>
  <si>
    <t>GENZURIL JGA x 30 ML</t>
  </si>
  <si>
    <t>NF-20 x 10 ML (NORFLOXACINA)</t>
  </si>
  <si>
    <t>ALFA 3 SUSP x 30 ML</t>
  </si>
  <si>
    <t>ml</t>
  </si>
  <si>
    <t>AZIMUT 320 SC COEX x 250 CC</t>
  </si>
  <si>
    <t>AZIMUT 320 SC x LT</t>
  </si>
  <si>
    <t>CREDIT x SOBRE</t>
  </si>
  <si>
    <t>LANZA ALUMINIO 1.0 MT</t>
  </si>
  <si>
    <t>LANZA ALUMINIO 1.2 RC</t>
  </si>
  <si>
    <t>RJ-101847EX BOQUILLA 250/150 CC</t>
  </si>
  <si>
    <t>WEEDAR SL X LT</t>
  </si>
  <si>
    <t>WEEDAR SL x GALON</t>
  </si>
  <si>
    <t>FEXTRAN B12 x 50 ML</t>
  </si>
  <si>
    <t>CIPERMETRINA E.C 15% FCO x 1000 ML</t>
  </si>
  <si>
    <t>FERTILIZANTE ORQUIDEAS</t>
  </si>
  <si>
    <t>HABICHUELA L. AZUL x 20 GR GER</t>
  </si>
  <si>
    <t>CEBOLLA LARGA x 5 GR GERM</t>
  </si>
  <si>
    <t>VACUNA VIRATEC 5 PUPPY (QUINTUPLE)</t>
  </si>
  <si>
    <t>CERRERO SL x GL</t>
  </si>
  <si>
    <t>ESTACIONARIA COMPACTA 6.5 BOMBA 30 CERAMIC</t>
  </si>
  <si>
    <t>ESTACIONARIA GASOLINA 7HP BOMBA 30 ACERO</t>
  </si>
  <si>
    <t>ESTACIONARIA GASOLINA 6.5 HP BOMBA 22</t>
  </si>
  <si>
    <t>CERRERO X 20LT</t>
  </si>
  <si>
    <t>BIDON</t>
  </si>
  <si>
    <t>RA-200-20BE RECIPIENTE PLASTICO BLANCO</t>
  </si>
  <si>
    <t>RC-343EX ADAPTADOR LNZA ALUMINIO LLAVE PLASTICA</t>
  </si>
  <si>
    <t>RC-K6NX KIT LLAVE DE PASO</t>
  </si>
  <si>
    <t>CHUNKY GATOS S/C 1.5 KL</t>
  </si>
  <si>
    <t>RC-202DEX TAPA RECPIENTE EMPACADA</t>
  </si>
  <si>
    <t>RC-100X CABEZOTE METALICO FUMIG CLASICA</t>
  </si>
  <si>
    <t>RECIPIENTE 20 LTS RC -200-20E CLASICA</t>
  </si>
  <si>
    <t>SAFERSOIL x LB</t>
  </si>
  <si>
    <t>CURAXIL x LB</t>
  </si>
  <si>
    <t>LOCKED SL x LT</t>
  </si>
  <si>
    <t>MAMITOLINA GEL X 250Gr</t>
  </si>
  <si>
    <t>Gr</t>
  </si>
  <si>
    <t>PAJARINA</t>
  </si>
  <si>
    <t>TRUCHAS INICIO x20kl</t>
  </si>
  <si>
    <t>TRUCHAS DESARROLLO</t>
  </si>
  <si>
    <t>TRUCHAS ENGORDE 43%</t>
  </si>
  <si>
    <t>PLANTULAS DE MORA</t>
  </si>
  <si>
    <t>FOSSCA Bt x 50 ECOLINE</t>
  </si>
  <si>
    <t>NEOCLORDELIN SECADO</t>
  </si>
  <si>
    <t>HISTOVACUNA PAPILOMA BOVINA x 20 ML</t>
  </si>
  <si>
    <t>SAFERMIX x LB</t>
  </si>
  <si>
    <t>MICORRIZA x 10 KL</t>
  </si>
  <si>
    <t>PLANTULAS DE AGUACATE</t>
  </si>
  <si>
    <t>ARO GUADAÑA</t>
  </si>
  <si>
    <t>MICORRIZA x 50 KL</t>
  </si>
  <si>
    <t>FLUYEX x LT</t>
  </si>
  <si>
    <t>CHUNKY CACH x LB</t>
  </si>
  <si>
    <t>CHUNKY ADT x LB</t>
  </si>
  <si>
    <t>NITRONS CAB x 25 KL</t>
  </si>
  <si>
    <t>RAFAGA x 250 CC</t>
  </si>
  <si>
    <t>SOLU ACT 18-18-18</t>
  </si>
  <si>
    <t>CAMARA PRESION MITTO</t>
  </si>
  <si>
    <t>CACODIL B-15 x 50 ML</t>
  </si>
  <si>
    <t>CACODIL B15 x 100 ML</t>
  </si>
  <si>
    <t>CEBADOR x 100 ML</t>
  </si>
  <si>
    <t>CEBADOR x 500 ML</t>
  </si>
  <si>
    <t>EQUANTEL JER x 6.42 GR</t>
  </si>
  <si>
    <t>CILANTRO PATIMORADO x  400 GR</t>
  </si>
  <si>
    <t>CILANTRO X 100 GR</t>
  </si>
  <si>
    <t>CILANTRO PATIMORADO x 5 GR SGA</t>
  </si>
  <si>
    <t>CILANTRO PATIMORADO x 20 GR</t>
  </si>
  <si>
    <t>PEPINO POINSET x 5GR</t>
  </si>
  <si>
    <t>DESCALLADOR DOBLE FILO</t>
  </si>
  <si>
    <t>MATARRAZ FCO 30 ML</t>
  </si>
  <si>
    <t>GALIGAN 240EC x LT</t>
  </si>
  <si>
    <t>ZIRAM X 750gr</t>
  </si>
  <si>
    <t>LLAVE TRIUNFO PLAST</t>
  </si>
  <si>
    <t>LANZA TRIUNFO ACERO</t>
  </si>
  <si>
    <t>FLUYEX GALON</t>
  </si>
  <si>
    <t>MALLA CUADRADA x ROLLO 1.50 MTS</t>
  </si>
  <si>
    <t>F CAMPO CERDOS x BTO</t>
  </si>
  <si>
    <t>F SAL 6 CON SE x 40 KL</t>
  </si>
  <si>
    <t>PRAMECTINA AVES UND</t>
  </si>
  <si>
    <t>VECICLOX FRS X200ML SPRAY</t>
  </si>
  <si>
    <t>YARA NITRABOR X KL</t>
  </si>
  <si>
    <t>CHUNKY GATOS x 18 KL</t>
  </si>
  <si>
    <t>FRIJOL CALIMA SGA x KL</t>
  </si>
  <si>
    <t>ALGAE X GALON</t>
  </si>
  <si>
    <t>DRASTIKO X100 GR</t>
  </si>
  <si>
    <t>RAFAGA 4EC XLITRO</t>
  </si>
  <si>
    <t>ATOMIK 325 SC X 250 CC</t>
  </si>
  <si>
    <t>MAIZ ENTERO x 40 KL</t>
  </si>
  <si>
    <t>VACUNA RESPISURE (MYCOPLASMA)</t>
  </si>
  <si>
    <t>FOSFATO MONOAMONIACO x 25 KL</t>
  </si>
  <si>
    <t>BTO 25</t>
  </si>
  <si>
    <t>ROOT FEED x KL</t>
  </si>
  <si>
    <t>NUCHEROL x KL</t>
  </si>
  <si>
    <t>UND VENDIDAS</t>
  </si>
  <si>
    <t>DATOS DE PRODUCTOS DEL 1 DE JULIO A  31 DE DICIEMBRE DEL 2022</t>
  </si>
  <si>
    <t>TOTAL (EXCEPTO CEA06 40)</t>
  </si>
  <si>
    <t>DISEÑO DE SISTEMA DE COSTOS PARA LA EMPRESA CENTRO AGRO FERRETERO DEL CAUCA SAS ZOMAC</t>
  </si>
  <si>
    <t>CORPORACION UNIVERSITARIA COMFACAUCA</t>
  </si>
  <si>
    <t>ACTIVIDADES</t>
  </si>
  <si>
    <t>VALOR MO HORA</t>
  </si>
  <si>
    <t>=</t>
  </si>
  <si>
    <t>x</t>
  </si>
  <si>
    <t>% asignacion porcentual</t>
  </si>
  <si>
    <t>M2 POR CENTRO DE COSTO</t>
  </si>
  <si>
    <t>M2 POR ACTIVIDAD</t>
  </si>
  <si>
    <t>valor servicio temporal</t>
  </si>
  <si>
    <t>N° de servicio por actividad</t>
  </si>
  <si>
    <t>Costo Servicio temporal por actividad</t>
  </si>
  <si>
    <t>DISTRIBUCION RECURSOS</t>
  </si>
  <si>
    <t>}</t>
  </si>
  <si>
    <t>COSTO UNITARIO FINAL</t>
  </si>
  <si>
    <t>TOTAL COSTO PRODUCTOS VENDIDOS</t>
  </si>
  <si>
    <t>DIRECCIONAMIENTO DE RECURSOS ( VALORES)</t>
  </si>
  <si>
    <t>COSTO TOTAL POR MACRO ACTIVIDAD</t>
  </si>
  <si>
    <t>COSTO TOTAL POR MACRO</t>
  </si>
  <si>
    <t>Total general</t>
  </si>
  <si>
    <t xml:space="preserve">VALOR TOTAL PRODUCTOS VENDIDOS </t>
  </si>
  <si>
    <t>UTILIDAD ANTES DE ASIGNAICON DE COSTOS</t>
  </si>
  <si>
    <t>ASIGNACION COSTO ACTIVIDADES</t>
  </si>
  <si>
    <t>COSTO REAL DEL PRODUCTO VENDIDOS</t>
  </si>
  <si>
    <t>UTILIDAD DESPUES DE ASIGNACION DE COSTOS</t>
  </si>
  <si>
    <t>UNIDADES VENDIDAS POR GRUPO</t>
  </si>
  <si>
    <t>UNIDADES</t>
  </si>
  <si>
    <t>PRODUCTOS CON MEJOR UTILIDAD</t>
  </si>
  <si>
    <t>ACTIVIDADES MAS COSTOSAS</t>
  </si>
  <si>
    <t>Abonos</t>
  </si>
  <si>
    <t>Concentrados</t>
  </si>
  <si>
    <t>Fungicidas</t>
  </si>
  <si>
    <t xml:space="preserve">Fertilizantes </t>
  </si>
  <si>
    <t xml:space="preserve">Insecticidas </t>
  </si>
  <si>
    <t xml:space="preserve">Semillas </t>
  </si>
  <si>
    <t xml:space="preserve">Herbicidas </t>
  </si>
  <si>
    <t xml:space="preserve">Ferretería agrícola </t>
  </si>
  <si>
    <t>Ferretería pecuaria</t>
  </si>
  <si>
    <t>Royal cóndor</t>
  </si>
  <si>
    <t>Impulsores y equipos cercas eléctricas</t>
  </si>
  <si>
    <t xml:space="preserve">Medicamentos </t>
  </si>
  <si>
    <t xml:space="preserve">Instrumental </t>
  </si>
  <si>
    <t xml:space="preserve">Pollos </t>
  </si>
  <si>
    <t>PORDUCTO</t>
  </si>
  <si>
    <t>CODIGO</t>
  </si>
  <si>
    <t>GRUPO</t>
  </si>
  <si>
    <t>NOMBRE PRODUCTO</t>
  </si>
  <si>
    <t>NOMBRE GRUPO PRODUCTO</t>
  </si>
  <si>
    <t>UTILIDAD POR GRUPO DE PRODUCTO</t>
  </si>
  <si>
    <t>NOMBRE GRUPOS</t>
  </si>
  <si>
    <t>NOMBRE GRUPO</t>
  </si>
  <si>
    <t>TEMPORAL POR ACTIVIDAD</t>
  </si>
  <si>
    <t>CODIGO  ACTIVIDADES</t>
  </si>
  <si>
    <t>VALOR SERVICIOS TEMPORALES</t>
  </si>
  <si>
    <t>BUSCADOR</t>
  </si>
  <si>
    <t>CARLOS JULIAN SANCHEZ                                                                                                                                                                     DIANA CAROLINA MENDEZ</t>
  </si>
  <si>
    <t>TOTAL 40</t>
  </si>
  <si>
    <t>AREA M2</t>
  </si>
  <si>
    <t>VARIACION COSTO UNITARIO EN VALOR</t>
  </si>
  <si>
    <t>VARIACION PORCENTAUL CONSTO UNITARIO</t>
  </si>
  <si>
    <t>COSTO UNITARIO INICIAL</t>
  </si>
  <si>
    <t>COSTO UNITARIO DESPUES DE ASIGNACION DE COSTOS ABC</t>
  </si>
  <si>
    <t>VARIACION EN VALOR</t>
  </si>
  <si>
    <t>VARIACION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</si>
</sst>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_-* #,##0.00_-;\-* #,##0.00_-;_-* &quot;-&quot;??_-;_-@"/>
    <numFmt numFmtId="166" formatCode="&quot;$&quot;#,##0;[Red]\-&quot;$&quot;#,##0"/>
    <numFmt numFmtId="167" formatCode="[$ $]#,##0"/>
    <numFmt numFmtId="168" formatCode="&quot;$&quot;\ #,##0.00"/>
    <numFmt numFmtId="169" formatCode="0.00000"/>
    <numFmt numFmtId="170" formatCode="0.0000000000"/>
    <numFmt numFmtId="171" formatCode="_(* #,##0.00_);_(* \(#,##0.00\);_(* &quot;-&quot;??_);_(@_)"/>
    <numFmt numFmtId="172" formatCode="0.0%"/>
    <numFmt numFmtId="173" formatCode="_-&quot;$&quot;* #,##0_-;\-&quot;$&quot;* #,##0_-;_-&quot;$&quot;* &quot;-&quot;??_-;_-@_-"/>
    <numFmt numFmtId="174" formatCode="0.000000"/>
    <numFmt numFmtId="175" formatCode="[$$-240A]\ #,##0"/>
    <numFmt numFmtId="176" formatCode="0.0"/>
    <numFmt numFmtId="177" formatCode="0.000"/>
    <numFmt numFmtId="178" formatCode="&quot;$&quot;\ 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u/>
      <sz val="11"/>
      <color theme="10"/>
      <name val="Arial Narrow"/>
      <family val="2"/>
    </font>
    <font>
      <b/>
      <sz val="1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B4C6E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4C6E7"/>
      </patternFill>
    </fill>
    <fill>
      <patternFill patternType="solid">
        <fgColor theme="0" tint="-0.34998626667073579"/>
        <bgColor rgb="FFB4C6E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rgb="FFB4C6E7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D9E2F3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8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5" fillId="0" borderId="0" xfId="2"/>
    <xf numFmtId="165" fontId="6" fillId="0" borderId="0" xfId="2" applyNumberFormat="1" applyFont="1"/>
    <xf numFmtId="165" fontId="5" fillId="0" borderId="0" xfId="2" applyNumberFormat="1"/>
    <xf numFmtId="0" fontId="6" fillId="0" borderId="1" xfId="2" applyFont="1" applyBorder="1"/>
    <xf numFmtId="0" fontId="9" fillId="0" borderId="5" xfId="2" applyFont="1" applyBorder="1"/>
    <xf numFmtId="0" fontId="5" fillId="0" borderId="0" xfId="2" applyAlignment="1">
      <alignment horizontal="center" vertical="center"/>
    </xf>
    <xf numFmtId="168" fontId="6" fillId="0" borderId="5" xfId="2" applyNumberFormat="1" applyFont="1" applyBorder="1" applyAlignment="1">
      <alignment horizontal="center" vertical="center"/>
    </xf>
    <xf numFmtId="164" fontId="5" fillId="0" borderId="0" xfId="2" applyNumberFormat="1" applyAlignment="1">
      <alignment horizontal="center" vertical="center"/>
    </xf>
    <xf numFmtId="164" fontId="5" fillId="0" borderId="5" xfId="2" applyNumberFormat="1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166" fontId="7" fillId="0" borderId="1" xfId="2" applyNumberFormat="1" applyFont="1" applyBorder="1" applyAlignment="1">
      <alignment horizontal="center" vertical="center"/>
    </xf>
    <xf numFmtId="9" fontId="6" fillId="0" borderId="5" xfId="2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5" fillId="0" borderId="5" xfId="2" applyFont="1" applyBorder="1"/>
    <xf numFmtId="0" fontId="15" fillId="0" borderId="5" xfId="2" applyFont="1" applyBorder="1" applyAlignment="1">
      <alignment horizontal="center" vertical="center"/>
    </xf>
    <xf numFmtId="9" fontId="14" fillId="0" borderId="5" xfId="2" applyNumberFormat="1" applyFont="1" applyBorder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5" fontId="5" fillId="0" borderId="0" xfId="2" applyNumberFormat="1" applyAlignment="1">
      <alignment horizontal="center" vertical="center"/>
    </xf>
    <xf numFmtId="167" fontId="6" fillId="0" borderId="5" xfId="2" applyNumberFormat="1" applyFont="1" applyBorder="1" applyAlignment="1">
      <alignment horizontal="center" vertical="center"/>
    </xf>
    <xf numFmtId="167" fontId="14" fillId="0" borderId="5" xfId="2" applyNumberFormat="1" applyFont="1" applyBorder="1" applyAlignment="1">
      <alignment horizontal="center" vertical="center"/>
    </xf>
    <xf numFmtId="0" fontId="0" fillId="8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2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/>
    </xf>
    <xf numFmtId="164" fontId="2" fillId="1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1" xfId="2" applyBorder="1" applyAlignment="1">
      <alignment horizontal="center"/>
    </xf>
    <xf numFmtId="0" fontId="8" fillId="18" borderId="12" xfId="2" applyFont="1" applyFill="1" applyBorder="1" applyAlignment="1">
      <alignment horizontal="center" vertical="center"/>
    </xf>
    <xf numFmtId="164" fontId="8" fillId="18" borderId="7" xfId="2" applyNumberFormat="1" applyFont="1" applyFill="1" applyBorder="1" applyAlignment="1">
      <alignment horizontal="center" vertical="center"/>
    </xf>
    <xf numFmtId="165" fontId="8" fillId="18" borderId="7" xfId="2" applyNumberFormat="1" applyFont="1" applyFill="1" applyBorder="1" applyAlignment="1">
      <alignment horizontal="center" vertical="center"/>
    </xf>
    <xf numFmtId="168" fontId="6" fillId="0" borderId="6" xfId="2" applyNumberFormat="1" applyFont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4" fillId="5" borderId="1" xfId="13" applyFont="1" applyFill="1" applyBorder="1" applyAlignment="1">
      <alignment horizontal="center" vertical="center"/>
    </xf>
    <xf numFmtId="0" fontId="8" fillId="0" borderId="1" xfId="2" applyFont="1" applyBorder="1"/>
    <xf numFmtId="164" fontId="8" fillId="0" borderId="1" xfId="2" applyNumberFormat="1" applyFont="1" applyBorder="1" applyAlignment="1">
      <alignment horizontal="center" vertical="center"/>
    </xf>
    <xf numFmtId="165" fontId="14" fillId="0" borderId="1" xfId="2" applyNumberFormat="1" applyFont="1" applyBorder="1"/>
    <xf numFmtId="0" fontId="8" fillId="0" borderId="0" xfId="2" applyFont="1"/>
    <xf numFmtId="0" fontId="19" fillId="4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4" fillId="5" borderId="18" xfId="0" applyFon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/>
    </xf>
    <xf numFmtId="0" fontId="4" fillId="0" borderId="19" xfId="0" applyFont="1" applyBorder="1" applyAlignment="1">
      <alignment horizontal="left"/>
    </xf>
    <xf numFmtId="164" fontId="0" fillId="0" borderId="0" xfId="0" applyNumberFormat="1" applyAlignment="1">
      <alignment horizontal="center" vertical="center"/>
    </xf>
    <xf numFmtId="164" fontId="4" fillId="5" borderId="18" xfId="0" applyNumberFormat="1" applyFont="1" applyFill="1" applyBorder="1" applyAlignment="1">
      <alignment horizontal="center" vertical="center"/>
    </xf>
    <xf numFmtId="1" fontId="4" fillId="5" borderId="18" xfId="0" applyNumberFormat="1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19" xfId="0" applyBorder="1"/>
    <xf numFmtId="0" fontId="19" fillId="4" borderId="18" xfId="0" applyFont="1" applyFill="1" applyBorder="1" applyAlignment="1">
      <alignment horizontal="center" vertical="center"/>
    </xf>
    <xf numFmtId="0" fontId="4" fillId="4" borderId="17" xfId="0" applyFont="1" applyFill="1" applyBorder="1"/>
    <xf numFmtId="0" fontId="4" fillId="4" borderId="18" xfId="0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8" fillId="18" borderId="1" xfId="2" applyFont="1" applyFill="1" applyBorder="1" applyAlignment="1">
      <alignment horizontal="center" vertical="center"/>
    </xf>
    <xf numFmtId="165" fontId="8" fillId="18" borderId="1" xfId="2" applyNumberFormat="1" applyFont="1" applyFill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9" fillId="4" borderId="9" xfId="0" applyFont="1" applyFill="1" applyBorder="1" applyAlignment="1">
      <alignment horizontal="center" vertical="center"/>
    </xf>
    <xf numFmtId="165" fontId="14" fillId="4" borderId="1" xfId="2" applyNumberFormat="1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left"/>
    </xf>
    <xf numFmtId="168" fontId="6" fillId="0" borderId="1" xfId="2" applyNumberFormat="1" applyFont="1" applyBorder="1" applyAlignment="1">
      <alignment horizontal="left" vertical="center"/>
    </xf>
    <xf numFmtId="0" fontId="8" fillId="15" borderId="1" xfId="2" applyFont="1" applyFill="1" applyBorder="1"/>
    <xf numFmtId="165" fontId="6" fillId="0" borderId="0" xfId="2" applyNumberFormat="1" applyFont="1" applyAlignment="1">
      <alignment horizontal="center"/>
    </xf>
    <xf numFmtId="165" fontId="13" fillId="15" borderId="1" xfId="2" applyNumberFormat="1" applyFont="1" applyFill="1" applyBorder="1" applyAlignment="1">
      <alignment horizontal="center" vertical="center"/>
    </xf>
    <xf numFmtId="165" fontId="13" fillId="15" borderId="1" xfId="2" applyNumberFormat="1" applyFont="1" applyFill="1" applyBorder="1" applyAlignment="1">
      <alignment horizontal="left" vertical="center"/>
    </xf>
    <xf numFmtId="165" fontId="6" fillId="0" borderId="1" xfId="2" applyNumberFormat="1" applyFont="1" applyBorder="1" applyAlignment="1">
      <alignment horizontal="left" vertical="center"/>
    </xf>
    <xf numFmtId="165" fontId="6" fillId="0" borderId="0" xfId="2" applyNumberFormat="1" applyFont="1" applyAlignment="1">
      <alignment horizontal="left" vertical="center"/>
    </xf>
    <xf numFmtId="165" fontId="14" fillId="0" borderId="1" xfId="2" applyNumberFormat="1" applyFont="1" applyBorder="1" applyAlignment="1">
      <alignment horizontal="center"/>
    </xf>
    <xf numFmtId="165" fontId="6" fillId="0" borderId="27" xfId="2" applyNumberFormat="1" applyFont="1" applyBorder="1" applyAlignment="1">
      <alignment horizontal="center"/>
    </xf>
    <xf numFmtId="0" fontId="5" fillId="0" borderId="0" xfId="2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13" fillId="15" borderId="1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15" borderId="4" xfId="2" applyFont="1" applyFill="1" applyBorder="1" applyAlignment="1">
      <alignment horizontal="center" vertical="center"/>
    </xf>
    <xf numFmtId="165" fontId="6" fillId="0" borderId="8" xfId="2" applyNumberFormat="1" applyFont="1" applyBorder="1" applyAlignment="1">
      <alignment horizontal="left" vertical="center"/>
    </xf>
    <xf numFmtId="164" fontId="5" fillId="0" borderId="30" xfId="2" applyNumberFormat="1" applyBorder="1" applyAlignment="1">
      <alignment horizontal="center" vertical="center"/>
    </xf>
    <xf numFmtId="165" fontId="6" fillId="0" borderId="30" xfId="2" applyNumberFormat="1" applyFont="1" applyBorder="1" applyAlignment="1">
      <alignment horizontal="left" vertical="center"/>
    </xf>
    <xf numFmtId="165" fontId="6" fillId="0" borderId="30" xfId="2" applyNumberFormat="1" applyFont="1" applyBorder="1" applyAlignment="1">
      <alignment horizontal="center" vertical="center"/>
    </xf>
    <xf numFmtId="165" fontId="6" fillId="0" borderId="31" xfId="2" applyNumberFormat="1" applyFont="1" applyBorder="1" applyAlignment="1">
      <alignment horizontal="left" vertical="center"/>
    </xf>
    <xf numFmtId="0" fontId="6" fillId="0" borderId="0" xfId="2" applyFont="1"/>
    <xf numFmtId="0" fontId="10" fillId="0" borderId="11" xfId="2" applyFont="1" applyBorder="1"/>
    <xf numFmtId="0" fontId="11" fillId="0" borderId="11" xfId="2" applyFont="1" applyBorder="1"/>
    <xf numFmtId="0" fontId="11" fillId="0" borderId="13" xfId="2" applyFont="1" applyBorder="1"/>
    <xf numFmtId="0" fontId="10" fillId="0" borderId="1" xfId="2" applyFont="1" applyBorder="1"/>
    <xf numFmtId="0" fontId="11" fillId="0" borderId="1" xfId="2" applyFont="1" applyBorder="1"/>
    <xf numFmtId="0" fontId="8" fillId="18" borderId="7" xfId="2" applyFont="1" applyFill="1" applyBorder="1"/>
    <xf numFmtId="0" fontId="8" fillId="18" borderId="1" xfId="2" applyFont="1" applyFill="1" applyBorder="1"/>
    <xf numFmtId="164" fontId="19" fillId="4" borderId="9" xfId="0" applyNumberFormat="1" applyFont="1" applyFill="1" applyBorder="1"/>
    <xf numFmtId="164" fontId="0" fillId="0" borderId="1" xfId="0" applyNumberFormat="1" applyBorder="1" applyAlignment="1">
      <alignment horizontal="center"/>
    </xf>
    <xf numFmtId="0" fontId="8" fillId="15" borderId="1" xfId="2" applyFont="1" applyFill="1" applyBorder="1" applyAlignment="1">
      <alignment horizontal="center"/>
    </xf>
    <xf numFmtId="0" fontId="5" fillId="0" borderId="8" xfId="2" applyBorder="1" applyAlignment="1">
      <alignment horizontal="center"/>
    </xf>
    <xf numFmtId="0" fontId="5" fillId="0" borderId="30" xfId="2" applyBorder="1" applyAlignment="1">
      <alignment horizontal="center"/>
    </xf>
    <xf numFmtId="164" fontId="6" fillId="0" borderId="1" xfId="2" applyNumberFormat="1" applyFont="1" applyBorder="1" applyAlignment="1">
      <alignment horizontal="center" vertical="center"/>
    </xf>
    <xf numFmtId="164" fontId="5" fillId="0" borderId="0" xfId="2" applyNumberFormat="1"/>
    <xf numFmtId="164" fontId="15" fillId="5" borderId="1" xfId="2" applyNumberFormat="1" applyFont="1" applyFill="1" applyBorder="1" applyAlignment="1">
      <alignment horizontal="center"/>
    </xf>
    <xf numFmtId="164" fontId="13" fillId="5" borderId="1" xfId="2" applyNumberFormat="1" applyFont="1" applyFill="1" applyBorder="1" applyAlignment="1">
      <alignment horizontal="center" vertical="center"/>
    </xf>
    <xf numFmtId="168" fontId="5" fillId="0" borderId="0" xfId="2" applyNumberFormat="1" applyAlignment="1">
      <alignment horizontal="center" vertical="center"/>
    </xf>
    <xf numFmtId="170" fontId="5" fillId="0" borderId="0" xfId="2" applyNumberFormat="1" applyAlignment="1">
      <alignment horizontal="center" vertical="center"/>
    </xf>
    <xf numFmtId="0" fontId="8" fillId="15" borderId="5" xfId="2" applyFont="1" applyFill="1" applyBorder="1" applyAlignment="1">
      <alignment horizontal="center"/>
    </xf>
    <xf numFmtId="0" fontId="8" fillId="15" borderId="5" xfId="2" applyFont="1" applyFill="1" applyBorder="1" applyAlignment="1">
      <alignment horizontal="center" vertical="center"/>
    </xf>
    <xf numFmtId="165" fontId="8" fillId="15" borderId="5" xfId="2" applyNumberFormat="1" applyFont="1" applyFill="1" applyBorder="1" applyAlignment="1">
      <alignment horizontal="center"/>
    </xf>
    <xf numFmtId="169" fontId="7" fillId="0" borderId="11" xfId="2" applyNumberFormat="1" applyFont="1" applyBorder="1" applyAlignment="1">
      <alignment horizontal="center" vertical="center"/>
    </xf>
    <xf numFmtId="0" fontId="7" fillId="0" borderId="32" xfId="2" applyFont="1" applyBorder="1" applyAlignment="1">
      <alignment horizontal="left" vertical="center"/>
    </xf>
    <xf numFmtId="0" fontId="5" fillId="0" borderId="5" xfId="2" applyBorder="1" applyAlignment="1">
      <alignment horizontal="left" vertical="center"/>
    </xf>
    <xf numFmtId="2" fontId="5" fillId="0" borderId="5" xfId="2" applyNumberFormat="1" applyBorder="1" applyAlignment="1">
      <alignment horizontal="center" vertical="center"/>
    </xf>
    <xf numFmtId="0" fontId="5" fillId="0" borderId="7" xfId="2" applyBorder="1" applyAlignment="1">
      <alignment horizontal="left" vertical="center"/>
    </xf>
    <xf numFmtId="2" fontId="5" fillId="0" borderId="7" xfId="2" applyNumberFormat="1" applyBorder="1" applyAlignment="1">
      <alignment horizontal="center" vertical="center"/>
    </xf>
    <xf numFmtId="2" fontId="5" fillId="0" borderId="41" xfId="2" applyNumberFormat="1" applyBorder="1" applyAlignment="1">
      <alignment horizontal="center" vertical="center"/>
    </xf>
    <xf numFmtId="164" fontId="5" fillId="0" borderId="42" xfId="2" applyNumberFormat="1" applyBorder="1" applyAlignment="1">
      <alignment horizontal="center"/>
    </xf>
    <xf numFmtId="164" fontId="5" fillId="0" borderId="43" xfId="2" applyNumberFormat="1" applyBorder="1" applyAlignment="1">
      <alignment horizontal="center"/>
    </xf>
    <xf numFmtId="0" fontId="5" fillId="0" borderId="47" xfId="2" applyBorder="1" applyAlignment="1">
      <alignment horizontal="left" vertical="center"/>
    </xf>
    <xf numFmtId="2" fontId="5" fillId="0" borderId="47" xfId="2" applyNumberFormat="1" applyBorder="1" applyAlignment="1">
      <alignment horizontal="center" vertical="center"/>
    </xf>
    <xf numFmtId="164" fontId="5" fillId="0" borderId="48" xfId="2" applyNumberFormat="1" applyBorder="1" applyAlignment="1">
      <alignment horizontal="center"/>
    </xf>
    <xf numFmtId="164" fontId="6" fillId="0" borderId="42" xfId="2" applyNumberFormat="1" applyFont="1" applyBorder="1" applyAlignment="1">
      <alignment horizontal="center" vertical="center"/>
    </xf>
    <xf numFmtId="164" fontId="6" fillId="0" borderId="43" xfId="2" applyNumberFormat="1" applyFont="1" applyBorder="1" applyAlignment="1">
      <alignment horizontal="center" vertical="center"/>
    </xf>
    <xf numFmtId="165" fontId="5" fillId="0" borderId="33" xfId="2" applyNumberFormat="1" applyBorder="1" applyAlignment="1">
      <alignment horizontal="center" vertical="center"/>
    </xf>
    <xf numFmtId="0" fontId="8" fillId="15" borderId="51" xfId="2" applyFont="1" applyFill="1" applyBorder="1" applyAlignment="1">
      <alignment horizontal="center" vertical="center"/>
    </xf>
    <xf numFmtId="0" fontId="8" fillId="15" borderId="40" xfId="2" applyFont="1" applyFill="1" applyBorder="1" applyAlignment="1">
      <alignment horizontal="center" vertical="center"/>
    </xf>
    <xf numFmtId="0" fontId="8" fillId="15" borderId="40" xfId="2" applyFont="1" applyFill="1" applyBorder="1" applyAlignment="1">
      <alignment horizontal="center" vertical="center" wrapText="1"/>
    </xf>
    <xf numFmtId="165" fontId="8" fillId="15" borderId="40" xfId="2" applyNumberFormat="1" applyFont="1" applyFill="1" applyBorder="1" applyAlignment="1">
      <alignment horizontal="center" vertical="center" wrapText="1"/>
    </xf>
    <xf numFmtId="165" fontId="8" fillId="15" borderId="40" xfId="2" applyNumberFormat="1" applyFont="1" applyFill="1" applyBorder="1" applyAlignment="1">
      <alignment horizontal="center" vertical="center"/>
    </xf>
    <xf numFmtId="164" fontId="8" fillId="15" borderId="52" xfId="2" applyNumberFormat="1" applyFont="1" applyFill="1" applyBorder="1" applyAlignment="1">
      <alignment horizontal="center" vertical="center" wrapText="1"/>
    </xf>
    <xf numFmtId="164" fontId="5" fillId="0" borderId="54" xfId="2" applyNumberFormat="1" applyBorder="1" applyAlignment="1">
      <alignment horizontal="center" vertical="center"/>
    </xf>
    <xf numFmtId="164" fontId="8" fillId="16" borderId="57" xfId="2" applyNumberFormat="1" applyFont="1" applyFill="1" applyBorder="1" applyAlignment="1">
      <alignment horizontal="center"/>
    </xf>
    <xf numFmtId="3" fontId="22" fillId="0" borderId="1" xfId="0" applyNumberFormat="1" applyFont="1" applyBorder="1" applyAlignment="1">
      <alignment horizontal="center" vertical="center" wrapText="1"/>
    </xf>
    <xf numFmtId="172" fontId="22" fillId="0" borderId="1" xfId="13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0" fontId="22" fillId="0" borderId="1" xfId="13" applyNumberFormat="1" applyFont="1" applyFill="1" applyBorder="1" applyAlignment="1">
      <alignment horizontal="center" vertical="center" wrapText="1"/>
    </xf>
    <xf numFmtId="43" fontId="5" fillId="0" borderId="0" xfId="2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13" applyFont="1" applyFill="1" applyBorder="1" applyAlignment="1">
      <alignment horizontal="center"/>
    </xf>
    <xf numFmtId="0" fontId="8" fillId="20" borderId="1" xfId="2" applyFont="1" applyFill="1" applyBorder="1" applyAlignment="1">
      <alignment horizontal="center" vertical="center"/>
    </xf>
    <xf numFmtId="9" fontId="5" fillId="0" borderId="1" xfId="13" applyFont="1" applyBorder="1" applyAlignment="1">
      <alignment horizontal="center" vertical="center"/>
    </xf>
    <xf numFmtId="9" fontId="15" fillId="5" borderId="1" xfId="13" applyFont="1" applyFill="1" applyBorder="1" applyAlignment="1">
      <alignment horizontal="center"/>
    </xf>
    <xf numFmtId="0" fontId="22" fillId="20" borderId="1" xfId="0" applyFont="1" applyFill="1" applyBorder="1" applyAlignment="1">
      <alignment horizontal="center" vertical="center" wrapText="1"/>
    </xf>
    <xf numFmtId="9" fontId="22" fillId="20" borderId="1" xfId="13" applyFont="1" applyFill="1" applyBorder="1" applyAlignment="1">
      <alignment horizontal="center" vertical="center"/>
    </xf>
    <xf numFmtId="164" fontId="22" fillId="0" borderId="1" xfId="17" applyNumberFormat="1" applyFont="1" applyBorder="1" applyAlignment="1">
      <alignment horizontal="center" vertical="center" wrapText="1"/>
    </xf>
    <xf numFmtId="164" fontId="22" fillId="0" borderId="1" xfId="1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8" borderId="0" xfId="0" applyFont="1" applyFill="1" applyAlignment="1">
      <alignment vertical="center"/>
    </xf>
    <xf numFmtId="164" fontId="22" fillId="20" borderId="1" xfId="0" applyNumberFormat="1" applyFont="1" applyFill="1" applyBorder="1" applyAlignment="1">
      <alignment horizontal="center" vertical="center"/>
    </xf>
    <xf numFmtId="0" fontId="5" fillId="0" borderId="39" xfId="2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172" fontId="22" fillId="0" borderId="9" xfId="13" applyNumberFormat="1" applyFont="1" applyBorder="1" applyAlignment="1">
      <alignment horizontal="center" vertical="center" wrapText="1"/>
    </xf>
    <xf numFmtId="10" fontId="22" fillId="0" borderId="9" xfId="13" applyNumberFormat="1" applyFont="1" applyFill="1" applyBorder="1" applyAlignment="1">
      <alignment horizontal="center" vertical="center" wrapText="1"/>
    </xf>
    <xf numFmtId="3" fontId="22" fillId="20" borderId="1" xfId="0" applyNumberFormat="1" applyFont="1" applyFill="1" applyBorder="1" applyAlignment="1">
      <alignment horizontal="center" vertical="center"/>
    </xf>
    <xf numFmtId="168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8" fontId="22" fillId="0" borderId="1" xfId="13" applyNumberFormat="1" applyFont="1" applyBorder="1" applyAlignment="1">
      <alignment horizontal="center" vertical="center" wrapText="1"/>
    </xf>
    <xf numFmtId="168" fontId="22" fillId="0" borderId="1" xfId="13" applyNumberFormat="1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5" fillId="0" borderId="39" xfId="2" applyBorder="1" applyAlignment="1">
      <alignment horizontal="left" vertical="center"/>
    </xf>
    <xf numFmtId="0" fontId="5" fillId="0" borderId="32" xfId="2" applyBorder="1" applyAlignment="1">
      <alignment horizontal="left" vertical="center"/>
    </xf>
    <xf numFmtId="0" fontId="5" fillId="0" borderId="1" xfId="2" applyBorder="1" applyAlignment="1">
      <alignment horizontal="left" vertical="center"/>
    </xf>
    <xf numFmtId="0" fontId="7" fillId="0" borderId="12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169" fontId="7" fillId="0" borderId="38" xfId="2" applyNumberFormat="1" applyFont="1" applyBorder="1" applyAlignment="1">
      <alignment horizontal="center" vertical="center"/>
    </xf>
    <xf numFmtId="0" fontId="7" fillId="0" borderId="40" xfId="2" applyFont="1" applyBorder="1" applyAlignment="1">
      <alignment horizontal="left" vertical="center"/>
    </xf>
    <xf numFmtId="0" fontId="7" fillId="0" borderId="61" xfId="2" applyFont="1" applyBorder="1" applyAlignment="1">
      <alignment horizontal="left" vertical="center"/>
    </xf>
    <xf numFmtId="169" fontId="7" fillId="0" borderId="39" xfId="2" applyNumberFormat="1" applyFont="1" applyBorder="1" applyAlignment="1">
      <alignment horizontal="center" vertical="center"/>
    </xf>
    <xf numFmtId="169" fontId="7" fillId="0" borderId="32" xfId="2" applyNumberFormat="1" applyFont="1" applyBorder="1" applyAlignment="1">
      <alignment horizontal="center" vertical="center"/>
    </xf>
    <xf numFmtId="169" fontId="7" fillId="0" borderId="1" xfId="2" applyNumberFormat="1" applyFont="1" applyBorder="1" applyAlignment="1">
      <alignment horizontal="center" vertical="center"/>
    </xf>
    <xf numFmtId="164" fontId="5" fillId="0" borderId="52" xfId="2" applyNumberFormat="1" applyBorder="1" applyAlignment="1">
      <alignment horizontal="center"/>
    </xf>
    <xf numFmtId="164" fontId="5" fillId="0" borderId="1" xfId="2" applyNumberFormat="1" applyBorder="1" applyAlignment="1">
      <alignment horizontal="center"/>
    </xf>
    <xf numFmtId="164" fontId="5" fillId="0" borderId="62" xfId="2" applyNumberForma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 wrapText="1"/>
    </xf>
    <xf numFmtId="9" fontId="22" fillId="0" borderId="1" xfId="13" applyFont="1" applyBorder="1" applyAlignment="1">
      <alignment horizontal="center" vertical="center" wrapText="1"/>
    </xf>
    <xf numFmtId="164" fontId="6" fillId="0" borderId="52" xfId="2" applyNumberFormat="1" applyFont="1" applyBorder="1" applyAlignment="1">
      <alignment horizontal="center" vertical="center"/>
    </xf>
    <xf numFmtId="164" fontId="6" fillId="0" borderId="54" xfId="2" applyNumberFormat="1" applyFont="1" applyBorder="1" applyAlignment="1">
      <alignment horizontal="center" vertical="center"/>
    </xf>
    <xf numFmtId="164" fontId="6" fillId="0" borderId="18" xfId="2" applyNumberFormat="1" applyFont="1" applyBorder="1" applyAlignment="1">
      <alignment horizontal="center" vertical="center"/>
    </xf>
    <xf numFmtId="164" fontId="5" fillId="0" borderId="18" xfId="2" applyNumberFormat="1" applyBorder="1" applyAlignment="1">
      <alignment horizontal="center"/>
    </xf>
    <xf numFmtId="0" fontId="22" fillId="0" borderId="9" xfId="0" applyFont="1" applyBorder="1" applyAlignment="1">
      <alignment horizontal="center" vertical="center" wrapText="1"/>
    </xf>
    <xf numFmtId="168" fontId="5" fillId="0" borderId="0" xfId="2" applyNumberFormat="1"/>
    <xf numFmtId="174" fontId="22" fillId="0" borderId="1" xfId="0" applyNumberFormat="1" applyFont="1" applyBorder="1" applyAlignment="1">
      <alignment horizontal="center" vertical="center" wrapText="1"/>
    </xf>
    <xf numFmtId="174" fontId="22" fillId="0" borderId="9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" fontId="22" fillId="0" borderId="1" xfId="16" applyNumberFormat="1" applyFont="1" applyBorder="1" applyAlignment="1">
      <alignment horizontal="center" vertical="center"/>
    </xf>
    <xf numFmtId="9" fontId="22" fillId="0" borderId="1" xfId="13" applyFont="1" applyBorder="1" applyAlignment="1">
      <alignment horizontal="center" vertical="center"/>
    </xf>
    <xf numFmtId="174" fontId="22" fillId="0" borderId="1" xfId="16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2" fillId="0" borderId="1" xfId="16" applyNumberFormat="1" applyFont="1" applyFill="1" applyBorder="1" applyAlignment="1">
      <alignment horizontal="center" vertical="center"/>
    </xf>
    <xf numFmtId="2" fontId="22" fillId="0" borderId="1" xfId="16" applyNumberFormat="1" applyFont="1" applyBorder="1" applyAlignment="1">
      <alignment horizontal="center" vertical="center"/>
    </xf>
    <xf numFmtId="1" fontId="5" fillId="0" borderId="1" xfId="2" applyNumberFormat="1" applyBorder="1" applyAlignment="1">
      <alignment horizontal="center" vertical="center"/>
    </xf>
    <xf numFmtId="1" fontId="9" fillId="0" borderId="5" xfId="2" applyNumberFormat="1" applyFont="1" applyBorder="1" applyAlignment="1">
      <alignment horizontal="center" vertical="center"/>
    </xf>
    <xf numFmtId="1" fontId="15" fillId="0" borderId="5" xfId="2" applyNumberFormat="1" applyFont="1" applyBorder="1" applyAlignment="1">
      <alignment horizontal="center" vertical="center"/>
    </xf>
    <xf numFmtId="2" fontId="22" fillId="0" borderId="9" xfId="13" applyNumberFormat="1" applyFont="1" applyBorder="1" applyAlignment="1">
      <alignment horizontal="center" vertical="center" wrapText="1"/>
    </xf>
    <xf numFmtId="1" fontId="22" fillId="0" borderId="1" xfId="13" applyNumberFormat="1" applyFont="1" applyBorder="1" applyAlignment="1">
      <alignment horizontal="center" vertical="center" wrapText="1"/>
    </xf>
    <xf numFmtId="1" fontId="22" fillId="0" borderId="9" xfId="13" applyNumberFormat="1" applyFont="1" applyBorder="1" applyAlignment="1">
      <alignment horizontal="center" vertical="center" wrapText="1"/>
    </xf>
    <xf numFmtId="0" fontId="5" fillId="0" borderId="32" xfId="2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5" fillId="0" borderId="7" xfId="2" applyBorder="1" applyAlignment="1">
      <alignment horizontal="center" vertical="center"/>
    </xf>
    <xf numFmtId="0" fontId="5" fillId="0" borderId="47" xfId="2" applyBorder="1" applyAlignment="1">
      <alignment horizontal="center" vertical="center"/>
    </xf>
    <xf numFmtId="0" fontId="13" fillId="15" borderId="1" xfId="2" applyFont="1" applyFill="1" applyBorder="1"/>
    <xf numFmtId="164" fontId="4" fillId="5" borderId="1" xfId="0" applyNumberFormat="1" applyFont="1" applyFill="1" applyBorder="1" applyAlignment="1">
      <alignment horizontal="center" vertical="center"/>
    </xf>
    <xf numFmtId="164" fontId="4" fillId="5" borderId="1" xfId="13" applyNumberFormat="1" applyFont="1" applyFill="1" applyBorder="1" applyAlignment="1">
      <alignment horizontal="center" vertical="center"/>
    </xf>
    <xf numFmtId="1" fontId="4" fillId="5" borderId="1" xfId="13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164" fontId="4" fillId="15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22" fillId="0" borderId="1" xfId="16" applyNumberFormat="1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left" vertical="center"/>
    </xf>
    <xf numFmtId="41" fontId="25" fillId="5" borderId="59" xfId="1" applyFont="1" applyFill="1" applyBorder="1" applyAlignment="1">
      <alignment horizontal="center" vertical="center"/>
    </xf>
    <xf numFmtId="164" fontId="25" fillId="5" borderId="9" xfId="1" applyNumberFormat="1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9" fontId="4" fillId="15" borderId="1" xfId="13" applyFont="1" applyFill="1" applyBorder="1" applyAlignment="1">
      <alignment horizontal="center" vertical="center"/>
    </xf>
    <xf numFmtId="10" fontId="0" fillId="8" borderId="1" xfId="13" applyNumberFormat="1" applyFont="1" applyFill="1" applyBorder="1" applyAlignment="1">
      <alignment horizontal="center" vertical="center"/>
    </xf>
    <xf numFmtId="9" fontId="0" fillId="8" borderId="0" xfId="13" applyFont="1" applyFill="1" applyAlignment="1">
      <alignment horizontal="center" vertical="center"/>
    </xf>
    <xf numFmtId="0" fontId="4" fillId="0" borderId="1" xfId="0" applyFont="1" applyBorder="1" applyAlignment="1">
      <alignment horizontal="right"/>
    </xf>
    <xf numFmtId="164" fontId="26" fillId="20" borderId="1" xfId="0" applyNumberFormat="1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13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4" fillId="15" borderId="9" xfId="0" applyFont="1" applyFill="1" applyBorder="1" applyAlignment="1">
      <alignment horizontal="center" vertical="center" wrapText="1"/>
    </xf>
    <xf numFmtId="164" fontId="5" fillId="0" borderId="6" xfId="2" applyNumberFormat="1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/>
    </xf>
    <xf numFmtId="0" fontId="0" fillId="0" borderId="9" xfId="0" applyBorder="1" applyAlignment="1">
      <alignment horizontal="left" vertical="center"/>
    </xf>
    <xf numFmtId="3" fontId="22" fillId="15" borderId="2" xfId="0" applyNumberFormat="1" applyFont="1" applyFill="1" applyBorder="1" applyAlignment="1">
      <alignment horizontal="center" vertical="center" wrapText="1"/>
    </xf>
    <xf numFmtId="3" fontId="22" fillId="15" borderId="1" xfId="0" applyNumberFormat="1" applyFont="1" applyFill="1" applyBorder="1" applyAlignment="1">
      <alignment horizontal="center" vertical="center" wrapText="1"/>
    </xf>
    <xf numFmtId="164" fontId="22" fillId="15" borderId="10" xfId="0" applyNumberFormat="1" applyFont="1" applyFill="1" applyBorder="1" applyAlignment="1">
      <alignment horizontal="center"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172" fontId="22" fillId="15" borderId="1" xfId="13" applyNumberFormat="1" applyFont="1" applyFill="1" applyBorder="1" applyAlignment="1">
      <alignment horizontal="center" vertical="center" wrapText="1"/>
    </xf>
    <xf numFmtId="10" fontId="22" fillId="15" borderId="1" xfId="13" applyNumberFormat="1" applyFont="1" applyFill="1" applyBorder="1" applyAlignment="1">
      <alignment horizontal="center" vertical="center" wrapText="1"/>
    </xf>
    <xf numFmtId="3" fontId="22" fillId="15" borderId="4" xfId="0" applyNumberFormat="1" applyFont="1" applyFill="1" applyBorder="1" applyAlignment="1">
      <alignment vertical="center" wrapText="1"/>
    </xf>
    <xf numFmtId="164" fontId="22" fillId="15" borderId="1" xfId="0" applyNumberFormat="1" applyFont="1" applyFill="1" applyBorder="1" applyAlignment="1">
      <alignment horizontal="center" vertical="center" wrapText="1"/>
    </xf>
    <xf numFmtId="3" fontId="22" fillId="15" borderId="8" xfId="0" applyNumberFormat="1" applyFont="1" applyFill="1" applyBorder="1" applyAlignment="1">
      <alignment horizontal="center" vertical="center" wrapText="1"/>
    </xf>
    <xf numFmtId="164" fontId="22" fillId="15" borderId="8" xfId="0" applyNumberFormat="1" applyFont="1" applyFill="1" applyBorder="1" applyAlignment="1">
      <alignment horizontal="center" vertical="center" wrapText="1"/>
    </xf>
    <xf numFmtId="172" fontId="22" fillId="15" borderId="8" xfId="13" applyNumberFormat="1" applyFont="1" applyFill="1" applyBorder="1" applyAlignment="1">
      <alignment horizontal="center" vertical="center" wrapText="1"/>
    </xf>
    <xf numFmtId="164" fontId="22" fillId="15" borderId="1" xfId="17" applyNumberFormat="1" applyFont="1" applyFill="1" applyBorder="1" applyAlignment="1">
      <alignment horizontal="center" vertical="center" wrapText="1"/>
    </xf>
    <xf numFmtId="173" fontId="22" fillId="15" borderId="1" xfId="17" applyNumberFormat="1" applyFont="1" applyFill="1" applyBorder="1" applyAlignment="1">
      <alignment horizontal="center" vertical="center" wrapText="1"/>
    </xf>
    <xf numFmtId="164" fontId="4" fillId="21" borderId="1" xfId="0" applyNumberFormat="1" applyFont="1" applyFill="1" applyBorder="1" applyAlignment="1">
      <alignment horizontal="center" vertical="center"/>
    </xf>
    <xf numFmtId="3" fontId="22" fillId="15" borderId="4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172" fontId="27" fillId="0" borderId="1" xfId="13" applyNumberFormat="1" applyFont="1" applyFill="1" applyBorder="1" applyAlignment="1">
      <alignment horizontal="center" vertical="center" wrapText="1"/>
    </xf>
    <xf numFmtId="10" fontId="27" fillId="0" borderId="1" xfId="13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8" borderId="4" xfId="0" applyNumberFormat="1" applyFill="1" applyBorder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41" fontId="25" fillId="5" borderId="59" xfId="1" applyFont="1" applyFill="1" applyBorder="1" applyAlignment="1">
      <alignment horizontal="center" vertical="center" wrapText="1"/>
    </xf>
    <xf numFmtId="164" fontId="0" fillId="2" borderId="4" xfId="1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164" fontId="4" fillId="5" borderId="1" xfId="0" applyNumberFormat="1" applyFont="1" applyFill="1" applyBorder="1" applyAlignment="1">
      <alignment horizontal="center"/>
    </xf>
    <xf numFmtId="0" fontId="28" fillId="8" borderId="0" xfId="0" applyFont="1" applyFill="1" applyAlignment="1">
      <alignment vertical="center" wrapText="1"/>
    </xf>
    <xf numFmtId="9" fontId="4" fillId="15" borderId="1" xfId="13" applyFont="1" applyFill="1" applyBorder="1" applyAlignment="1">
      <alignment horizontal="center"/>
    </xf>
    <xf numFmtId="41" fontId="0" fillId="0" borderId="0" xfId="1" applyFont="1" applyBorder="1" applyAlignment="1">
      <alignment horizontal="center" vertical="center"/>
    </xf>
    <xf numFmtId="164" fontId="0" fillId="8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8" fillId="7" borderId="56" xfId="2" applyNumberFormat="1" applyFont="1" applyFill="1" applyBorder="1" applyAlignment="1">
      <alignment horizontal="center" vertical="center"/>
    </xf>
    <xf numFmtId="164" fontId="8" fillId="7" borderId="56" xfId="2" applyNumberFormat="1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left"/>
    </xf>
    <xf numFmtId="0" fontId="0" fillId="8" borderId="0" xfId="0" applyFill="1" applyAlignment="1">
      <alignment horizontal="left"/>
    </xf>
    <xf numFmtId="164" fontId="0" fillId="8" borderId="0" xfId="0" applyNumberFormat="1" applyFill="1" applyAlignment="1">
      <alignment horizontal="center" vertical="center"/>
    </xf>
    <xf numFmtId="0" fontId="0" fillId="8" borderId="19" xfId="0" applyFill="1" applyBorder="1" applyAlignment="1">
      <alignment horizontal="left"/>
    </xf>
    <xf numFmtId="0" fontId="0" fillId="8" borderId="20" xfId="0" applyFill="1" applyBorder="1"/>
    <xf numFmtId="0" fontId="0" fillId="8" borderId="21" xfId="0" applyFill="1" applyBorder="1" applyAlignment="1">
      <alignment horizontal="left"/>
    </xf>
    <xf numFmtId="0" fontId="0" fillId="8" borderId="22" xfId="0" applyFill="1" applyBorder="1" applyAlignment="1">
      <alignment horizontal="center"/>
    </xf>
    <xf numFmtId="0" fontId="0" fillId="8" borderId="22" xfId="0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4" fillId="15" borderId="1" xfId="0" applyFont="1" applyFill="1" applyBorder="1" applyAlignment="1">
      <alignment horizontal="center"/>
    </xf>
    <xf numFmtId="3" fontId="24" fillId="0" borderId="8" xfId="14" applyNumberFormat="1" applyFont="1" applyBorder="1" applyAlignment="1" applyProtection="1">
      <alignment horizontal="center" vertical="center"/>
    </xf>
    <xf numFmtId="3" fontId="24" fillId="0" borderId="1" xfId="14" applyNumberFormat="1" applyFont="1" applyBorder="1" applyAlignment="1" applyProtection="1">
      <alignment horizontal="center" vertical="center"/>
    </xf>
    <xf numFmtId="0" fontId="0" fillId="15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164" fontId="4" fillId="15" borderId="1" xfId="0" applyNumberFormat="1" applyFont="1" applyFill="1" applyBorder="1" applyAlignment="1">
      <alignment horizontal="center"/>
    </xf>
    <xf numFmtId="164" fontId="4" fillId="15" borderId="4" xfId="0" applyNumberFormat="1" applyFont="1" applyFill="1" applyBorder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pivotButton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0" fillId="8" borderId="1" xfId="0" applyFill="1" applyBorder="1" applyAlignment="1">
      <alignment horizontal="center"/>
    </xf>
    <xf numFmtId="175" fontId="4" fillId="15" borderId="1" xfId="0" applyNumberFormat="1" applyFont="1" applyFill="1" applyBorder="1" applyAlignment="1">
      <alignment horizontal="center"/>
    </xf>
    <xf numFmtId="0" fontId="3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9" fontId="0" fillId="0" borderId="1" xfId="13" applyFont="1" applyBorder="1" applyAlignment="1">
      <alignment horizontal="center"/>
    </xf>
    <xf numFmtId="9" fontId="22" fillId="0" borderId="1" xfId="13" applyFont="1" applyFill="1" applyBorder="1" applyAlignment="1">
      <alignment horizontal="center" vertical="center" wrapText="1"/>
    </xf>
    <xf numFmtId="9" fontId="0" fillId="0" borderId="1" xfId="13" applyFont="1" applyBorder="1" applyAlignment="1">
      <alignment horizontal="center" vertical="center"/>
    </xf>
    <xf numFmtId="9" fontId="22" fillId="0" borderId="9" xfId="13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1" fontId="25" fillId="0" borderId="0" xfId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2" fontId="0" fillId="0" borderId="4" xfId="1" applyNumberFormat="1" applyFont="1" applyBorder="1" applyAlignment="1">
      <alignment horizontal="center" vertical="center"/>
    </xf>
    <xf numFmtId="2" fontId="0" fillId="0" borderId="4" xfId="1" applyNumberFormat="1" applyFont="1" applyFill="1" applyBorder="1" applyAlignment="1">
      <alignment horizontal="center" vertical="center"/>
    </xf>
    <xf numFmtId="2" fontId="0" fillId="2" borderId="4" xfId="1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25" fillId="5" borderId="59" xfId="1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0" fontId="33" fillId="15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13" applyNumberFormat="1" applyFont="1" applyBorder="1" applyAlignment="1">
      <alignment horizontal="center" vertical="center" wrapText="1"/>
    </xf>
    <xf numFmtId="10" fontId="0" fillId="0" borderId="1" xfId="13" applyNumberFormat="1" applyFont="1" applyBorder="1" applyAlignment="1">
      <alignment horizontal="center" vertical="center"/>
    </xf>
    <xf numFmtId="0" fontId="28" fillId="8" borderId="0" xfId="0" applyFont="1" applyFill="1" applyAlignment="1">
      <alignment horizontal="center" vertical="center" wrapText="1"/>
    </xf>
    <xf numFmtId="0" fontId="30" fillId="8" borderId="0" xfId="0" applyFont="1" applyFill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2" fillId="1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20" fillId="19" borderId="14" xfId="0" applyFont="1" applyFill="1" applyBorder="1" applyAlignment="1">
      <alignment horizontal="center"/>
    </xf>
    <xf numFmtId="0" fontId="20" fillId="19" borderId="15" xfId="0" applyFont="1" applyFill="1" applyBorder="1" applyAlignment="1">
      <alignment horizontal="center"/>
    </xf>
    <xf numFmtId="0" fontId="20" fillId="19" borderId="16" xfId="0" applyFont="1" applyFill="1" applyBorder="1" applyAlignment="1">
      <alignment horizontal="center"/>
    </xf>
    <xf numFmtId="0" fontId="20" fillId="19" borderId="17" xfId="0" applyFont="1" applyFill="1" applyBorder="1" applyAlignment="1">
      <alignment horizontal="center"/>
    </xf>
    <xf numFmtId="0" fontId="20" fillId="19" borderId="1" xfId="0" applyFont="1" applyFill="1" applyBorder="1" applyAlignment="1">
      <alignment horizontal="center"/>
    </xf>
    <xf numFmtId="0" fontId="20" fillId="19" borderId="18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17" borderId="1" xfId="2" applyFont="1" applyFill="1" applyBorder="1" applyAlignment="1">
      <alignment horizontal="center"/>
    </xf>
    <xf numFmtId="0" fontId="4" fillId="19" borderId="2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5" fillId="0" borderId="0" xfId="2" applyAlignment="1">
      <alignment horizontal="center" vertical="center" wrapText="1"/>
    </xf>
    <xf numFmtId="2" fontId="5" fillId="0" borderId="63" xfId="13" applyNumberFormat="1" applyFont="1" applyBorder="1" applyAlignment="1">
      <alignment horizontal="center" vertical="center"/>
    </xf>
    <xf numFmtId="2" fontId="5" fillId="0" borderId="58" xfId="13" applyNumberFormat="1" applyFont="1" applyBorder="1" applyAlignment="1">
      <alignment horizontal="center" vertical="center"/>
    </xf>
    <xf numFmtId="2" fontId="5" fillId="0" borderId="64" xfId="13" applyNumberFormat="1" applyFont="1" applyBorder="1" applyAlignment="1">
      <alignment horizontal="center" vertical="center"/>
    </xf>
    <xf numFmtId="0" fontId="5" fillId="0" borderId="53" xfId="2" applyBorder="1" applyAlignment="1">
      <alignment horizontal="center" vertical="center"/>
    </xf>
    <xf numFmtId="0" fontId="5" fillId="0" borderId="17" xfId="2" applyBorder="1" applyAlignment="1">
      <alignment horizontal="center" vertical="center"/>
    </xf>
    <xf numFmtId="0" fontId="5" fillId="0" borderId="44" xfId="2" applyBorder="1" applyAlignment="1">
      <alignment horizontal="center" vertical="center"/>
    </xf>
    <xf numFmtId="2" fontId="7" fillId="0" borderId="67" xfId="13" applyNumberFormat="1" applyFont="1" applyBorder="1" applyAlignment="1">
      <alignment horizontal="center" vertical="center"/>
    </xf>
    <xf numFmtId="2" fontId="7" fillId="0" borderId="27" xfId="13" applyNumberFormat="1" applyFont="1" applyBorder="1" applyAlignment="1">
      <alignment horizontal="center" vertical="center"/>
    </xf>
    <xf numFmtId="2" fontId="7" fillId="0" borderId="68" xfId="13" applyNumberFormat="1" applyFont="1" applyBorder="1" applyAlignment="1">
      <alignment horizontal="center" vertical="center"/>
    </xf>
    <xf numFmtId="2" fontId="7" fillId="0" borderId="65" xfId="13" applyNumberFormat="1" applyFont="1" applyBorder="1" applyAlignment="1">
      <alignment horizontal="center" vertical="center"/>
    </xf>
    <xf numFmtId="2" fontId="7" fillId="0" borderId="37" xfId="13" applyNumberFormat="1" applyFont="1" applyBorder="1" applyAlignment="1">
      <alignment horizontal="center" vertical="center"/>
    </xf>
    <xf numFmtId="2" fontId="7" fillId="0" borderId="66" xfId="13" applyNumberFormat="1" applyFont="1" applyBorder="1" applyAlignment="1">
      <alignment horizontal="center" vertical="center"/>
    </xf>
    <xf numFmtId="2" fontId="7" fillId="0" borderId="36" xfId="13" applyNumberFormat="1" applyFont="1" applyBorder="1" applyAlignment="1">
      <alignment horizontal="center" vertical="center"/>
    </xf>
    <xf numFmtId="2" fontId="7" fillId="0" borderId="33" xfId="13" applyNumberFormat="1" applyFont="1" applyBorder="1" applyAlignment="1">
      <alignment horizontal="center" vertical="center"/>
    </xf>
    <xf numFmtId="2" fontId="7" fillId="0" borderId="45" xfId="13" applyNumberFormat="1" applyFont="1" applyBorder="1" applyAlignment="1">
      <alignment horizontal="center" vertical="center"/>
    </xf>
    <xf numFmtId="2" fontId="5" fillId="0" borderId="40" xfId="13" applyNumberFormat="1" applyFont="1" applyBorder="1" applyAlignment="1">
      <alignment horizontal="center" vertical="center"/>
    </xf>
    <xf numFmtId="2" fontId="5" fillId="0" borderId="12" xfId="13" applyNumberFormat="1" applyFont="1" applyBorder="1" applyAlignment="1">
      <alignment horizontal="center" vertical="center"/>
    </xf>
    <xf numFmtId="2" fontId="5" fillId="0" borderId="46" xfId="13" applyNumberFormat="1" applyFont="1" applyBorder="1" applyAlignment="1">
      <alignment horizontal="center" vertical="center"/>
    </xf>
    <xf numFmtId="2" fontId="7" fillId="0" borderId="8" xfId="13" applyNumberFormat="1" applyFont="1" applyBorder="1" applyAlignment="1">
      <alignment horizontal="center" vertical="center"/>
    </xf>
    <xf numFmtId="2" fontId="7" fillId="0" borderId="10" xfId="13" applyNumberFormat="1" applyFont="1" applyBorder="1" applyAlignment="1">
      <alignment horizontal="center" vertical="center"/>
    </xf>
    <xf numFmtId="2" fontId="7" fillId="0" borderId="9" xfId="13" applyNumberFormat="1" applyFont="1" applyBorder="1" applyAlignment="1">
      <alignment horizontal="center" vertical="center"/>
    </xf>
    <xf numFmtId="164" fontId="5" fillId="0" borderId="40" xfId="2" applyNumberFormat="1" applyBorder="1" applyAlignment="1">
      <alignment horizontal="center" vertical="center"/>
    </xf>
    <xf numFmtId="164" fontId="5" fillId="0" borderId="12" xfId="2" applyNumberFormat="1" applyBorder="1" applyAlignment="1">
      <alignment horizontal="center" vertical="center"/>
    </xf>
    <xf numFmtId="164" fontId="5" fillId="0" borderId="46" xfId="2" applyNumberFormat="1" applyBorder="1" applyAlignment="1">
      <alignment horizontal="center" vertical="center"/>
    </xf>
    <xf numFmtId="168" fontId="5" fillId="0" borderId="12" xfId="2" applyNumberFormat="1" applyBorder="1" applyAlignment="1">
      <alignment horizontal="center" vertical="center"/>
    </xf>
    <xf numFmtId="168" fontId="5" fillId="0" borderId="46" xfId="2" applyNumberFormat="1" applyBorder="1" applyAlignment="1">
      <alignment horizontal="center" vertical="center"/>
    </xf>
    <xf numFmtId="164" fontId="7" fillId="0" borderId="40" xfId="2" applyNumberFormat="1" applyFont="1" applyBorder="1" applyAlignment="1">
      <alignment horizontal="center" vertical="center"/>
    </xf>
    <xf numFmtId="164" fontId="7" fillId="0" borderId="12" xfId="2" applyNumberFormat="1" applyFont="1" applyBorder="1" applyAlignment="1">
      <alignment horizontal="center" vertical="center"/>
    </xf>
    <xf numFmtId="164" fontId="7" fillId="0" borderId="7" xfId="2" applyNumberFormat="1" applyFont="1" applyBorder="1" applyAlignment="1">
      <alignment horizontal="center" vertical="center"/>
    </xf>
    <xf numFmtId="164" fontId="7" fillId="0" borderId="6" xfId="2" applyNumberFormat="1" applyFont="1" applyBorder="1" applyAlignment="1">
      <alignment horizontal="center" vertical="center"/>
    </xf>
    <xf numFmtId="164" fontId="7" fillId="0" borderId="46" xfId="2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164" fontId="6" fillId="0" borderId="15" xfId="2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6" fillId="0" borderId="8" xfId="2" applyNumberFormat="1" applyFont="1" applyBorder="1" applyAlignment="1">
      <alignment horizontal="center" vertical="center"/>
    </xf>
    <xf numFmtId="164" fontId="6" fillId="0" borderId="50" xfId="2" applyNumberFormat="1" applyFont="1" applyBorder="1" applyAlignment="1">
      <alignment horizontal="center" vertical="center"/>
    </xf>
    <xf numFmtId="164" fontId="7" fillId="0" borderId="33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5" fillId="0" borderId="39" xfId="2" applyBorder="1" applyAlignment="1">
      <alignment horizontal="center" vertical="center"/>
    </xf>
    <xf numFmtId="0" fontId="5" fillId="0" borderId="33" xfId="2" applyBorder="1" applyAlignment="1">
      <alignment horizontal="center" vertical="center"/>
    </xf>
    <xf numFmtId="0" fontId="5" fillId="0" borderId="45" xfId="2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5" fillId="0" borderId="25" xfId="2" applyBorder="1" applyAlignment="1">
      <alignment horizontal="center" vertical="center"/>
    </xf>
    <xf numFmtId="0" fontId="5" fillId="0" borderId="34" xfId="2" applyBorder="1" applyAlignment="1">
      <alignment horizontal="center" vertical="center"/>
    </xf>
    <xf numFmtId="0" fontId="5" fillId="0" borderId="15" xfId="2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12" xfId="2" applyBorder="1" applyAlignment="1">
      <alignment horizontal="center" vertical="center"/>
    </xf>
    <xf numFmtId="0" fontId="5" fillId="0" borderId="46" xfId="2" applyBorder="1" applyAlignment="1">
      <alignment horizontal="center" vertical="center"/>
    </xf>
    <xf numFmtId="0" fontId="5" fillId="0" borderId="37" xfId="2" applyBorder="1" applyAlignment="1">
      <alignment horizontal="center" vertical="center"/>
    </xf>
    <xf numFmtId="0" fontId="5" fillId="0" borderId="55" xfId="2" applyBorder="1" applyAlignment="1">
      <alignment horizontal="center" vertical="center"/>
    </xf>
    <xf numFmtId="0" fontId="6" fillId="6" borderId="1" xfId="2" applyFont="1" applyFill="1" applyBorder="1" applyAlignment="1">
      <alignment horizontal="center"/>
    </xf>
    <xf numFmtId="164" fontId="5" fillId="0" borderId="58" xfId="2" applyNumberFormat="1" applyBorder="1" applyAlignment="1">
      <alignment horizontal="center" vertical="center"/>
    </xf>
    <xf numFmtId="164" fontId="7" fillId="0" borderId="58" xfId="2" applyNumberFormat="1" applyFont="1" applyBorder="1" applyAlignment="1">
      <alignment horizontal="center" vertical="center"/>
    </xf>
    <xf numFmtId="0" fontId="29" fillId="15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15" borderId="1" xfId="0" applyFont="1" applyFill="1" applyBorder="1" applyAlignment="1">
      <alignment horizontal="center" vertical="center"/>
    </xf>
    <xf numFmtId="0" fontId="4" fillId="15" borderId="34" xfId="0" applyFont="1" applyFill="1" applyBorder="1" applyAlignment="1">
      <alignment horizontal="center" vertical="center"/>
    </xf>
    <xf numFmtId="3" fontId="22" fillId="15" borderId="2" xfId="0" applyNumberFormat="1" applyFont="1" applyFill="1" applyBorder="1" applyAlignment="1">
      <alignment horizontal="center" vertical="center" wrapText="1"/>
    </xf>
    <xf numFmtId="3" fontId="22" fillId="15" borderId="4" xfId="0" applyNumberFormat="1" applyFont="1" applyFill="1" applyBorder="1" applyAlignment="1">
      <alignment horizontal="center" vertical="center" wrapText="1"/>
    </xf>
    <xf numFmtId="3" fontId="22" fillId="15" borderId="8" xfId="0" applyNumberFormat="1" applyFont="1" applyFill="1" applyBorder="1" applyAlignment="1">
      <alignment horizontal="center"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3" fontId="22" fillId="15" borderId="9" xfId="0" applyNumberFormat="1" applyFont="1" applyFill="1" applyBorder="1" applyAlignment="1">
      <alignment horizontal="center" vertical="center" wrapText="1"/>
    </xf>
    <xf numFmtId="3" fontId="22" fillId="15" borderId="3" xfId="0" applyNumberFormat="1" applyFont="1" applyFill="1" applyBorder="1" applyAlignment="1">
      <alignment horizontal="center" vertical="center" wrapText="1"/>
    </xf>
    <xf numFmtId="3" fontId="24" fillId="0" borderId="8" xfId="14" applyNumberFormat="1" applyFont="1" applyBorder="1" applyAlignment="1" applyProtection="1">
      <alignment horizontal="center" vertical="center" wrapText="1"/>
    </xf>
    <xf numFmtId="3" fontId="24" fillId="0" borderId="10" xfId="14" applyNumberFormat="1" applyFont="1" applyBorder="1" applyAlignment="1" applyProtection="1">
      <alignment horizontal="center" vertical="center" wrapText="1"/>
    </xf>
    <xf numFmtId="3" fontId="24" fillId="0" borderId="9" xfId="14" applyNumberFormat="1" applyFont="1" applyBorder="1" applyAlignment="1" applyProtection="1">
      <alignment horizontal="center" vertical="center" wrapText="1"/>
    </xf>
    <xf numFmtId="3" fontId="24" fillId="0" borderId="1" xfId="14" applyNumberFormat="1" applyFont="1" applyBorder="1" applyAlignment="1" applyProtection="1">
      <alignment horizontal="center" vertical="center" wrapText="1"/>
    </xf>
    <xf numFmtId="0" fontId="16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6" fillId="5" borderId="2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59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8">
    <cellStyle name="Hipervínculo 2" xfId="14" xr:uid="{E84CC251-2FFC-4DAD-81A6-20BC181BF319}"/>
    <cellStyle name="Millares" xfId="16" builtinId="3"/>
    <cellStyle name="Millares [0]" xfId="1" builtinId="6"/>
    <cellStyle name="Millares 2" xfId="15" xr:uid="{B6189DD4-380B-4742-B639-B0CBCC846D34}"/>
    <cellStyle name="Moneda" xfId="17" builtinId="4"/>
    <cellStyle name="Normal" xfId="0" builtinId="0"/>
    <cellStyle name="Normal 10" xfId="9" xr:uid="{00A356A2-BEA6-49D9-A800-D50179FF2EED}"/>
    <cellStyle name="Normal 11" xfId="11" xr:uid="{13B1507C-601C-49DC-95C1-3314DEA6AFB7}"/>
    <cellStyle name="Normal 16" xfId="5" xr:uid="{69E00B6A-513A-4757-8D87-3D57008630EC}"/>
    <cellStyle name="Normal 2" xfId="2" xr:uid="{0B396BE9-4FC4-4AEA-B5CA-2DD99B3CBABE}"/>
    <cellStyle name="Normal 3" xfId="3" xr:uid="{2A3F8E7C-9427-4250-9556-D6AADF293CE8}"/>
    <cellStyle name="Normal 4" xfId="12" xr:uid="{A2A060A5-615F-4A30-A6F7-5B7F7DF150FA}"/>
    <cellStyle name="Normal 5" xfId="8" xr:uid="{7FBF514B-6EB2-4577-B1BF-9A335FC5C740}"/>
    <cellStyle name="Normal 6" xfId="7" xr:uid="{07D04710-6CA6-4B84-BA9C-A33D69F95E54}"/>
    <cellStyle name="Normal 7" xfId="4" xr:uid="{3E32A651-BDFD-4F65-AD79-7EBC77DB7118}"/>
    <cellStyle name="Normal 8" xfId="6" xr:uid="{FF4D9358-351A-4C2E-BC35-47C10AEA5A67}"/>
    <cellStyle name="Normal 9" xfId="10" xr:uid="{4B4006B0-8861-463B-97F9-C9770545582F}"/>
    <cellStyle name="Porcentaje" xfId="13" builtinId="5"/>
  </cellStyles>
  <dxfs count="62">
    <dxf>
      <numFmt numFmtId="164" formatCode="&quot;$&quot;\ #,##0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\ 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\ #,##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</dxf>
    <dxf>
      <font>
        <color rgb="FFFF0000"/>
      </font>
    </dxf>
    <dxf>
      <numFmt numFmtId="164" formatCode="&quot;$&quot;\ 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COSTO TOTAL POR MACRO ACTIVIDAD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'09-RESUMEN'!$J$3</c:f>
              <c:strCache>
                <c:ptCount val="1"/>
                <c:pt idx="0">
                  <c:v>COSTO TOTAL POR MACRO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5D5-487D-B197-1C9BFDF653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D5-487D-B197-1C9BFDF6537E}"/>
              </c:ext>
            </c:extLst>
          </c:dPt>
          <c:dPt>
            <c:idx val="2"/>
            <c:bubble3D val="0"/>
            <c:explosion val="5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D5-487D-B197-1C9BFDF653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5D5-487D-B197-1C9BFDF653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5D5-487D-B197-1C9BFDF653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A5D5-487D-B197-1C9BFDF6537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5D5-487D-B197-1C9BFDF6537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5D5-487D-B197-1C9BFDF6537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5D5-487D-B197-1C9BFDF6537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5D5-487D-B197-1C9BFDF6537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5D5-487D-B197-1C9BFDF6537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A5D5-487D-B197-1C9BFDF65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'09-RESUMEN'!$H$4:$H$9</c:f>
              <c:strCache>
                <c:ptCount val="6"/>
                <c:pt idx="0">
                  <c:v>CA1</c:v>
                </c:pt>
                <c:pt idx="1">
                  <c:v>CA2</c:v>
                </c:pt>
                <c:pt idx="2">
                  <c:v>CA3</c:v>
                </c:pt>
                <c:pt idx="3">
                  <c:v>CA4</c:v>
                </c:pt>
                <c:pt idx="4">
                  <c:v>CA5</c:v>
                </c:pt>
                <c:pt idx="5">
                  <c:v>CA6</c:v>
                </c:pt>
              </c:strCache>
            </c:strRef>
          </c:cat>
          <c:val>
            <c:numRef>
              <c:f>'09-RESUMEN'!$J$4:$J$9</c:f>
              <c:numCache>
                <c:formatCode>"$"\ #,##0</c:formatCode>
                <c:ptCount val="6"/>
                <c:pt idx="0">
                  <c:v>22051025.396682709</c:v>
                </c:pt>
                <c:pt idx="1">
                  <c:v>9522071.4598049428</c:v>
                </c:pt>
                <c:pt idx="2">
                  <c:v>45189879.364023931</c:v>
                </c:pt>
                <c:pt idx="3">
                  <c:v>13373889.132403724</c:v>
                </c:pt>
                <c:pt idx="4">
                  <c:v>7418502.1281380374</c:v>
                </c:pt>
                <c:pt idx="5">
                  <c:v>17849065.823746644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D-4F79-AF1B-8EC0BB2CDC4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[SISTEMA DE COSTOS ABC CENTRO AGRO FERRETERO DEL CAUCA SAS.xlsx]09-RESUMEN!TablaDinámica11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COSTO TOTAL POR ACTIVIDAD</a:t>
            </a:r>
          </a:p>
        </c:rich>
      </c:tx>
      <c:layout>
        <c:manualLayout>
          <c:xMode val="edge"/>
          <c:yMode val="edge"/>
          <c:x val="0.34441242195798777"/>
          <c:y val="3.6940263170355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1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1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l">
                <a:defRPr sz="12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1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2579811963340646"/>
                  <c:h val="0.13488993354974824"/>
                </c:manualLayout>
              </c15:layout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1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1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1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574535111142452E-2"/>
          <c:y val="0.20734425400716675"/>
          <c:w val="0.94243863832092578"/>
          <c:h val="0.61200765379200439"/>
        </c:manualLayout>
      </c:layout>
      <c:pie3DChart>
        <c:varyColors val="1"/>
        <c:ser>
          <c:idx val="0"/>
          <c:order val="0"/>
          <c:tx>
            <c:strRef>
              <c:f>'09-RESUMEN'!$I$14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B45F-477C-9341-7154F71BA016}"/>
              </c:ext>
            </c:extLst>
          </c:dPt>
          <c:dPt>
            <c:idx val="1"/>
            <c:bubble3D val="0"/>
            <c:explosion val="7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45F-477C-9341-7154F71BA0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45F-477C-9341-7154F71BA0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B45F-477C-9341-7154F71BA0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45F-477C-9341-7154F71BA01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5F-477C-9341-7154F71BA01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79811963340646"/>
                      <c:h val="0.134889933549748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45F-477C-9341-7154F71BA01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45F-477C-9341-7154F71BA01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45F-477C-9341-7154F71BA01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5F-477C-9341-7154F71BA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'09-RESUMEN'!$H$15:$H$20</c:f>
              <c:strCache>
                <c:ptCount val="5"/>
                <c:pt idx="0">
                  <c:v>CA03 18</c:v>
                </c:pt>
                <c:pt idx="1">
                  <c:v>CA03 19</c:v>
                </c:pt>
                <c:pt idx="2">
                  <c:v>CA03 22</c:v>
                </c:pt>
                <c:pt idx="3">
                  <c:v>CA06 38</c:v>
                </c:pt>
                <c:pt idx="4">
                  <c:v>CA06 39</c:v>
                </c:pt>
              </c:strCache>
            </c:strRef>
          </c:cat>
          <c:val>
            <c:numRef>
              <c:f>'09-RESUMEN'!$I$15:$I$20</c:f>
              <c:numCache>
                <c:formatCode>"$"\ #,##0</c:formatCode>
                <c:ptCount val="5"/>
                <c:pt idx="0">
                  <c:v>7804084.670003064</c:v>
                </c:pt>
                <c:pt idx="1">
                  <c:v>13367580.460025214</c:v>
                </c:pt>
                <c:pt idx="2">
                  <c:v>6085397.84986581</c:v>
                </c:pt>
                <c:pt idx="3">
                  <c:v>7654888.1506297942</c:v>
                </c:pt>
                <c:pt idx="4">
                  <c:v>6758690.7917459803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8-4B77-8E42-67C3A5E644D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[SISTEMA DE COSTOS ABC CENTRO AGRO FERRETERO DEL CAUCA SAS.xlsx]10-ASIGNACION AL PRODUCTO!TablaDinámica9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CANTIDADES</a:t>
            </a:r>
            <a:r>
              <a:rPr lang="en-US" sz="1800" baseline="0">
                <a:solidFill>
                  <a:sysClr val="windowText" lastClr="000000"/>
                </a:solidFill>
              </a:rPr>
              <a:t> VENDIDAS POR GRUPO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8546209531454053"/>
          <c:y val="3.7294192266189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900343642611683E-2"/>
          <c:y val="0.19396259842519689"/>
          <c:w val="0.96219931271477666"/>
          <c:h val="0.65917575928008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'10-ASIGNACION AL PRODUCTO'!$V$27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'10-ASIGNACION AL PRODUCTO'!$U$28:$U$42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16</c:v>
                </c:pt>
              </c:strCache>
            </c:strRef>
          </c:cat>
          <c:val>
            <c:numRef>
              <c:f>'10-ASIGNACION AL PRODUCTO'!$V$28:$V$42</c:f>
              <c:numCache>
                <c:formatCode>General</c:formatCode>
                <c:ptCount val="14"/>
                <c:pt idx="0">
                  <c:v>5797.9999999701977</c:v>
                </c:pt>
                <c:pt idx="1">
                  <c:v>32200</c:v>
                </c:pt>
                <c:pt idx="2">
                  <c:v>903</c:v>
                </c:pt>
                <c:pt idx="3">
                  <c:v>3326</c:v>
                </c:pt>
                <c:pt idx="4">
                  <c:v>1910</c:v>
                </c:pt>
                <c:pt idx="5">
                  <c:v>1612</c:v>
                </c:pt>
                <c:pt idx="6">
                  <c:v>1265</c:v>
                </c:pt>
                <c:pt idx="7">
                  <c:v>3731</c:v>
                </c:pt>
                <c:pt idx="8">
                  <c:v>794</c:v>
                </c:pt>
                <c:pt idx="9">
                  <c:v>5250</c:v>
                </c:pt>
                <c:pt idx="10">
                  <c:v>722</c:v>
                </c:pt>
                <c:pt idx="11">
                  <c:v>2351</c:v>
                </c:pt>
                <c:pt idx="12">
                  <c:v>3895</c:v>
                </c:pt>
                <c:pt idx="13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1-4DD5-A7C0-BE50AF52F1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2665520"/>
        <c:axId val="602668848"/>
      </c:barChart>
      <c:catAx>
        <c:axId val="60266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2668848"/>
        <c:crosses val="autoZero"/>
        <c:auto val="1"/>
        <c:lblAlgn val="ctr"/>
        <c:lblOffset val="100"/>
        <c:noMultiLvlLbl val="0"/>
      </c:catAx>
      <c:valAx>
        <c:axId val="6026688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0266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[SISTEMA DE COSTOS ABC CENTRO AGRO FERRETERO DEL CAUCA SAS.xlsx]10-ASIGNACION AL PRODUCTO!TablaDinámica10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PRODUCTO</a:t>
            </a:r>
            <a:r>
              <a:rPr lang="en-US" b="1" baseline="0">
                <a:solidFill>
                  <a:schemeClr val="tx1"/>
                </a:solidFill>
              </a:rPr>
              <a:t> CON MEJOR UTILIDAD</a:t>
            </a:r>
            <a:endParaRPr 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2804180560194635"/>
          <c:y val="6.18777117742762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8.2189303126831731E-2"/>
          <c:y val="0.17948358094614961"/>
          <c:w val="0.87225824748831637"/>
          <c:h val="0.785306270989459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'10-ASIGNACION AL PRODUCTO'!$V$46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'10-ASIGNACION AL PRODUCTO'!$U$47:$U$52</c:f>
              <c:strCache>
                <c:ptCount val="5"/>
                <c:pt idx="0">
                  <c:v>207</c:v>
                </c:pt>
                <c:pt idx="1">
                  <c:v>226</c:v>
                </c:pt>
                <c:pt idx="2">
                  <c:v>1474</c:v>
                </c:pt>
                <c:pt idx="3">
                  <c:v>1611</c:v>
                </c:pt>
                <c:pt idx="4">
                  <c:v>2015</c:v>
                </c:pt>
              </c:strCache>
            </c:strRef>
          </c:cat>
          <c:val>
            <c:numRef>
              <c:f>'10-ASIGNACION AL PRODUCTO'!$V$47:$V$52</c:f>
              <c:numCache>
                <c:formatCode>"$"\ #,##0</c:formatCode>
                <c:ptCount val="5"/>
                <c:pt idx="0">
                  <c:v>5325305.7516920567</c:v>
                </c:pt>
                <c:pt idx="1">
                  <c:v>5675303.7516920567</c:v>
                </c:pt>
                <c:pt idx="2">
                  <c:v>4872910.7516920492</c:v>
                </c:pt>
                <c:pt idx="3">
                  <c:v>4875111.7516920492</c:v>
                </c:pt>
                <c:pt idx="4">
                  <c:v>10004597.226692051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F-41E5-B44B-A346F4E6D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02683824"/>
        <c:axId val="602667184"/>
      </c:barChart>
      <c:catAx>
        <c:axId val="60268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2667184"/>
        <c:crosses val="autoZero"/>
        <c:auto val="1"/>
        <c:lblAlgn val="ctr"/>
        <c:lblOffset val="100"/>
        <c:noMultiLvlLbl val="0"/>
      </c:catAx>
      <c:valAx>
        <c:axId val="6026671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" sourceLinked="1"/>
        <c:majorTickMark val="none"/>
        <c:minorTickMark val="none"/>
        <c:tickLblPos val="nextTo"/>
        <c:crossAx val="60268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[SISTEMA DE COSTOS ABC CENTRO AGRO FERRETERO DEL CAUCA SAS.xlsx]10-ASIGNACION AL PRODUCTO!TablaDinámica2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UTILIDAD</a:t>
            </a:r>
            <a:r>
              <a:rPr lang="es-CO" b="1" baseline="0">
                <a:solidFill>
                  <a:sysClr val="windowText" lastClr="000000"/>
                </a:solidFill>
              </a:rPr>
              <a:t> POR GRUPO DE PRODUCTO</a:t>
            </a:r>
            <a:endParaRPr lang="es-CO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1513970991821633"/>
          <c:y val="5.9863961835230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1.2507509959438919E-16"/>
              <c:y val="-5.89295582792396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5.9091280853202886E-6"/>
              <c:y val="-7.195759149958412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1.6936366882722652E-3"/>
              <c:y val="-7.828318282704871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-1.954661001036140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6.2537549797194596E-17"/>
              <c:y val="-0.1211899671057693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-3.85127808363627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-8.991551421938229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023372809034149E-2"/>
          <c:y val="0.12780215690283933"/>
          <c:w val="0.96929939362944961"/>
          <c:h val="0.75934204151088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'10-ASIGNACION AL PRODUCTO'!$V$7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57-471D-9A9F-45B0BE943A7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57-471D-9A9F-45B0BE943A7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657-471D-9A9F-45B0BE943A7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57-471D-9A9F-45B0BE943A7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57-471D-9A9F-45B0BE943A7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57-471D-9A9F-45B0BE943A7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57-471D-9A9F-45B0BE943A7A}"/>
              </c:ext>
            </c:extLst>
          </c:dPt>
          <c:dLbls>
            <c:dLbl>
              <c:idx val="2"/>
              <c:layout>
                <c:manualLayout>
                  <c:x val="0"/>
                  <c:y val="-8.991551421938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57-471D-9A9F-45B0BE943A7A}"/>
                </c:ext>
              </c:extLst>
            </c:dLbl>
            <c:dLbl>
              <c:idx val="7"/>
              <c:layout>
                <c:manualLayout>
                  <c:x val="0"/>
                  <c:y val="-3.8512780836362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7-471D-9A9F-45B0BE943A7A}"/>
                </c:ext>
              </c:extLst>
            </c:dLbl>
            <c:dLbl>
              <c:idx val="8"/>
              <c:layout>
                <c:manualLayout>
                  <c:x val="-6.2537549797194596E-17"/>
                  <c:y val="-0.1211899671057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57-471D-9A9F-45B0BE943A7A}"/>
                </c:ext>
              </c:extLst>
            </c:dLbl>
            <c:dLbl>
              <c:idx val="10"/>
              <c:layout>
                <c:manualLayout>
                  <c:x val="-1.6936366882722652E-3"/>
                  <c:y val="-7.8283182827048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57-471D-9A9F-45B0BE943A7A}"/>
                </c:ext>
              </c:extLst>
            </c:dLbl>
            <c:dLbl>
              <c:idx val="11"/>
              <c:layout>
                <c:manualLayout>
                  <c:x val="-5.9091280853202886E-6"/>
                  <c:y val="-7.1957591499584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7-471D-9A9F-45B0BE943A7A}"/>
                </c:ext>
              </c:extLst>
            </c:dLbl>
            <c:dLbl>
              <c:idx val="12"/>
              <c:layout>
                <c:manualLayout>
                  <c:x val="0"/>
                  <c:y val="-1.954661001036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57-471D-9A9F-45B0BE943A7A}"/>
                </c:ext>
              </c:extLst>
            </c:dLbl>
            <c:dLbl>
              <c:idx val="13"/>
              <c:layout>
                <c:manualLayout>
                  <c:x val="-1.2507509959438919E-16"/>
                  <c:y val="-5.892955827923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57-471D-9A9F-45B0BE943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'10-ASIGNACION AL PRODUCTO'!$U$8:$U$22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16</c:v>
                </c:pt>
              </c:strCache>
            </c:strRef>
          </c:cat>
          <c:val>
            <c:numRef>
              <c:f>'10-ASIGNACION AL PRODUCTO'!$V$8:$V$22</c:f>
              <c:numCache>
                <c:formatCode>"$"\ #,##0</c:formatCode>
                <c:ptCount val="14"/>
                <c:pt idx="0">
                  <c:v>23835310.072077308</c:v>
                </c:pt>
                <c:pt idx="1">
                  <c:v>67866537.297520265</c:v>
                </c:pt>
                <c:pt idx="2">
                  <c:v>-150927.81981357009</c:v>
                </c:pt>
                <c:pt idx="3">
                  <c:v>12465665.535306443</c:v>
                </c:pt>
                <c:pt idx="4">
                  <c:v>10951.004819515074</c:v>
                </c:pt>
                <c:pt idx="5">
                  <c:v>-10632543.330287142</c:v>
                </c:pt>
                <c:pt idx="6">
                  <c:v>4466080.8679359099</c:v>
                </c:pt>
                <c:pt idx="7">
                  <c:v>-7938028.7759392019</c:v>
                </c:pt>
                <c:pt idx="8">
                  <c:v>-1940728.0687320447</c:v>
                </c:pt>
                <c:pt idx="9">
                  <c:v>5755143.0067682043</c:v>
                </c:pt>
                <c:pt idx="10">
                  <c:v>-16385476.860152535</c:v>
                </c:pt>
                <c:pt idx="11">
                  <c:v>-1302429.0239748659</c:v>
                </c:pt>
                <c:pt idx="12">
                  <c:v>-29762551.656910304</c:v>
                </c:pt>
                <c:pt idx="13">
                  <c:v>-1791062.5520351238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7-471D-9A9F-45B0BE94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993120"/>
        <c:axId val="404994368"/>
      </c:barChart>
      <c:catAx>
        <c:axId val="4049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4994368"/>
        <c:crosses val="autoZero"/>
        <c:auto val="1"/>
        <c:lblAlgn val="ctr"/>
        <c:lblOffset val="100"/>
        <c:noMultiLvlLbl val="0"/>
      </c:catAx>
      <c:valAx>
        <c:axId val="4049943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" sourceLinked="1"/>
        <c:majorTickMark val="none"/>
        <c:minorTickMark val="none"/>
        <c:tickLblPos val="nextTo"/>
        <c:crossAx val="40499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800">
                <a:solidFill>
                  <a:sysClr val="windowText" lastClr="000000"/>
                </a:solidFill>
              </a:rPr>
              <a:t>vARIACION</a:t>
            </a:r>
            <a:r>
              <a:rPr lang="es-CO" sz="1800" baseline="0">
                <a:solidFill>
                  <a:sysClr val="windowText" lastClr="000000"/>
                </a:solidFill>
              </a:rPr>
              <a:t> COSTO UNITARIO</a:t>
            </a:r>
            <a:endParaRPr lang="es-CO" sz="18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1280529459622336"/>
          <c:y val="1.0303030794704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'12-VARIACIONES DESTACADAS'!$D$1</c:f>
              <c:strCache>
                <c:ptCount val="1"/>
                <c:pt idx="0">
                  <c:v>COSTO UNITARIO INICIAL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('12-VARIACIONES DESTACADAS'!$A$2,'12-VARIACIONES DESTACADAS'!$A$5,'12-VARIACIONES DESTACADAS'!$A$8,'12-VARIACIONES DESTACADAS'!$A$11,'12-VARIACIONES DESTACADAS'!$A$14,'12-VARIACIONES DESTACADAS'!$A$17,'12-VARIACIONES DESTACADAS'!$A$20,'12-VARIACIONES DESTACADAS'!$A$23,'12-VARIACIONES DESTACADAS'!$A$26,'12-VARIACIONES DESTACADAS'!$A$29,'12-VARIACIONES DESTACADAS'!$A$32,'12-VARIACIONES DESTACADAS'!$A$36,'12-VARIACIONES DESTACADAS'!$A$39,'12-VARIACIONES DESTACADAS'!$A$42)</c:f>
              <c:numCache>
                <c:formatCode>General</c:formatCode>
                <c:ptCount val="14"/>
                <c:pt idx="0">
                  <c:v>621</c:v>
                </c:pt>
                <c:pt idx="1">
                  <c:v>974</c:v>
                </c:pt>
                <c:pt idx="2">
                  <c:v>171</c:v>
                </c:pt>
                <c:pt idx="3">
                  <c:v>3168</c:v>
                </c:pt>
                <c:pt idx="4">
                  <c:v>166</c:v>
                </c:pt>
                <c:pt idx="5">
                  <c:v>998</c:v>
                </c:pt>
                <c:pt idx="6">
                  <c:v>43</c:v>
                </c:pt>
                <c:pt idx="7">
                  <c:v>402</c:v>
                </c:pt>
                <c:pt idx="8">
                  <c:v>600</c:v>
                </c:pt>
                <c:pt idx="9">
                  <c:v>918</c:v>
                </c:pt>
                <c:pt idx="10">
                  <c:v>2025</c:v>
                </c:pt>
                <c:pt idx="11">
                  <c:v>3320</c:v>
                </c:pt>
                <c:pt idx="12">
                  <c:v>526</c:v>
                </c:pt>
                <c:pt idx="13">
                  <c:v>1230</c:v>
                </c:pt>
              </c:numCache>
            </c:numRef>
          </c:cat>
          <c:val>
            <c:numRef>
              <c:f>('12-VARIACIONES DESTACADAS'!$D$2,'12-VARIACIONES DESTACADAS'!$D$5,'12-VARIACIONES DESTACADAS'!$D$8,'12-VARIACIONES DESTACADAS'!$D$11,'12-VARIACIONES DESTACADAS'!$D$14,'12-VARIACIONES DESTACADAS'!$D$17,'12-VARIACIONES DESTACADAS'!$D$20,'12-VARIACIONES DESTACADAS'!$D$23,'12-VARIACIONES DESTACADAS'!$D$26,'12-VARIACIONES DESTACADAS'!$D$29,'12-VARIACIONES DESTACADAS'!$D$32,'12-VARIACIONES DESTACADAS'!$D$36,'12-VARIACIONES DESTACADAS'!$D$39,'12-VARIACIONES DESTACADAS'!$D$42)</c:f>
              <c:numCache>
                <c:formatCode>"$"\ #,##0</c:formatCode>
                <c:ptCount val="14"/>
                <c:pt idx="0">
                  <c:v>4580.54</c:v>
                </c:pt>
                <c:pt idx="1">
                  <c:v>2291.66</c:v>
                </c:pt>
                <c:pt idx="2">
                  <c:v>19558</c:v>
                </c:pt>
                <c:pt idx="3">
                  <c:v>4950</c:v>
                </c:pt>
                <c:pt idx="4">
                  <c:v>385.28530000000001</c:v>
                </c:pt>
                <c:pt idx="5">
                  <c:v>7140</c:v>
                </c:pt>
                <c:pt idx="6">
                  <c:v>90000</c:v>
                </c:pt>
                <c:pt idx="7">
                  <c:v>100</c:v>
                </c:pt>
                <c:pt idx="8">
                  <c:v>2000</c:v>
                </c:pt>
                <c:pt idx="9">
                  <c:v>23500</c:v>
                </c:pt>
                <c:pt idx="10">
                  <c:v>900</c:v>
                </c:pt>
                <c:pt idx="11">
                  <c:v>841.33</c:v>
                </c:pt>
                <c:pt idx="12">
                  <c:v>213.4</c:v>
                </c:pt>
                <c:pt idx="13">
                  <c:v>672.35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9-4129-A1B0-27581526B023}"/>
            </c:ext>
          </c:extLst>
        </c:ser>
        <c:ser>
          <c:idx val="1"/>
          <c:order val="1"/>
          <c:tx>
            <c:strRef>
              <c:f>'12-VARIACIONES DESTACADAS'!$E$1</c:f>
              <c:strCache>
                <c:ptCount val="1"/>
                <c:pt idx="0">
                  <c:v>COSTO UNITARIO DESPUES DE ASIGNACION DE COSTOS ABC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CB9-4129-A1B0-27581526B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('12-VARIACIONES DESTACADAS'!$A$2,'12-VARIACIONES DESTACADAS'!$A$5,'12-VARIACIONES DESTACADAS'!$A$8,'12-VARIACIONES DESTACADAS'!$A$11,'12-VARIACIONES DESTACADAS'!$A$14,'12-VARIACIONES DESTACADAS'!$A$17,'12-VARIACIONES DESTACADAS'!$A$20,'12-VARIACIONES DESTACADAS'!$A$23,'12-VARIACIONES DESTACADAS'!$A$26,'12-VARIACIONES DESTACADAS'!$A$29,'12-VARIACIONES DESTACADAS'!$A$32,'12-VARIACIONES DESTACADAS'!$A$36,'12-VARIACIONES DESTACADAS'!$A$39,'12-VARIACIONES DESTACADAS'!$A$42)</c:f>
              <c:numCache>
                <c:formatCode>General</c:formatCode>
                <c:ptCount val="14"/>
                <c:pt idx="0">
                  <c:v>621</c:v>
                </c:pt>
                <c:pt idx="1">
                  <c:v>974</c:v>
                </c:pt>
                <c:pt idx="2">
                  <c:v>171</c:v>
                </c:pt>
                <c:pt idx="3">
                  <c:v>3168</c:v>
                </c:pt>
                <c:pt idx="4">
                  <c:v>166</c:v>
                </c:pt>
                <c:pt idx="5">
                  <c:v>998</c:v>
                </c:pt>
                <c:pt idx="6">
                  <c:v>43</c:v>
                </c:pt>
                <c:pt idx="7">
                  <c:v>402</c:v>
                </c:pt>
                <c:pt idx="8">
                  <c:v>600</c:v>
                </c:pt>
                <c:pt idx="9">
                  <c:v>918</c:v>
                </c:pt>
                <c:pt idx="10">
                  <c:v>2025</c:v>
                </c:pt>
                <c:pt idx="11">
                  <c:v>3320</c:v>
                </c:pt>
                <c:pt idx="12">
                  <c:v>526</c:v>
                </c:pt>
                <c:pt idx="13">
                  <c:v>1230</c:v>
                </c:pt>
              </c:numCache>
            </c:numRef>
          </c:cat>
          <c:val>
            <c:numRef>
              <c:f>('12-VARIACIONES DESTACADAS'!$E$2,'12-VARIACIONES DESTACADAS'!$E$5,'12-VARIACIONES DESTACADAS'!$E$8,'12-VARIACIONES DESTACADAS'!$E$11,'12-VARIACIONES DESTACADAS'!$E$14,'12-VARIACIONES DESTACADAS'!$E$17,'12-VARIACIONES DESTACADAS'!$E$20,'12-VARIACIONES DESTACADAS'!$E$23,'12-VARIACIONES DESTACADAS'!$E$26,'12-VARIACIONES DESTACADAS'!$E$29,'12-VARIACIONES DESTACADAS'!$E$32,'12-VARIACIONES DESTACADAS'!$E$36,'12-VARIACIONES DESTACADAS'!$E$39,'12-VARIACIONES DESTACADAS'!$E$42)</c:f>
              <c:numCache>
                <c:formatCode>"$"\ #,##0</c:formatCode>
                <c:ptCount val="14"/>
                <c:pt idx="0">
                  <c:v>5643.2472552950221</c:v>
                </c:pt>
                <c:pt idx="1">
                  <c:v>2352.3077717349788</c:v>
                </c:pt>
                <c:pt idx="2">
                  <c:v>21640.240162900951</c:v>
                </c:pt>
                <c:pt idx="3">
                  <c:v>5556.8242760454195</c:v>
                </c:pt>
                <c:pt idx="4">
                  <c:v>750.21398834346542</c:v>
                </c:pt>
                <c:pt idx="5">
                  <c:v>7893.1506972194929</c:v>
                </c:pt>
                <c:pt idx="6">
                  <c:v>94827.011286724926</c:v>
                </c:pt>
                <c:pt idx="7">
                  <c:v>274.08893165237447</c:v>
                </c:pt>
                <c:pt idx="8">
                  <c:v>2372.6113975717485</c:v>
                </c:pt>
                <c:pt idx="9">
                  <c:v>27039.808276931613</c:v>
                </c:pt>
                <c:pt idx="10">
                  <c:v>1994.7860650303962</c:v>
                </c:pt>
                <c:pt idx="11">
                  <c:v>1354.3456923089298</c:v>
                </c:pt>
                <c:pt idx="12">
                  <c:v>596.77273757382102</c:v>
                </c:pt>
                <c:pt idx="13">
                  <c:v>2754.59016290095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9-4129-A1B0-27581526B0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7395407"/>
        <c:axId val="397395823"/>
      </c:barChart>
      <c:catAx>
        <c:axId val="397395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7395823"/>
        <c:crosses val="autoZero"/>
        <c:auto val="1"/>
        <c:lblAlgn val="ctr"/>
        <c:lblOffset val="100"/>
        <c:noMultiLvlLbl val="0"/>
      </c:catAx>
      <c:valAx>
        <c:axId val="39739582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" sourceLinked="1"/>
        <c:majorTickMark val="out"/>
        <c:minorTickMark val="none"/>
        <c:tickLblPos val="nextTo"/>
        <c:crossAx val="397395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7712667243561606E-2"/>
          <c:y val="4.0001517060439855E-2"/>
          <c:w val="0.21207294343362743"/>
          <c:h val="0.25982986207730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sz="1800" b="1">
                <a:solidFill>
                  <a:schemeClr val="tx1"/>
                </a:solidFill>
              </a:rPr>
              <a:t>VARIACION UTILIDADES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'10-ASIGNACION AL PRODUCTO'!$J$3</c:f>
              <c:strCache>
                <c:ptCount val="1"/>
                <c:pt idx="0">
                  <c:v>UTILIDAD ANTES DE ASIGNAICON DE COSTOS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'10-ASIGNACION AL PRODUCTO'!$A$5:$A$13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'10-ASIGNACION AL PRODUCTO'!$J$5:$J$13</c:f>
              <c:numCache>
                <c:formatCode>"$"\ #,##0</c:formatCode>
                <c:ptCount val="9"/>
                <c:pt idx="0">
                  <c:v>77583.333333333023</c:v>
                </c:pt>
                <c:pt idx="1">
                  <c:v>261800</c:v>
                </c:pt>
                <c:pt idx="2">
                  <c:v>40000</c:v>
                </c:pt>
                <c:pt idx="3">
                  <c:v>258300</c:v>
                </c:pt>
                <c:pt idx="4">
                  <c:v>134400</c:v>
                </c:pt>
                <c:pt idx="5">
                  <c:v>2971820</c:v>
                </c:pt>
                <c:pt idx="6">
                  <c:v>27507.039999999979</c:v>
                </c:pt>
                <c:pt idx="7">
                  <c:v>836360</c:v>
                </c:pt>
                <c:pt idx="8">
                  <c:v>488000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5-4AD8-8C90-C1E5678D1404}"/>
            </c:ext>
          </c:extLst>
        </c:ser>
        <c:ser>
          <c:idx val="1"/>
          <c:order val="1"/>
          <c:tx>
            <c:strRef>
              <c:f>'10-ASIGNACION AL PRODUCTO'!$P$3</c:f>
              <c:strCache>
                <c:ptCount val="1"/>
                <c:pt idx="0">
                  <c:v>UTILIDAD DESPUES DE ASIGNACION DE COSTOS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295854870015889E-17"/>
                  <c:y val="0.126984102567159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65-4AD8-8C90-C1E5678D1404}"/>
                </c:ext>
              </c:extLst>
            </c:dLbl>
            <c:dLbl>
              <c:idx val="1"/>
              <c:layout>
                <c:manualLayout>
                  <c:x val="1.3413814813942467E-3"/>
                  <c:y val="0.13186810651205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65-4AD8-8C90-C1E5678D1404}"/>
                </c:ext>
              </c:extLst>
            </c:dLbl>
            <c:dLbl>
              <c:idx val="2"/>
              <c:layout>
                <c:manualLayout>
                  <c:x val="0"/>
                  <c:y val="0.134310108484495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65-4AD8-8C90-C1E5678D1404}"/>
                </c:ext>
              </c:extLst>
            </c:dLbl>
            <c:dLbl>
              <c:idx val="3"/>
              <c:layout>
                <c:manualLayout>
                  <c:x val="-4.9183419480063558E-17"/>
                  <c:y val="0.139194112429386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65-4AD8-8C90-C1E5678D1404}"/>
                </c:ext>
              </c:extLst>
            </c:dLbl>
            <c:dLbl>
              <c:idx val="6"/>
              <c:layout>
                <c:manualLayout>
                  <c:x val="0"/>
                  <c:y val="0.134310300768115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65-4AD8-8C90-C1E5678D1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'10-ASIGNACION AL PRODUCTO'!$A$5:$A$13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'10-ASIGNACION AL PRODUCTO'!$P$5:$P$13</c:f>
              <c:numCache>
                <c:formatCode>[$$-240A]\ #,##0</c:formatCode>
                <c:ptCount val="9"/>
                <c:pt idx="0">
                  <c:v>-28610.914974615443</c:v>
                </c:pt>
                <c:pt idx="1">
                  <c:v>-152655.82956505846</c:v>
                </c:pt>
                <c:pt idx="2">
                  <c:v>-66194.248307948466</c:v>
                </c:pt>
                <c:pt idx="3">
                  <c:v>-156155.82956505846</c:v>
                </c:pt>
                <c:pt idx="4">
                  <c:v>28205.75169205165</c:v>
                </c:pt>
                <c:pt idx="5">
                  <c:v>2865625.7516920492</c:v>
                </c:pt>
                <c:pt idx="6">
                  <c:v>-78687.208307948458</c:v>
                </c:pt>
                <c:pt idx="7">
                  <c:v>421904.170434942</c:v>
                </c:pt>
                <c:pt idx="8">
                  <c:v>381805.75169205153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5-4AD8-8C90-C1E5678D14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10718207"/>
        <c:axId val="1210714047"/>
      </c:barChart>
      <c:catAx>
        <c:axId val="12107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10714047"/>
        <c:crosses val="autoZero"/>
        <c:auto val="1"/>
        <c:lblAlgn val="ctr"/>
        <c:lblOffset val="100"/>
        <c:noMultiLvlLbl val="0"/>
      </c:catAx>
      <c:valAx>
        <c:axId val="1210714047"/>
        <c:scaling>
          <c:orientation val="minMax"/>
        </c:scaling>
        <c:delete val="1"/>
        <c:axPos val="l"/>
        <c:numFmt formatCode="&quot;$&quot;\ #,##0" sourceLinked="1"/>
        <c:majorTickMark val="none"/>
        <c:minorTickMark val="none"/>
        <c:tickLblPos val="nextTo"/>
        <c:crossAx val="121071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6493812587460446E-2"/>
          <c:y val="8.4322328108538722E-2"/>
          <c:w val="0.22302854153492699"/>
          <c:h val="0.28785127092742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08-DIRECCIONAMIENTO'!A1"/><Relationship Id="rId3" Type="http://schemas.openxmlformats.org/officeDocument/2006/relationships/hyperlink" Target="#'03-INVENTARIO'!A1"/><Relationship Id="rId7" Type="http://schemas.openxmlformats.org/officeDocument/2006/relationships/hyperlink" Target="#'07-CONSUMO DE RECURSOS'!A1"/><Relationship Id="rId2" Type="http://schemas.openxmlformats.org/officeDocument/2006/relationships/hyperlink" Target="#'02-INDUCTORES'!A1"/><Relationship Id="rId1" Type="http://schemas.openxmlformats.org/officeDocument/2006/relationships/hyperlink" Target="#'01-ACTIVIDADES'!A1"/><Relationship Id="rId6" Type="http://schemas.openxmlformats.org/officeDocument/2006/relationships/hyperlink" Target="#'06-CIC'!A1"/><Relationship Id="rId11" Type="http://schemas.openxmlformats.org/officeDocument/2006/relationships/hyperlink" Target="#'11-GRAFICAS'!A1"/><Relationship Id="rId5" Type="http://schemas.openxmlformats.org/officeDocument/2006/relationships/hyperlink" Target="#'05-EQUIPOS'!A1"/><Relationship Id="rId10" Type="http://schemas.openxmlformats.org/officeDocument/2006/relationships/hyperlink" Target="#'10-ASIGNACION AL PRODUCTO'!A1"/><Relationship Id="rId4" Type="http://schemas.openxmlformats.org/officeDocument/2006/relationships/hyperlink" Target="#'04-MO'!A1"/><Relationship Id="rId9" Type="http://schemas.openxmlformats.org/officeDocument/2006/relationships/hyperlink" Target="#'09-RESUMEN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11-GRAFICAS'!A1"/><Relationship Id="rId1" Type="http://schemas.openxmlformats.org/officeDocument/2006/relationships/hyperlink" Target="#PRESENTA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RESENTACION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11-GRAFICAS'!A1"/><Relationship Id="rId1" Type="http://schemas.openxmlformats.org/officeDocument/2006/relationships/hyperlink" Target="#PRESENTA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RESENTA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RESENTACION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06-CIC'!B9"/><Relationship Id="rId2" Type="http://schemas.openxmlformats.org/officeDocument/2006/relationships/hyperlink" Target="#'06-CIC'!B57:B104"/><Relationship Id="rId1" Type="http://schemas.openxmlformats.org/officeDocument/2006/relationships/hyperlink" Target="#PRESENTACION!A1"/><Relationship Id="rId5" Type="http://schemas.openxmlformats.org/officeDocument/2006/relationships/hyperlink" Target="#'06-CIC'!B109:B156"/><Relationship Id="rId4" Type="http://schemas.openxmlformats.org/officeDocument/2006/relationships/hyperlink" Target="#'06-CIC'!B161:B23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ESENTA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RESENTACION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11-GRAFICAS'!A1"/><Relationship Id="rId2" Type="http://schemas.openxmlformats.org/officeDocument/2006/relationships/image" Target="../media/image1.emf"/><Relationship Id="rId1" Type="http://schemas.openxmlformats.org/officeDocument/2006/relationships/hyperlink" Target="#PRESENTA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RESENTACION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2.xml"/><Relationship Id="rId7" Type="http://schemas.openxmlformats.org/officeDocument/2006/relationships/hyperlink" Target="#'12-VARIACIONES DESTACADAS'!A1"/><Relationship Id="rId2" Type="http://schemas.openxmlformats.org/officeDocument/2006/relationships/chart" Target="../charts/chart1.xml"/><Relationship Id="rId1" Type="http://schemas.openxmlformats.org/officeDocument/2006/relationships/hyperlink" Target="#PRESENTACION!A1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09-RESUMEN'!A1"/><Relationship Id="rId1" Type="http://schemas.openxmlformats.org/officeDocument/2006/relationships/hyperlink" Target="#'11-GRAFIC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31102</xdr:rowOff>
    </xdr:from>
    <xdr:to>
      <xdr:col>13</xdr:col>
      <xdr:colOff>502897</xdr:colOff>
      <xdr:row>3</xdr:row>
      <xdr:rowOff>53877</xdr:rowOff>
    </xdr:to>
    <xdr:sp macro="" textlink="">
      <xdr:nvSpPr>
        <xdr:cNvPr id="2" name="Diagrama de flujo: terminado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FEBEC5-E630-4CB9-B191-6D47EC7CDAFD}"/>
            </a:ext>
          </a:extLst>
        </xdr:cNvPr>
        <xdr:cNvSpPr/>
      </xdr:nvSpPr>
      <xdr:spPr>
        <a:xfrm>
          <a:off x="9517224" y="217714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ACTIVIDADES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0</xdr:colOff>
      <xdr:row>3</xdr:row>
      <xdr:rowOff>157238</xdr:rowOff>
    </xdr:from>
    <xdr:to>
      <xdr:col>13</xdr:col>
      <xdr:colOff>502897</xdr:colOff>
      <xdr:row>5</xdr:row>
      <xdr:rowOff>180014</xdr:rowOff>
    </xdr:to>
    <xdr:sp macro="" textlink="">
      <xdr:nvSpPr>
        <xdr:cNvPr id="3" name="Diagrama de flujo: terminado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C383CD-9547-4B9E-8926-31909E3A902E}"/>
            </a:ext>
          </a:extLst>
        </xdr:cNvPr>
        <xdr:cNvSpPr/>
      </xdr:nvSpPr>
      <xdr:spPr>
        <a:xfrm>
          <a:off x="9517224" y="717075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INDUCTORES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0</xdr:colOff>
      <xdr:row>6</xdr:row>
      <xdr:rowOff>96763</xdr:rowOff>
    </xdr:from>
    <xdr:to>
      <xdr:col>13</xdr:col>
      <xdr:colOff>502897</xdr:colOff>
      <xdr:row>8</xdr:row>
      <xdr:rowOff>119538</xdr:rowOff>
    </xdr:to>
    <xdr:sp macro="" textlink="">
      <xdr:nvSpPr>
        <xdr:cNvPr id="4" name="Diagrama de flujo: terminador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382F08-3A2A-4450-84C7-038E33CC0320}"/>
            </a:ext>
          </a:extLst>
        </xdr:cNvPr>
        <xdr:cNvSpPr/>
      </xdr:nvSpPr>
      <xdr:spPr>
        <a:xfrm>
          <a:off x="9517224" y="1216436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INVENTARIO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0</xdr:colOff>
      <xdr:row>9</xdr:row>
      <xdr:rowOff>36287</xdr:rowOff>
    </xdr:from>
    <xdr:to>
      <xdr:col>13</xdr:col>
      <xdr:colOff>502897</xdr:colOff>
      <xdr:row>11</xdr:row>
      <xdr:rowOff>59062</xdr:rowOff>
    </xdr:to>
    <xdr:sp macro="" textlink="">
      <xdr:nvSpPr>
        <xdr:cNvPr id="5" name="Diagrama de flujo: terminador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4FAB82-12F2-4D6F-8ED4-F4AC1B352160}"/>
            </a:ext>
          </a:extLst>
        </xdr:cNvPr>
        <xdr:cNvSpPr/>
      </xdr:nvSpPr>
      <xdr:spPr>
        <a:xfrm>
          <a:off x="9517224" y="1715797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MANO DE OBRA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0</xdr:colOff>
      <xdr:row>11</xdr:row>
      <xdr:rowOff>162423</xdr:rowOff>
    </xdr:from>
    <xdr:to>
      <xdr:col>13</xdr:col>
      <xdr:colOff>502897</xdr:colOff>
      <xdr:row>13</xdr:row>
      <xdr:rowOff>185199</xdr:rowOff>
    </xdr:to>
    <xdr:sp macro="" textlink="">
      <xdr:nvSpPr>
        <xdr:cNvPr id="6" name="Diagrama de flujo: terminador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AE422D-E058-4A31-A10A-2D1A8656852A}"/>
            </a:ext>
          </a:extLst>
        </xdr:cNvPr>
        <xdr:cNvSpPr/>
      </xdr:nvSpPr>
      <xdr:spPr>
        <a:xfrm>
          <a:off x="9517224" y="2215158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EQUIPOS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0</xdr:colOff>
      <xdr:row>14</xdr:row>
      <xdr:rowOff>101948</xdr:rowOff>
    </xdr:from>
    <xdr:to>
      <xdr:col>13</xdr:col>
      <xdr:colOff>502897</xdr:colOff>
      <xdr:row>16</xdr:row>
      <xdr:rowOff>124723</xdr:rowOff>
    </xdr:to>
    <xdr:sp macro="" textlink="">
      <xdr:nvSpPr>
        <xdr:cNvPr id="7" name="Diagrama de flujo: terminador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FA1B762-C89E-48CC-9F8D-FD5289B415A1}"/>
            </a:ext>
          </a:extLst>
        </xdr:cNvPr>
        <xdr:cNvSpPr/>
      </xdr:nvSpPr>
      <xdr:spPr>
        <a:xfrm>
          <a:off x="9517224" y="2714519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CIC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1</xdr:row>
      <xdr:rowOff>31102</xdr:rowOff>
    </xdr:from>
    <xdr:to>
      <xdr:col>15</xdr:col>
      <xdr:colOff>502898</xdr:colOff>
      <xdr:row>3</xdr:row>
      <xdr:rowOff>53877</xdr:rowOff>
    </xdr:to>
    <xdr:sp macro="" textlink="">
      <xdr:nvSpPr>
        <xdr:cNvPr id="8" name="Diagrama de flujo: terminador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478A591-8DC9-4CF4-84AB-D1945F72A943}"/>
            </a:ext>
          </a:extLst>
        </xdr:cNvPr>
        <xdr:cNvSpPr/>
      </xdr:nvSpPr>
      <xdr:spPr>
        <a:xfrm>
          <a:off x="11103429" y="217714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COMSUMO RECURSOS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3</xdr:row>
      <xdr:rowOff>157238</xdr:rowOff>
    </xdr:from>
    <xdr:to>
      <xdr:col>15</xdr:col>
      <xdr:colOff>502898</xdr:colOff>
      <xdr:row>5</xdr:row>
      <xdr:rowOff>180014</xdr:rowOff>
    </xdr:to>
    <xdr:sp macro="" textlink="">
      <xdr:nvSpPr>
        <xdr:cNvPr id="9" name="Diagrama de flujo: terminado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B474D1D-7AAD-46E6-B2E9-D4ADB5C26707}"/>
            </a:ext>
          </a:extLst>
        </xdr:cNvPr>
        <xdr:cNvSpPr/>
      </xdr:nvSpPr>
      <xdr:spPr>
        <a:xfrm>
          <a:off x="11103429" y="717075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DIRECCIONAMIENTO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6</xdr:row>
      <xdr:rowOff>96763</xdr:rowOff>
    </xdr:from>
    <xdr:to>
      <xdr:col>15</xdr:col>
      <xdr:colOff>502898</xdr:colOff>
      <xdr:row>8</xdr:row>
      <xdr:rowOff>119538</xdr:rowOff>
    </xdr:to>
    <xdr:sp macro="" textlink="">
      <xdr:nvSpPr>
        <xdr:cNvPr id="10" name="Diagrama de flujo: terminador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A266119-05E1-4320-B880-38563995FE79}"/>
            </a:ext>
          </a:extLst>
        </xdr:cNvPr>
        <xdr:cNvSpPr/>
      </xdr:nvSpPr>
      <xdr:spPr>
        <a:xfrm>
          <a:off x="11103429" y="1216436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RESUMEN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9</xdr:row>
      <xdr:rowOff>36287</xdr:rowOff>
    </xdr:from>
    <xdr:to>
      <xdr:col>15</xdr:col>
      <xdr:colOff>502898</xdr:colOff>
      <xdr:row>11</xdr:row>
      <xdr:rowOff>59062</xdr:rowOff>
    </xdr:to>
    <xdr:sp macro="" textlink="">
      <xdr:nvSpPr>
        <xdr:cNvPr id="11" name="Diagrama de flujo: terminador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308A96D-86CE-4267-91C1-2C3E30F1DE49}"/>
            </a:ext>
          </a:extLst>
        </xdr:cNvPr>
        <xdr:cNvSpPr/>
      </xdr:nvSpPr>
      <xdr:spPr>
        <a:xfrm>
          <a:off x="11103429" y="1715797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ASIGNACION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502898</xdr:colOff>
      <xdr:row>14</xdr:row>
      <xdr:rowOff>22776</xdr:rowOff>
    </xdr:to>
    <xdr:sp macro="" textlink="">
      <xdr:nvSpPr>
        <xdr:cNvPr id="14" name="Diagrama de flujo: terminador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D98948B-D4A6-45CD-B094-46EDD1D806E7}"/>
            </a:ext>
          </a:extLst>
        </xdr:cNvPr>
        <xdr:cNvSpPr/>
      </xdr:nvSpPr>
      <xdr:spPr>
        <a:xfrm>
          <a:off x="11103429" y="2239347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GRAFICAS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558800</xdr:colOff>
      <xdr:row>1</xdr:row>
      <xdr:rowOff>12700</xdr:rowOff>
    </xdr:from>
    <xdr:to>
      <xdr:col>8</xdr:col>
      <xdr:colOff>220600</xdr:colOff>
      <xdr:row>2</xdr:row>
      <xdr:rowOff>366500</xdr:rowOff>
    </xdr:to>
    <xdr:sp macro="" textlink="">
      <xdr:nvSpPr>
        <xdr:cNvPr id="3" name="Flecha: hacia l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2DBD28-EB64-4ABF-8B85-8DD1335720F7}"/>
            </a:ext>
          </a:extLst>
        </xdr:cNvPr>
        <xdr:cNvSpPr/>
      </xdr:nvSpPr>
      <xdr:spPr>
        <a:xfrm>
          <a:off x="11188700" y="12700"/>
          <a:ext cx="1236600" cy="734800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  <xdr:twoCellAnchor>
    <xdr:from>
      <xdr:col>6</xdr:col>
      <xdr:colOff>609600</xdr:colOff>
      <xdr:row>3</xdr:row>
      <xdr:rowOff>88900</xdr:rowOff>
    </xdr:from>
    <xdr:to>
      <xdr:col>8</xdr:col>
      <xdr:colOff>304800</xdr:colOff>
      <xdr:row>6</xdr:row>
      <xdr:rowOff>101600</xdr:rowOff>
    </xdr:to>
    <xdr:sp macro="" textlink="">
      <xdr:nvSpPr>
        <xdr:cNvPr id="2" name="Rectángulo: esquinas redondeada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F0224A-2F6C-47CF-A33F-E4D89B62B070}"/>
            </a:ext>
          </a:extLst>
        </xdr:cNvPr>
        <xdr:cNvSpPr/>
      </xdr:nvSpPr>
      <xdr:spPr>
        <a:xfrm>
          <a:off x="11239500" y="838200"/>
          <a:ext cx="1270000" cy="546100"/>
        </a:xfrm>
        <a:prstGeom prst="roundRect">
          <a:avLst/>
        </a:prstGeom>
        <a:scene3d>
          <a:camera prst="perspectiveBelow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GRAFICAS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779929</xdr:colOff>
      <xdr:row>1</xdr:row>
      <xdr:rowOff>161364</xdr:rowOff>
    </xdr:from>
    <xdr:to>
      <xdr:col>6</xdr:col>
      <xdr:colOff>210141</xdr:colOff>
      <xdr:row>4</xdr:row>
      <xdr:rowOff>199482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A7364D-E48A-4C8D-B683-1E64A8E905F9}"/>
            </a:ext>
          </a:extLst>
        </xdr:cNvPr>
        <xdr:cNvSpPr/>
      </xdr:nvSpPr>
      <xdr:spPr>
        <a:xfrm>
          <a:off x="5836023" y="161364"/>
          <a:ext cx="1008000" cy="576000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642999</xdr:colOff>
      <xdr:row>1</xdr:row>
      <xdr:rowOff>160867</xdr:rowOff>
    </xdr:from>
    <xdr:to>
      <xdr:col>11</xdr:col>
      <xdr:colOff>95266</xdr:colOff>
      <xdr:row>5</xdr:row>
      <xdr:rowOff>99800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D93BF2-3B9E-4FF8-B277-AA98BCA8B210}"/>
            </a:ext>
          </a:extLst>
        </xdr:cNvPr>
        <xdr:cNvSpPr/>
      </xdr:nvSpPr>
      <xdr:spPr>
        <a:xfrm>
          <a:off x="13342999" y="160867"/>
          <a:ext cx="1044000" cy="684000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  <xdr:twoCellAnchor>
    <xdr:from>
      <xdr:col>11</xdr:col>
      <xdr:colOff>295275</xdr:colOff>
      <xdr:row>2</xdr:row>
      <xdr:rowOff>114300</xdr:rowOff>
    </xdr:from>
    <xdr:to>
      <xdr:col>11</xdr:col>
      <xdr:colOff>1591275</xdr:colOff>
      <xdr:row>4</xdr:row>
      <xdr:rowOff>148350</xdr:rowOff>
    </xdr:to>
    <xdr:sp macro="" textlink="">
      <xdr:nvSpPr>
        <xdr:cNvPr id="3" name="Diagrama de flujo: terminado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FD4358-6068-49B2-B3E9-AC84F7EAE7F7}"/>
            </a:ext>
          </a:extLst>
        </xdr:cNvPr>
        <xdr:cNvSpPr/>
      </xdr:nvSpPr>
      <xdr:spPr>
        <a:xfrm>
          <a:off x="14868525" y="295275"/>
          <a:ext cx="1296000" cy="396000"/>
        </a:xfrm>
        <a:prstGeom prst="flowChartTerminator">
          <a:avLst/>
        </a:prstGeom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GRAFICAS</a:t>
          </a:r>
        </a:p>
        <a:p>
          <a:pPr algn="ctr"/>
          <a:endParaRPr lang="es-CO" sz="1100" b="1">
            <a:solidFill>
              <a:sysClr val="windowText" lastClr="000000"/>
            </a:solidFill>
          </a:endParaRPr>
        </a:p>
        <a:p>
          <a:pPr algn="ctr"/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1463040</xdr:colOff>
      <xdr:row>2</xdr:row>
      <xdr:rowOff>60960</xdr:rowOff>
    </xdr:from>
    <xdr:to>
      <xdr:col>9</xdr:col>
      <xdr:colOff>373440</xdr:colOff>
      <xdr:row>5</xdr:row>
      <xdr:rowOff>59160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7BD596-249D-475C-8A4D-D071826D4CBE}"/>
            </a:ext>
          </a:extLst>
        </xdr:cNvPr>
        <xdr:cNvSpPr/>
      </xdr:nvSpPr>
      <xdr:spPr>
        <a:xfrm>
          <a:off x="16550640" y="431074"/>
          <a:ext cx="1044000" cy="684000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320040</xdr:colOff>
      <xdr:row>2</xdr:row>
      <xdr:rowOff>0</xdr:rowOff>
    </xdr:from>
    <xdr:to>
      <xdr:col>12</xdr:col>
      <xdr:colOff>335280</xdr:colOff>
      <xdr:row>5</xdr:row>
      <xdr:rowOff>135360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05D6D8-D7BD-44A2-B0C9-18F05CD31F9F}"/>
            </a:ext>
          </a:extLst>
        </xdr:cNvPr>
        <xdr:cNvSpPr/>
      </xdr:nvSpPr>
      <xdr:spPr>
        <a:xfrm>
          <a:off x="22494240" y="365760"/>
          <a:ext cx="1173480" cy="684000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2230582</xdr:colOff>
      <xdr:row>0</xdr:row>
      <xdr:rowOff>152400</xdr:rowOff>
    </xdr:from>
    <xdr:to>
      <xdr:col>5</xdr:col>
      <xdr:colOff>3404062</xdr:colOff>
      <xdr:row>4</xdr:row>
      <xdr:rowOff>115964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EEC8D8-7817-4C2B-8FB4-62B2201010A9}"/>
            </a:ext>
          </a:extLst>
        </xdr:cNvPr>
        <xdr:cNvSpPr/>
      </xdr:nvSpPr>
      <xdr:spPr>
        <a:xfrm>
          <a:off x="12593782" y="152400"/>
          <a:ext cx="1173480" cy="684000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  <xdr:twoCellAnchor>
    <xdr:from>
      <xdr:col>7</xdr:col>
      <xdr:colOff>249382</xdr:colOff>
      <xdr:row>5</xdr:row>
      <xdr:rowOff>41564</xdr:rowOff>
    </xdr:from>
    <xdr:to>
      <xdr:col>7</xdr:col>
      <xdr:colOff>2022763</xdr:colOff>
      <xdr:row>8</xdr:row>
      <xdr:rowOff>83127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FE0B34-0791-47F2-9C1D-34752E23A923}"/>
            </a:ext>
          </a:extLst>
        </xdr:cNvPr>
        <xdr:cNvSpPr/>
      </xdr:nvSpPr>
      <xdr:spPr>
        <a:xfrm>
          <a:off x="15877309" y="942109"/>
          <a:ext cx="1773381" cy="581891"/>
        </a:xfrm>
        <a:prstGeom prst="roundRect">
          <a:avLst/>
        </a:prstGeom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SERVICIO DE ACUEDUCTO</a:t>
          </a:r>
        </a:p>
      </xdr:txBody>
    </xdr:sp>
    <xdr:clientData/>
  </xdr:twoCellAnchor>
  <xdr:twoCellAnchor>
    <xdr:from>
      <xdr:col>7</xdr:col>
      <xdr:colOff>249382</xdr:colOff>
      <xdr:row>1</xdr:row>
      <xdr:rowOff>55418</xdr:rowOff>
    </xdr:from>
    <xdr:to>
      <xdr:col>7</xdr:col>
      <xdr:colOff>2022763</xdr:colOff>
      <xdr:row>4</xdr:row>
      <xdr:rowOff>96982</xdr:rowOff>
    </xdr:to>
    <xdr:sp macro="" textlink="">
      <xdr:nvSpPr>
        <xdr:cNvPr id="3" name="Rectángulo: esquinas redondeada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DFF3C3-A12B-4812-98E4-D69484FF49BB}"/>
            </a:ext>
          </a:extLst>
        </xdr:cNvPr>
        <xdr:cNvSpPr/>
      </xdr:nvSpPr>
      <xdr:spPr>
        <a:xfrm>
          <a:off x="15877309" y="235527"/>
          <a:ext cx="1773381" cy="581891"/>
        </a:xfrm>
        <a:prstGeom prst="roundRect">
          <a:avLst/>
        </a:prstGeom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ARRENDAMIENTO</a:t>
          </a:r>
        </a:p>
      </xdr:txBody>
    </xdr:sp>
    <xdr:clientData/>
  </xdr:twoCellAnchor>
  <xdr:twoCellAnchor>
    <xdr:from>
      <xdr:col>7</xdr:col>
      <xdr:colOff>2292928</xdr:colOff>
      <xdr:row>5</xdr:row>
      <xdr:rowOff>41564</xdr:rowOff>
    </xdr:from>
    <xdr:to>
      <xdr:col>8</xdr:col>
      <xdr:colOff>1752600</xdr:colOff>
      <xdr:row>8</xdr:row>
      <xdr:rowOff>83127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4C5958-F2C3-4EA4-8C03-F31EDD514AF5}"/>
            </a:ext>
          </a:extLst>
        </xdr:cNvPr>
        <xdr:cNvSpPr/>
      </xdr:nvSpPr>
      <xdr:spPr>
        <a:xfrm>
          <a:off x="17920855" y="942109"/>
          <a:ext cx="1773381" cy="581891"/>
        </a:xfrm>
        <a:prstGeom prst="roundRect">
          <a:avLst/>
        </a:prstGeom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SERVICIOS TEMPORALES</a:t>
          </a:r>
        </a:p>
      </xdr:txBody>
    </xdr:sp>
    <xdr:clientData/>
  </xdr:twoCellAnchor>
  <xdr:twoCellAnchor>
    <xdr:from>
      <xdr:col>7</xdr:col>
      <xdr:colOff>2292928</xdr:colOff>
      <xdr:row>1</xdr:row>
      <xdr:rowOff>55418</xdr:rowOff>
    </xdr:from>
    <xdr:to>
      <xdr:col>8</xdr:col>
      <xdr:colOff>1752600</xdr:colOff>
      <xdr:row>4</xdr:row>
      <xdr:rowOff>96982</xdr:rowOff>
    </xdr:to>
    <xdr:sp macro="" textlink="">
      <xdr:nvSpPr>
        <xdr:cNvPr id="5" name="Rectángulo: esquinas redondeada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EE1AEDD-6E99-41D1-AB97-FD3BFCA9E524}"/>
            </a:ext>
          </a:extLst>
        </xdr:cNvPr>
        <xdr:cNvSpPr/>
      </xdr:nvSpPr>
      <xdr:spPr>
        <a:xfrm>
          <a:off x="17920855" y="235527"/>
          <a:ext cx="1773381" cy="581891"/>
        </a:xfrm>
        <a:prstGeom prst="roundRect">
          <a:avLst/>
        </a:prstGeom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ELEMENTOS DE ASEO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119380</xdr:colOff>
      <xdr:row>1</xdr:row>
      <xdr:rowOff>684000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D7ECFC-2567-46BA-9C8B-4C95FD02CE1D}"/>
            </a:ext>
          </a:extLst>
        </xdr:cNvPr>
        <xdr:cNvSpPr/>
      </xdr:nvSpPr>
      <xdr:spPr>
        <a:xfrm>
          <a:off x="19646900" y="330200"/>
          <a:ext cx="1173480" cy="684000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48</xdr:row>
      <xdr:rowOff>21772</xdr:rowOff>
    </xdr:from>
    <xdr:to>
      <xdr:col>1</xdr:col>
      <xdr:colOff>10885</xdr:colOff>
      <xdr:row>52</xdr:row>
      <xdr:rowOff>21772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BB112CAC-7F3F-41AA-B48E-5F7A1F981612}"/>
            </a:ext>
          </a:extLst>
        </xdr:cNvPr>
        <xdr:cNvCxnSpPr/>
      </xdr:nvCxnSpPr>
      <xdr:spPr>
        <a:xfrm>
          <a:off x="798285" y="199572"/>
          <a:ext cx="1016000" cy="1663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883920</xdr:colOff>
      <xdr:row>1</xdr:row>
      <xdr:rowOff>344700</xdr:rowOff>
    </xdr:from>
    <xdr:to>
      <xdr:col>25</xdr:col>
      <xdr:colOff>0</xdr:colOff>
      <xdr:row>2</xdr:row>
      <xdr:rowOff>495300</xdr:rowOff>
    </xdr:to>
    <xdr:sp macro="" textlink="">
      <xdr:nvSpPr>
        <xdr:cNvPr id="3" name="Flecha: hacia l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AE4DE3-8F4C-492A-A674-26625B75A86C}"/>
            </a:ext>
          </a:extLst>
        </xdr:cNvPr>
        <xdr:cNvSpPr/>
      </xdr:nvSpPr>
      <xdr:spPr>
        <a:xfrm>
          <a:off x="32735520" y="344700"/>
          <a:ext cx="1173480" cy="684000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709385</xdr:colOff>
      <xdr:row>0</xdr:row>
      <xdr:rowOff>103413</xdr:rowOff>
    </xdr:from>
    <xdr:to>
      <xdr:col>11</xdr:col>
      <xdr:colOff>1206500</xdr:colOff>
      <xdr:row>3</xdr:row>
      <xdr:rowOff>50800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040308-C615-47E3-BDD2-F883EFD6860F}"/>
            </a:ext>
          </a:extLst>
        </xdr:cNvPr>
        <xdr:cNvSpPr/>
      </xdr:nvSpPr>
      <xdr:spPr>
        <a:xfrm>
          <a:off x="15593785" y="103413"/>
          <a:ext cx="1208315" cy="849087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  <xdr:twoCellAnchor editAs="oneCell">
    <xdr:from>
      <xdr:col>11</xdr:col>
      <xdr:colOff>19050</xdr:colOff>
      <xdr:row>6</xdr:row>
      <xdr:rowOff>9525</xdr:rowOff>
    </xdr:from>
    <xdr:to>
      <xdr:col>12</xdr:col>
      <xdr:colOff>26670</xdr:colOff>
      <xdr:row>7</xdr:row>
      <xdr:rowOff>19050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A65E1E9-D876-4E3E-8668-0162A352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8300" y="1276350"/>
          <a:ext cx="159829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</xdr:colOff>
      <xdr:row>4</xdr:row>
      <xdr:rowOff>66675</xdr:rowOff>
    </xdr:from>
    <xdr:to>
      <xdr:col>11</xdr:col>
      <xdr:colOff>1230540</xdr:colOff>
      <xdr:row>8</xdr:row>
      <xdr:rowOff>14062</xdr:rowOff>
    </xdr:to>
    <xdr:sp macro="" textlink="">
      <xdr:nvSpPr>
        <xdr:cNvPr id="14" name="Flecha: hacia la izquierda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7757F3-80A6-4F2D-A3AE-97BE3FDD8E86}"/>
            </a:ext>
          </a:extLst>
        </xdr:cNvPr>
        <xdr:cNvSpPr/>
      </xdr:nvSpPr>
      <xdr:spPr>
        <a:xfrm>
          <a:off x="16887825" y="971550"/>
          <a:ext cx="1201965" cy="671287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GRAFICAS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137160</xdr:colOff>
      <xdr:row>0</xdr:row>
      <xdr:rowOff>146580</xdr:rowOff>
    </xdr:from>
    <xdr:to>
      <xdr:col>20</xdr:col>
      <xdr:colOff>523240</xdr:colOff>
      <xdr:row>3</xdr:row>
      <xdr:rowOff>106680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D98920-21E4-42AB-9F3D-27D24C8C70D0}"/>
            </a:ext>
          </a:extLst>
        </xdr:cNvPr>
        <xdr:cNvSpPr/>
      </xdr:nvSpPr>
      <xdr:spPr>
        <a:xfrm>
          <a:off x="25176480" y="146580"/>
          <a:ext cx="1178560" cy="874500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682625</xdr:colOff>
      <xdr:row>0</xdr:row>
      <xdr:rowOff>101599</xdr:rowOff>
    </xdr:from>
    <xdr:to>
      <xdr:col>19</xdr:col>
      <xdr:colOff>658284</xdr:colOff>
      <xdr:row>3</xdr:row>
      <xdr:rowOff>80749</xdr:rowOff>
    </xdr:to>
    <xdr:sp macro="" textlink="">
      <xdr:nvSpPr>
        <xdr:cNvPr id="8" name="Flecha: hacia la izqui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DA78F-17DF-46EC-94C1-95659C711F95}"/>
            </a:ext>
          </a:extLst>
        </xdr:cNvPr>
        <xdr:cNvSpPr/>
      </xdr:nvSpPr>
      <xdr:spPr>
        <a:xfrm>
          <a:off x="15284450" y="101599"/>
          <a:ext cx="2642659" cy="522075"/>
        </a:xfrm>
        <a:prstGeom prst="leftArrow">
          <a:avLst/>
        </a:prstGeom>
        <a:solidFill>
          <a:schemeClr val="accent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  <xdr:twoCellAnchor>
    <xdr:from>
      <xdr:col>1</xdr:col>
      <xdr:colOff>77992</xdr:colOff>
      <xdr:row>18</xdr:row>
      <xdr:rowOff>133350</xdr:rowOff>
    </xdr:from>
    <xdr:to>
      <xdr:col>12</xdr:col>
      <xdr:colOff>857250</xdr:colOff>
      <xdr:row>38</xdr:row>
      <xdr:rowOff>134471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6DDE476-B460-4E40-BB53-01558159A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71718</xdr:colOff>
      <xdr:row>0</xdr:row>
      <xdr:rowOff>47624</xdr:rowOff>
    </xdr:from>
    <xdr:to>
      <xdr:col>12</xdr:col>
      <xdr:colOff>854765</xdr:colOff>
      <xdr:row>18</xdr:row>
      <xdr:rowOff>62753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79D0EFB-0F4D-4315-B104-4BC5FC0DC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168833</xdr:colOff>
      <xdr:row>67</xdr:row>
      <xdr:rowOff>19051</xdr:rowOff>
    </xdr:from>
    <xdr:to>
      <xdr:col>12</xdr:col>
      <xdr:colOff>857249</xdr:colOff>
      <xdr:row>89</xdr:row>
      <xdr:rowOff>98613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C8F96EE1-6D57-4B3B-B81A-016C8E439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152399</xdr:colOff>
      <xdr:row>90</xdr:row>
      <xdr:rowOff>0</xdr:rowOff>
    </xdr:from>
    <xdr:to>
      <xdr:col>12</xdr:col>
      <xdr:colOff>838200</xdr:colOff>
      <xdr:row>114</xdr:row>
      <xdr:rowOff>57150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15878366-6AE7-4B34-84BC-57BB7473D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117843</xdr:colOff>
      <xdr:row>39</xdr:row>
      <xdr:rowOff>54477</xdr:rowOff>
    </xdr:from>
    <xdr:to>
      <xdr:col>12</xdr:col>
      <xdr:colOff>838200</xdr:colOff>
      <xdr:row>66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F6A6CA1-98D3-4195-BBFE-5BFF15A67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436789</xdr:colOff>
      <xdr:row>123</xdr:row>
      <xdr:rowOff>125187</xdr:rowOff>
    </xdr:from>
    <xdr:to>
      <xdr:col>15</xdr:col>
      <xdr:colOff>687161</xdr:colOff>
      <xdr:row>127</xdr:row>
      <xdr:rowOff>56246</xdr:rowOff>
    </xdr:to>
    <xdr:sp macro="" textlink="">
      <xdr:nvSpPr>
        <xdr:cNvPr id="11" name="Flecha: hacia la izquierda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3A88FEE-30F2-4D26-8AD3-21DD99AFAEE5}"/>
            </a:ext>
          </a:extLst>
        </xdr:cNvPr>
        <xdr:cNvSpPr/>
      </xdr:nvSpPr>
      <xdr:spPr>
        <a:xfrm>
          <a:off x="11800114" y="22385112"/>
          <a:ext cx="2698297" cy="654959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VARIACIONES</a:t>
          </a:r>
        </a:p>
      </xdr:txBody>
    </xdr:sp>
    <xdr:clientData/>
  </xdr:twoCellAnchor>
  <xdr:twoCellAnchor>
    <xdr:from>
      <xdr:col>1</xdr:col>
      <xdr:colOff>71715</xdr:colOff>
      <xdr:row>115</xdr:row>
      <xdr:rowOff>8964</xdr:rowOff>
    </xdr:from>
    <xdr:to>
      <xdr:col>12</xdr:col>
      <xdr:colOff>833718</xdr:colOff>
      <xdr:row>144</xdr:row>
      <xdr:rowOff>161365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0CBE4E1-DB51-452F-97B3-1D0DB201B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76199</xdr:colOff>
      <xdr:row>146</xdr:row>
      <xdr:rowOff>47624</xdr:rowOff>
    </xdr:from>
    <xdr:to>
      <xdr:col>12</xdr:col>
      <xdr:colOff>847725</xdr:colOff>
      <xdr:row>175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0345B9-5331-4F56-AEDA-26A738B51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504825</xdr:rowOff>
    </xdr:from>
    <xdr:to>
      <xdr:col>10</xdr:col>
      <xdr:colOff>411390</xdr:colOff>
      <xdr:row>1</xdr:row>
      <xdr:rowOff>175987</xdr:rowOff>
    </xdr:to>
    <xdr:sp macro="" textlink="">
      <xdr:nvSpPr>
        <xdr:cNvPr id="6" name="Flecha: hacia la izqui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EF8882-B35D-4185-B6F1-9F432F44509B}"/>
            </a:ext>
          </a:extLst>
        </xdr:cNvPr>
        <xdr:cNvSpPr/>
      </xdr:nvSpPr>
      <xdr:spPr>
        <a:xfrm>
          <a:off x="11934825" y="504825"/>
          <a:ext cx="1201965" cy="671287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GRAFICAS</a:t>
          </a:r>
        </a:p>
      </xdr:txBody>
    </xdr:sp>
    <xdr:clientData/>
  </xdr:twoCellAnchor>
  <xdr:twoCellAnchor>
    <xdr:from>
      <xdr:col>9</xdr:col>
      <xdr:colOff>19050</xdr:colOff>
      <xdr:row>2</xdr:row>
      <xdr:rowOff>114300</xdr:rowOff>
    </xdr:from>
    <xdr:to>
      <xdr:col>10</xdr:col>
      <xdr:colOff>430440</xdr:colOff>
      <xdr:row>6</xdr:row>
      <xdr:rowOff>61687</xdr:rowOff>
    </xdr:to>
    <xdr:sp macro="" textlink="">
      <xdr:nvSpPr>
        <xdr:cNvPr id="7" name="Flecha: hacia l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EC1FA2-77D8-4B69-9AF3-75295F736084}"/>
            </a:ext>
          </a:extLst>
        </xdr:cNvPr>
        <xdr:cNvSpPr/>
      </xdr:nvSpPr>
      <xdr:spPr>
        <a:xfrm>
          <a:off x="11953875" y="1295400"/>
          <a:ext cx="1201965" cy="671287"/>
        </a:xfrm>
        <a:prstGeom prst="lef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RESUMEN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0</xdr:rowOff>
    </xdr:from>
    <xdr:to>
      <xdr:col>2</xdr:col>
      <xdr:colOff>693420</xdr:colOff>
      <xdr:row>6</xdr:row>
      <xdr:rowOff>83820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A3D4F67C-7B0B-49AD-8462-EC12EADF398B}"/>
            </a:ext>
          </a:extLst>
        </xdr:cNvPr>
        <xdr:cNvSpPr/>
      </xdr:nvSpPr>
      <xdr:spPr>
        <a:xfrm>
          <a:off x="822960" y="182880"/>
          <a:ext cx="1455420" cy="9982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FASE 1</a:t>
          </a:r>
        </a:p>
        <a:p>
          <a:pPr algn="ctr"/>
          <a:r>
            <a:rPr lang="es-CO" sz="1100"/>
            <a:t>ACTIVIDADES</a:t>
          </a:r>
          <a:r>
            <a:rPr lang="es-CO" sz="1100" baseline="0"/>
            <a:t> Y CENTROS DE COSTO</a:t>
          </a:r>
          <a:endParaRPr lang="es-CO" sz="1100"/>
        </a:p>
      </xdr:txBody>
    </xdr:sp>
    <xdr:clientData/>
  </xdr:twoCellAnchor>
  <xdr:twoCellAnchor>
    <xdr:from>
      <xdr:col>2</xdr:col>
      <xdr:colOff>0</xdr:colOff>
      <xdr:row>5</xdr:row>
      <xdr:rowOff>152400</xdr:rowOff>
    </xdr:from>
    <xdr:to>
      <xdr:col>3</xdr:col>
      <xdr:colOff>662940</xdr:colOff>
      <xdr:row>11</xdr:row>
      <xdr:rowOff>53340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539E3522-9D2E-4F83-A52A-0AE0EFF65287}"/>
            </a:ext>
          </a:extLst>
        </xdr:cNvPr>
        <xdr:cNvSpPr/>
      </xdr:nvSpPr>
      <xdr:spPr>
        <a:xfrm>
          <a:off x="1584960" y="1066800"/>
          <a:ext cx="1455420" cy="9982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FASE 2</a:t>
          </a:r>
        </a:p>
        <a:p>
          <a:pPr algn="ctr"/>
          <a:r>
            <a:rPr lang="es-CO" sz="1100"/>
            <a:t>CARACTERIZACION ELEMENTOS</a:t>
          </a:r>
          <a:r>
            <a:rPr lang="es-CO" sz="1100" baseline="0"/>
            <a:t> DEL COSTO</a:t>
          </a:r>
          <a:endParaRPr lang="es-CO" sz="1100"/>
        </a:p>
      </xdr:txBody>
    </xdr:sp>
    <xdr:clientData/>
  </xdr:twoCellAnchor>
  <xdr:twoCellAnchor>
    <xdr:from>
      <xdr:col>1</xdr:col>
      <xdr:colOff>106680</xdr:colOff>
      <xdr:row>20</xdr:row>
      <xdr:rowOff>7620</xdr:rowOff>
    </xdr:from>
    <xdr:to>
      <xdr:col>2</xdr:col>
      <xdr:colOff>769620</xdr:colOff>
      <xdr:row>25</xdr:row>
      <xdr:rowOff>91440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ECF642F0-1AD3-454C-8EFE-AEDFE4427F96}"/>
            </a:ext>
          </a:extLst>
        </xdr:cNvPr>
        <xdr:cNvSpPr/>
      </xdr:nvSpPr>
      <xdr:spPr>
        <a:xfrm>
          <a:off x="899160" y="3665220"/>
          <a:ext cx="1455420" cy="9982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FASE 5</a:t>
          </a:r>
        </a:p>
        <a:p>
          <a:pPr algn="ctr"/>
          <a:r>
            <a:rPr lang="es-CO" sz="1100"/>
            <a:t>DISTRIBUCION DE COSTOS</a:t>
          </a:r>
        </a:p>
      </xdr:txBody>
    </xdr:sp>
    <xdr:clientData/>
  </xdr:twoCellAnchor>
  <xdr:twoCellAnchor>
    <xdr:from>
      <xdr:col>2</xdr:col>
      <xdr:colOff>129540</xdr:colOff>
      <xdr:row>15</xdr:row>
      <xdr:rowOff>68580</xdr:rowOff>
    </xdr:from>
    <xdr:to>
      <xdr:col>4</xdr:col>
      <xdr:colOff>0</xdr:colOff>
      <xdr:row>20</xdr:row>
      <xdr:rowOff>152400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BA46A106-C307-4387-AE84-63C53B0E7D3C}"/>
            </a:ext>
          </a:extLst>
        </xdr:cNvPr>
        <xdr:cNvSpPr/>
      </xdr:nvSpPr>
      <xdr:spPr>
        <a:xfrm>
          <a:off x="1714500" y="2811780"/>
          <a:ext cx="1455420" cy="9982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FASE 4</a:t>
          </a:r>
        </a:p>
        <a:p>
          <a:pPr algn="ctr"/>
          <a:r>
            <a:rPr lang="es-CO" sz="1100"/>
            <a:t>ASIGNACION DE COSTOS</a:t>
          </a:r>
        </a:p>
      </xdr:txBody>
    </xdr:sp>
    <xdr:clientData/>
  </xdr:twoCellAnchor>
  <xdr:twoCellAnchor>
    <xdr:from>
      <xdr:col>3</xdr:col>
      <xdr:colOff>38100</xdr:colOff>
      <xdr:row>10</xdr:row>
      <xdr:rowOff>106680</xdr:rowOff>
    </xdr:from>
    <xdr:to>
      <xdr:col>4</xdr:col>
      <xdr:colOff>701040</xdr:colOff>
      <xdr:row>16</xdr:row>
      <xdr:rowOff>7620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AEB48E3D-A3D9-445A-804A-3BDF7B1E7C88}"/>
            </a:ext>
          </a:extLst>
        </xdr:cNvPr>
        <xdr:cNvSpPr/>
      </xdr:nvSpPr>
      <xdr:spPr>
        <a:xfrm>
          <a:off x="2415540" y="1935480"/>
          <a:ext cx="1455420" cy="9982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FASE 3</a:t>
          </a:r>
        </a:p>
        <a:p>
          <a:pPr algn="ctr"/>
          <a:r>
            <a:rPr lang="es-CO" sz="1100"/>
            <a:t>IDENTIFICACION DE INDUCTORES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Sanchez" refreshedDate="44970.800239583332" createdVersion="6" refreshedVersion="6" minRefreshableVersion="3" recordCount="1375" xr:uid="{B977CF61-03B3-4741-B5D8-E3D06DC7F0F3}">
  <cacheSource type="worksheet">
    <worksheetSource ref="A3:P1378" sheet="10-ASIGNACION AL PRODUCTO"/>
  </cacheSource>
  <cacheFields count="16">
    <cacheField name="CODIGO PRODUCTO" numFmtId="0">
      <sharedItems containsSemiMixedTypes="0" containsString="0" containsNumber="1" containsInteger="1" minValue="1" maxValue="3689" count="1375">
        <n v="1"/>
        <n v="2"/>
        <n v="3"/>
        <n v="4"/>
        <n v="5"/>
        <n v="6"/>
        <n v="7"/>
        <n v="8"/>
        <n v="9"/>
        <n v="10"/>
        <n v="12"/>
        <n v="14"/>
        <n v="15"/>
        <n v="16"/>
        <n v="18"/>
        <n v="21"/>
        <n v="22"/>
        <n v="23"/>
        <n v="28"/>
        <n v="30"/>
        <n v="31"/>
        <n v="33"/>
        <n v="34"/>
        <n v="35"/>
        <n v="38"/>
        <n v="39"/>
        <n v="40"/>
        <n v="41"/>
        <n v="42"/>
        <n v="43"/>
        <n v="44"/>
        <n v="45"/>
        <n v="46"/>
        <n v="47"/>
        <n v="48"/>
        <n v="49"/>
        <n v="50"/>
        <n v="55"/>
        <n v="59"/>
        <n v="61"/>
        <n v="63"/>
        <n v="64"/>
        <n v="65"/>
        <n v="66"/>
        <n v="69"/>
        <n v="76"/>
        <n v="77"/>
        <n v="80"/>
        <n v="81"/>
        <n v="83"/>
        <n v="86"/>
        <n v="87"/>
        <n v="91"/>
        <n v="93"/>
        <n v="94"/>
        <n v="96"/>
        <n v="97"/>
        <n v="100"/>
        <n v="101"/>
        <n v="103"/>
        <n v="105"/>
        <n v="108"/>
        <n v="111"/>
        <n v="112"/>
        <n v="115"/>
        <n v="117"/>
        <n v="119"/>
        <n v="123"/>
        <n v="124"/>
        <n v="125"/>
        <n v="133"/>
        <n v="134"/>
        <n v="136"/>
        <n v="140"/>
        <n v="141"/>
        <n v="143"/>
        <n v="144"/>
        <n v="145"/>
        <n v="146"/>
        <n v="147"/>
        <n v="149"/>
        <n v="152"/>
        <n v="153"/>
        <n v="154"/>
        <n v="155"/>
        <n v="156"/>
        <n v="157"/>
        <n v="159"/>
        <n v="160"/>
        <n v="162"/>
        <n v="165"/>
        <n v="166"/>
        <n v="167"/>
        <n v="168"/>
        <n v="169"/>
        <n v="170"/>
        <n v="171"/>
        <n v="175"/>
        <n v="181"/>
        <n v="184"/>
        <n v="185"/>
        <n v="186"/>
        <n v="188"/>
        <n v="189"/>
        <n v="190"/>
        <n v="192"/>
        <n v="193"/>
        <n v="194"/>
        <n v="195"/>
        <n v="197"/>
        <n v="199"/>
        <n v="200"/>
        <n v="202"/>
        <n v="203"/>
        <n v="205"/>
        <n v="206"/>
        <n v="207"/>
        <n v="210"/>
        <n v="211"/>
        <n v="212"/>
        <n v="213"/>
        <n v="214"/>
        <n v="215"/>
        <n v="216"/>
        <n v="217"/>
        <n v="218"/>
        <n v="219"/>
        <n v="221"/>
        <n v="223"/>
        <n v="225"/>
        <n v="226"/>
        <n v="227"/>
        <n v="228"/>
        <n v="229"/>
        <n v="230"/>
        <n v="232"/>
        <n v="234"/>
        <n v="235"/>
        <n v="237"/>
        <n v="238"/>
        <n v="239"/>
        <n v="241"/>
        <n v="244"/>
        <n v="248"/>
        <n v="249"/>
        <n v="250"/>
        <n v="252"/>
        <n v="253"/>
        <n v="254"/>
        <n v="256"/>
        <n v="257"/>
        <n v="260"/>
        <n v="261"/>
        <n v="264"/>
        <n v="265"/>
        <n v="266"/>
        <n v="272"/>
        <n v="273"/>
        <n v="274"/>
        <n v="275"/>
        <n v="278"/>
        <n v="279"/>
        <n v="286"/>
        <n v="287"/>
        <n v="288"/>
        <n v="289"/>
        <n v="296"/>
        <n v="297"/>
        <n v="299"/>
        <n v="302"/>
        <n v="307"/>
        <n v="311"/>
        <n v="312"/>
        <n v="315"/>
        <n v="316"/>
        <n v="317"/>
        <n v="319"/>
        <n v="327"/>
        <n v="328"/>
        <n v="330"/>
        <n v="333"/>
        <n v="334"/>
        <n v="338"/>
        <n v="339"/>
        <n v="340"/>
        <n v="342"/>
        <n v="343"/>
        <n v="344"/>
        <n v="345"/>
        <n v="353"/>
        <n v="355"/>
        <n v="356"/>
        <n v="358"/>
        <n v="360"/>
        <n v="361"/>
        <n v="362"/>
        <n v="363"/>
        <n v="364"/>
        <n v="366"/>
        <n v="367"/>
        <n v="368"/>
        <n v="371"/>
        <n v="372"/>
        <n v="373"/>
        <n v="374"/>
        <n v="375"/>
        <n v="376"/>
        <n v="377"/>
        <n v="378"/>
        <n v="379"/>
        <n v="383"/>
        <n v="384"/>
        <n v="385"/>
        <n v="386"/>
        <n v="387"/>
        <n v="388"/>
        <n v="389"/>
        <n v="391"/>
        <n v="395"/>
        <n v="396"/>
        <n v="397"/>
        <n v="400"/>
        <n v="401"/>
        <n v="402"/>
        <n v="406"/>
        <n v="407"/>
        <n v="409"/>
        <n v="410"/>
        <n v="414"/>
        <n v="417"/>
        <n v="422"/>
        <n v="423"/>
        <n v="424"/>
        <n v="425"/>
        <n v="428"/>
        <n v="429"/>
        <n v="430"/>
        <n v="431"/>
        <n v="432"/>
        <n v="434"/>
        <n v="437"/>
        <n v="438"/>
        <n v="443"/>
        <n v="447"/>
        <n v="448"/>
        <n v="450"/>
        <n v="451"/>
        <n v="454"/>
        <n v="456"/>
        <n v="457"/>
        <n v="458"/>
        <n v="459"/>
        <n v="460"/>
        <n v="461"/>
        <n v="464"/>
        <n v="465"/>
        <n v="466"/>
        <n v="469"/>
        <n v="470"/>
        <n v="471"/>
        <n v="472"/>
        <n v="473"/>
        <n v="474"/>
        <n v="476"/>
        <n v="478"/>
        <n v="479"/>
        <n v="480"/>
        <n v="481"/>
        <n v="489"/>
        <n v="492"/>
        <n v="494"/>
        <n v="496"/>
        <n v="499"/>
        <n v="500"/>
        <n v="501"/>
        <n v="502"/>
        <n v="506"/>
        <n v="507"/>
        <n v="509"/>
        <n v="510"/>
        <n v="514"/>
        <n v="519"/>
        <n v="520"/>
        <n v="521"/>
        <n v="522"/>
        <n v="523"/>
        <n v="524"/>
        <n v="525"/>
        <n v="526"/>
        <n v="527"/>
        <n v="529"/>
        <n v="530"/>
        <n v="531"/>
        <n v="533"/>
        <n v="534"/>
        <n v="536"/>
        <n v="537"/>
        <n v="539"/>
        <n v="540"/>
        <n v="542"/>
        <n v="543"/>
        <n v="546"/>
        <n v="548"/>
        <n v="549"/>
        <n v="551"/>
        <n v="553"/>
        <n v="554"/>
        <n v="555"/>
        <n v="556"/>
        <n v="557"/>
        <n v="558"/>
        <n v="560"/>
        <n v="561"/>
        <n v="562"/>
        <n v="564"/>
        <n v="565"/>
        <n v="566"/>
        <n v="567"/>
        <n v="569"/>
        <n v="575"/>
        <n v="577"/>
        <n v="579"/>
        <n v="582"/>
        <n v="584"/>
        <n v="592"/>
        <n v="594"/>
        <n v="599"/>
        <n v="600"/>
        <n v="602"/>
        <n v="603"/>
        <n v="604"/>
        <n v="605"/>
        <n v="607"/>
        <n v="609"/>
        <n v="610"/>
        <n v="611"/>
        <n v="617"/>
        <n v="618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6"/>
        <n v="639"/>
        <n v="640"/>
        <n v="642"/>
        <n v="645"/>
        <n v="646"/>
        <n v="648"/>
        <n v="653"/>
        <n v="654"/>
        <n v="655"/>
        <n v="657"/>
        <n v="659"/>
        <n v="661"/>
        <n v="663"/>
        <n v="664"/>
        <n v="665"/>
        <n v="700"/>
        <n v="701"/>
        <n v="702"/>
        <n v="704"/>
        <n v="705"/>
        <n v="709"/>
        <n v="710"/>
        <n v="711"/>
        <n v="712"/>
        <n v="715"/>
        <n v="716"/>
        <n v="718"/>
        <n v="726"/>
        <n v="729"/>
        <n v="730"/>
        <n v="731"/>
        <n v="732"/>
        <n v="733"/>
        <n v="734"/>
        <n v="737"/>
        <n v="739"/>
        <n v="740"/>
        <n v="744"/>
        <n v="745"/>
        <n v="747"/>
        <n v="754"/>
        <n v="760"/>
        <n v="761"/>
        <n v="763"/>
        <n v="764"/>
        <n v="765"/>
        <n v="766"/>
        <n v="767"/>
        <n v="769"/>
        <n v="771"/>
        <n v="772"/>
        <n v="777"/>
        <n v="782"/>
        <n v="784"/>
        <n v="785"/>
        <n v="786"/>
        <n v="787"/>
        <n v="788"/>
        <n v="789"/>
        <n v="790"/>
        <n v="791"/>
        <n v="796"/>
        <n v="797"/>
        <n v="798"/>
        <n v="800"/>
        <n v="803"/>
        <n v="805"/>
        <n v="806"/>
        <n v="811"/>
        <n v="816"/>
        <n v="825"/>
        <n v="827"/>
        <n v="832"/>
        <n v="834"/>
        <n v="835"/>
        <n v="836"/>
        <n v="839"/>
        <n v="841"/>
        <n v="842"/>
        <n v="843"/>
        <n v="845"/>
        <n v="847"/>
        <n v="853"/>
        <n v="854"/>
        <n v="855"/>
        <n v="856"/>
        <n v="861"/>
        <n v="864"/>
        <n v="868"/>
        <n v="869"/>
        <n v="870"/>
        <n v="873"/>
        <n v="874"/>
        <n v="877"/>
        <n v="878"/>
        <n v="879"/>
        <n v="882"/>
        <n v="883"/>
        <n v="892"/>
        <n v="893"/>
        <n v="897"/>
        <n v="902"/>
        <n v="903"/>
        <n v="909"/>
        <n v="910"/>
        <n v="911"/>
        <n v="914"/>
        <n v="915"/>
        <n v="916"/>
        <n v="917"/>
        <n v="918"/>
        <n v="922"/>
        <n v="923"/>
        <n v="926"/>
        <n v="928"/>
        <n v="929"/>
        <n v="930"/>
        <n v="932"/>
        <n v="933"/>
        <n v="935"/>
        <n v="937"/>
        <n v="941"/>
        <n v="942"/>
        <n v="945"/>
        <n v="947"/>
        <n v="951"/>
        <n v="953"/>
        <n v="956"/>
        <n v="958"/>
        <n v="959"/>
        <n v="960"/>
        <n v="962"/>
        <n v="964"/>
        <n v="966"/>
        <n v="967"/>
        <n v="969"/>
        <n v="974"/>
        <n v="975"/>
        <n v="976"/>
        <n v="977"/>
        <n v="978"/>
        <n v="979"/>
        <n v="980"/>
        <n v="981"/>
        <n v="982"/>
        <n v="984"/>
        <n v="988"/>
        <n v="997"/>
        <n v="998"/>
        <n v="1000"/>
        <n v="1001"/>
        <n v="1003"/>
        <n v="1011"/>
        <n v="1015"/>
        <n v="1017"/>
        <n v="1018"/>
        <n v="1020"/>
        <n v="1025"/>
        <n v="1027"/>
        <n v="1028"/>
        <n v="1030"/>
        <n v="1032"/>
        <n v="1033"/>
        <n v="1036"/>
        <n v="1037"/>
        <n v="1038"/>
        <n v="1042"/>
        <n v="1043"/>
        <n v="1044"/>
        <n v="1046"/>
        <n v="1049"/>
        <n v="1052"/>
        <n v="1053"/>
        <n v="1054"/>
        <n v="1057"/>
        <n v="1058"/>
        <n v="1062"/>
        <n v="1063"/>
        <n v="1064"/>
        <n v="1065"/>
        <n v="1066"/>
        <n v="1069"/>
        <n v="1070"/>
        <n v="1071"/>
        <n v="1072"/>
        <n v="1073"/>
        <n v="1075"/>
        <n v="1076"/>
        <n v="1077"/>
        <n v="1081"/>
        <n v="1084"/>
        <n v="1085"/>
        <n v="1087"/>
        <n v="1088"/>
        <n v="1089"/>
        <n v="1090"/>
        <n v="1096"/>
        <n v="1098"/>
        <n v="1099"/>
        <n v="1103"/>
        <n v="1121"/>
        <n v="1122"/>
        <n v="1123"/>
        <n v="1124"/>
        <n v="1125"/>
        <n v="1126"/>
        <n v="1127"/>
        <n v="1128"/>
        <n v="1130"/>
        <n v="1132"/>
        <n v="1134"/>
        <n v="1135"/>
        <n v="1136"/>
        <n v="1137"/>
        <n v="1138"/>
        <n v="1139"/>
        <n v="1140"/>
        <n v="1141"/>
        <n v="1142"/>
        <n v="1147"/>
        <n v="1158"/>
        <n v="1161"/>
        <n v="1163"/>
        <n v="1166"/>
        <n v="1168"/>
        <n v="1169"/>
        <n v="1172"/>
        <n v="1173"/>
        <n v="1178"/>
        <n v="1181"/>
        <n v="1182"/>
        <n v="1183"/>
        <n v="1191"/>
        <n v="1192"/>
        <n v="1194"/>
        <n v="1196"/>
        <n v="1203"/>
        <n v="1204"/>
        <n v="1205"/>
        <n v="1207"/>
        <n v="1210"/>
        <n v="1212"/>
        <n v="1217"/>
        <n v="1219"/>
        <n v="1222"/>
        <n v="1226"/>
        <n v="1230"/>
        <n v="1232"/>
        <n v="1233"/>
        <n v="1234"/>
        <n v="1238"/>
        <n v="1241"/>
        <n v="1242"/>
        <n v="1246"/>
        <n v="1248"/>
        <n v="1249"/>
        <n v="1250"/>
        <n v="1253"/>
        <n v="1254"/>
        <n v="1263"/>
        <n v="1264"/>
        <n v="1270"/>
        <n v="1273"/>
        <n v="1274"/>
        <n v="1282"/>
        <n v="1283"/>
        <n v="1284"/>
        <n v="1285"/>
        <n v="1301"/>
        <n v="1303"/>
        <n v="1304"/>
        <n v="1305"/>
        <n v="1307"/>
        <n v="1310"/>
        <n v="1312"/>
        <n v="1315"/>
        <n v="1316"/>
        <n v="1323"/>
        <n v="1324"/>
        <n v="1327"/>
        <n v="1328"/>
        <n v="1332"/>
        <n v="1334"/>
        <n v="1336"/>
        <n v="1338"/>
        <n v="1340"/>
        <n v="1343"/>
        <n v="1344"/>
        <n v="1345"/>
        <n v="1347"/>
        <n v="1351"/>
        <n v="1352"/>
        <n v="1358"/>
        <n v="1360"/>
        <n v="1361"/>
        <n v="1363"/>
        <n v="1365"/>
        <n v="1368"/>
        <n v="1377"/>
        <n v="1379"/>
        <n v="1386"/>
        <n v="1389"/>
        <n v="1390"/>
        <n v="1393"/>
        <n v="1396"/>
        <n v="1404"/>
        <n v="1409"/>
        <n v="1411"/>
        <n v="1412"/>
        <n v="1420"/>
        <n v="1422"/>
        <n v="1427"/>
        <n v="1435"/>
        <n v="1436"/>
        <n v="1439"/>
        <n v="1444"/>
        <n v="1454"/>
        <n v="1456"/>
        <n v="1462"/>
        <n v="1463"/>
        <n v="1464"/>
        <n v="1465"/>
        <n v="1467"/>
        <n v="1468"/>
        <n v="1470"/>
        <n v="1473"/>
        <n v="1474"/>
        <n v="1477"/>
        <n v="1478"/>
        <n v="1485"/>
        <n v="1492"/>
        <n v="1494"/>
        <n v="1495"/>
        <n v="1496"/>
        <n v="1499"/>
        <n v="1501"/>
        <n v="1502"/>
        <n v="1503"/>
        <n v="1505"/>
        <n v="1508"/>
        <n v="1513"/>
        <n v="1516"/>
        <n v="1518"/>
        <n v="1519"/>
        <n v="1520"/>
        <n v="1521"/>
        <n v="1522"/>
        <n v="1523"/>
        <n v="1524"/>
        <n v="1528"/>
        <n v="1531"/>
        <n v="1532"/>
        <n v="1534"/>
        <n v="1535"/>
        <n v="1542"/>
        <n v="1543"/>
        <n v="1545"/>
        <n v="1563"/>
        <n v="1564"/>
        <n v="1566"/>
        <n v="1570"/>
        <n v="1571"/>
        <n v="1575"/>
        <n v="1576"/>
        <n v="1577"/>
        <n v="1581"/>
        <n v="1582"/>
        <n v="1584"/>
        <n v="1585"/>
        <n v="1588"/>
        <n v="1589"/>
        <n v="1592"/>
        <n v="1594"/>
        <n v="1597"/>
        <n v="1599"/>
        <n v="1602"/>
        <n v="1604"/>
        <n v="1606"/>
        <n v="1608"/>
        <n v="1609"/>
        <n v="1610"/>
        <n v="1611"/>
        <n v="1615"/>
        <n v="1617"/>
        <n v="1618"/>
        <n v="1619"/>
        <n v="1620"/>
        <n v="1622"/>
        <n v="1625"/>
        <n v="1626"/>
        <n v="1632"/>
        <n v="1635"/>
        <n v="1637"/>
        <n v="1641"/>
        <n v="1645"/>
        <n v="1647"/>
        <n v="1652"/>
        <n v="1657"/>
        <n v="1660"/>
        <n v="1664"/>
        <n v="1667"/>
        <n v="1668"/>
        <n v="1671"/>
        <n v="1672"/>
        <n v="1673"/>
        <n v="1674"/>
        <n v="1676"/>
        <n v="1677"/>
        <n v="1680"/>
        <n v="1681"/>
        <n v="1682"/>
        <n v="1688"/>
        <n v="1689"/>
        <n v="1693"/>
        <n v="1695"/>
        <n v="1696"/>
        <n v="1697"/>
        <n v="1698"/>
        <n v="1701"/>
        <n v="1702"/>
        <n v="1703"/>
        <n v="1704"/>
        <n v="1705"/>
        <n v="1706"/>
        <n v="1708"/>
        <n v="1709"/>
        <n v="1710"/>
        <n v="1741"/>
        <n v="1744"/>
        <n v="1746"/>
        <n v="1747"/>
        <n v="1749"/>
        <n v="1755"/>
        <n v="1756"/>
        <n v="1758"/>
        <n v="1761"/>
        <n v="1763"/>
        <n v="1764"/>
        <n v="1766"/>
        <n v="1774"/>
        <n v="1776"/>
        <n v="1777"/>
        <n v="1778"/>
        <n v="1779"/>
        <n v="1780"/>
        <n v="1785"/>
        <n v="1787"/>
        <n v="1792"/>
        <n v="1794"/>
        <n v="1795"/>
        <n v="1798"/>
        <n v="1800"/>
        <n v="1807"/>
        <n v="1808"/>
        <n v="1809"/>
        <n v="1810"/>
        <n v="1811"/>
        <n v="1812"/>
        <n v="1820"/>
        <n v="1822"/>
        <n v="1823"/>
        <n v="1827"/>
        <n v="1932"/>
        <n v="1933"/>
        <n v="1936"/>
        <n v="1937"/>
        <n v="1938"/>
        <n v="1942"/>
        <n v="1945"/>
        <n v="1954"/>
        <n v="1956"/>
        <n v="1957"/>
        <n v="1958"/>
        <n v="1959"/>
        <n v="1960"/>
        <n v="1962"/>
        <n v="1967"/>
        <n v="1970"/>
        <n v="1971"/>
        <n v="1972"/>
        <n v="1973"/>
        <n v="1975"/>
        <n v="1976"/>
        <n v="1977"/>
        <n v="1978"/>
        <n v="1979"/>
        <n v="1980"/>
        <n v="1982"/>
        <n v="1983"/>
        <n v="1984"/>
        <n v="1985"/>
        <n v="1988"/>
        <n v="1990"/>
        <n v="2000"/>
        <n v="2005"/>
        <n v="2007"/>
        <n v="2011"/>
        <n v="2013"/>
        <n v="2014"/>
        <n v="2015"/>
        <n v="2017"/>
        <n v="2018"/>
        <n v="2020"/>
        <n v="2021"/>
        <n v="2022"/>
        <n v="2025"/>
        <n v="2027"/>
        <n v="2028"/>
        <n v="2029"/>
        <n v="2030"/>
        <n v="2031"/>
        <n v="2032"/>
        <n v="3036"/>
        <n v="3037"/>
        <n v="3038"/>
        <n v="3041"/>
        <n v="3043"/>
        <n v="3047"/>
        <n v="3051"/>
        <n v="3053"/>
        <n v="3056"/>
        <n v="3057"/>
        <n v="3058"/>
        <n v="3059"/>
        <n v="3060"/>
        <n v="3063"/>
        <n v="3064"/>
        <n v="3067"/>
        <n v="3070"/>
        <n v="3071"/>
        <n v="3072"/>
        <n v="3075"/>
        <n v="3077"/>
        <n v="3080"/>
        <n v="3081"/>
        <n v="3082"/>
        <n v="3085"/>
        <n v="3086"/>
        <n v="3089"/>
        <n v="3091"/>
        <n v="3093"/>
        <n v="3094"/>
        <n v="3095"/>
        <n v="3096"/>
        <n v="3097"/>
        <n v="3098"/>
        <n v="3100"/>
        <n v="3101"/>
        <n v="3106"/>
        <n v="3108"/>
        <n v="3109"/>
        <n v="3110"/>
        <n v="3111"/>
        <n v="3113"/>
        <n v="3115"/>
        <n v="3118"/>
        <n v="3119"/>
        <n v="3120"/>
        <n v="3121"/>
        <n v="3123"/>
        <n v="3125"/>
        <n v="3126"/>
        <n v="3128"/>
        <n v="3130"/>
        <n v="3131"/>
        <n v="3133"/>
        <n v="3134"/>
        <n v="3135"/>
        <n v="3136"/>
        <n v="3138"/>
        <n v="3140"/>
        <n v="3141"/>
        <n v="3143"/>
        <n v="3144"/>
        <n v="3145"/>
        <n v="3146"/>
        <n v="3147"/>
        <n v="3152"/>
        <n v="3153"/>
        <n v="3156"/>
        <n v="3159"/>
        <n v="3160"/>
        <n v="3162"/>
        <n v="3164"/>
        <n v="3165"/>
        <n v="3168"/>
        <n v="3169"/>
        <n v="3170"/>
        <n v="3174"/>
        <n v="3176"/>
        <n v="3178"/>
        <n v="3179"/>
        <n v="3181"/>
        <n v="3182"/>
        <n v="3183"/>
        <n v="3184"/>
        <n v="3185"/>
        <n v="3188"/>
        <n v="3190"/>
        <n v="3191"/>
        <n v="3192"/>
        <n v="3193"/>
        <n v="3194"/>
        <n v="3196"/>
        <n v="3198"/>
        <n v="3200"/>
        <n v="3201"/>
        <n v="3202"/>
        <n v="3203"/>
        <n v="3204"/>
        <n v="3205"/>
        <n v="3206"/>
        <n v="3207"/>
        <n v="3208"/>
        <n v="3209"/>
        <n v="3210"/>
        <n v="3211"/>
        <n v="3212"/>
        <n v="3213"/>
        <n v="3215"/>
        <n v="3218"/>
        <n v="3219"/>
        <n v="3223"/>
        <n v="3227"/>
        <n v="3228"/>
        <n v="3229"/>
        <n v="3230"/>
        <n v="3231"/>
        <n v="3232"/>
        <n v="3233"/>
        <n v="3234"/>
        <n v="3237"/>
        <n v="3238"/>
        <n v="3242"/>
        <n v="3245"/>
        <n v="3246"/>
        <n v="3247"/>
        <n v="3251"/>
        <n v="3252"/>
        <n v="3253"/>
        <n v="3254"/>
        <n v="3255"/>
        <n v="3257"/>
        <n v="3258"/>
        <n v="3259"/>
        <n v="3260"/>
        <n v="3262"/>
        <n v="3263"/>
        <n v="3264"/>
        <n v="3265"/>
        <n v="3266"/>
        <n v="3267"/>
        <n v="3268"/>
        <n v="3269"/>
        <n v="3270"/>
        <n v="3271"/>
        <n v="3272"/>
        <n v="3273"/>
        <n v="3274"/>
        <n v="3275"/>
        <n v="3276"/>
        <n v="3277"/>
        <n v="3278"/>
        <n v="3279"/>
        <n v="3280"/>
        <n v="3281"/>
        <n v="3282"/>
        <n v="3308"/>
        <n v="3309"/>
        <n v="3311"/>
        <n v="3312"/>
        <n v="3313"/>
        <n v="3314"/>
        <n v="3315"/>
        <n v="3316"/>
        <n v="3317"/>
        <n v="3318"/>
        <n v="3319"/>
        <n v="3320"/>
        <n v="3321"/>
        <n v="3322"/>
        <n v="3323"/>
        <n v="3324"/>
        <n v="3325"/>
        <n v="3326"/>
        <n v="3327"/>
        <n v="3328"/>
        <n v="3329"/>
        <n v="3330"/>
        <n v="3331"/>
        <n v="3332"/>
        <n v="3333"/>
        <n v="3334"/>
        <n v="3335"/>
        <n v="3336"/>
        <n v="3337"/>
        <n v="3338"/>
        <n v="3339"/>
        <n v="3341"/>
        <n v="3342"/>
        <n v="3343"/>
        <n v="3344"/>
        <n v="3345"/>
        <n v="3346"/>
        <n v="3347"/>
        <n v="3348"/>
        <n v="3349"/>
        <n v="3350"/>
        <n v="3351"/>
        <n v="3352"/>
        <n v="3353"/>
        <n v="3354"/>
        <n v="3355"/>
        <n v="3356"/>
        <n v="3357"/>
        <n v="3358"/>
        <n v="3359"/>
        <n v="3360"/>
        <n v="3361"/>
        <n v="3362"/>
        <n v="3363"/>
        <n v="3364"/>
        <n v="3365"/>
        <n v="3366"/>
        <n v="3367"/>
        <n v="3368"/>
        <n v="3369"/>
        <n v="3370"/>
        <n v="3371"/>
        <n v="3372"/>
        <n v="3373"/>
        <n v="3374"/>
        <n v="3375"/>
        <n v="3376"/>
        <n v="3378"/>
        <n v="3379"/>
        <n v="3380"/>
        <n v="3381"/>
        <n v="3382"/>
        <n v="3383"/>
        <n v="3384"/>
        <n v="3385"/>
        <n v="3386"/>
        <n v="3387"/>
        <n v="3388"/>
        <n v="3389"/>
        <n v="3390"/>
        <n v="3391"/>
        <n v="3392"/>
        <n v="3393"/>
        <n v="3394"/>
        <n v="3395"/>
        <n v="3396"/>
        <n v="3397"/>
        <n v="3398"/>
        <n v="3399"/>
        <n v="3400"/>
        <n v="3401"/>
        <n v="3402"/>
        <n v="3403"/>
        <n v="3404"/>
        <n v="3405"/>
        <n v="3406"/>
        <n v="3407"/>
        <n v="3408"/>
        <n v="3409"/>
        <n v="3410"/>
        <n v="3411"/>
        <n v="3412"/>
        <n v="3413"/>
        <n v="3414"/>
        <n v="3415"/>
        <n v="3416"/>
        <n v="3417"/>
        <n v="3419"/>
        <n v="3420"/>
        <n v="3421"/>
        <n v="3422"/>
        <n v="3423"/>
        <n v="3424"/>
        <n v="3425"/>
        <n v="3426"/>
        <n v="3427"/>
        <n v="3428"/>
        <n v="3429"/>
        <n v="3430"/>
        <n v="3431"/>
        <n v="3432"/>
        <n v="3433"/>
        <n v="3434"/>
        <n v="3435"/>
        <n v="3436"/>
        <n v="3437"/>
        <n v="3438"/>
        <n v="3440"/>
        <n v="3441"/>
        <n v="3443"/>
        <n v="3444"/>
        <n v="3445"/>
        <n v="3446"/>
        <n v="3448"/>
        <n v="3449"/>
        <n v="3450"/>
        <n v="3454"/>
        <n v="3455"/>
        <n v="3456"/>
        <n v="3457"/>
        <n v="3459"/>
        <n v="3460"/>
        <n v="3461"/>
        <n v="3462"/>
        <n v="3466"/>
        <n v="3468"/>
        <n v="3469"/>
        <n v="3470"/>
        <n v="3471"/>
        <n v="3472"/>
        <n v="3473"/>
        <n v="3474"/>
        <n v="3475"/>
        <n v="3476"/>
        <n v="3477"/>
        <n v="3478"/>
        <n v="3479"/>
        <n v="3480"/>
        <n v="3481"/>
        <n v="3482"/>
        <n v="3483"/>
        <n v="3484"/>
        <n v="3485"/>
        <n v="3486"/>
        <n v="3487"/>
        <n v="3488"/>
        <n v="3489"/>
        <n v="3490"/>
        <n v="3491"/>
        <n v="3492"/>
        <n v="3493"/>
        <n v="3494"/>
        <n v="3495"/>
        <n v="3496"/>
        <n v="3497"/>
        <n v="3498"/>
        <n v="3499"/>
        <n v="3500"/>
        <n v="3501"/>
        <n v="3502"/>
        <n v="3503"/>
        <n v="3504"/>
        <n v="3505"/>
        <n v="3506"/>
        <n v="3507"/>
        <n v="3508"/>
        <n v="3509"/>
        <n v="3510"/>
        <n v="3511"/>
        <n v="3512"/>
        <n v="3513"/>
        <n v="3514"/>
        <n v="3515"/>
        <n v="3516"/>
        <n v="3517"/>
        <n v="3518"/>
        <n v="3519"/>
        <n v="3520"/>
        <n v="3522"/>
        <n v="3523"/>
        <n v="3524"/>
        <n v="3525"/>
        <n v="3526"/>
        <n v="3527"/>
        <n v="3528"/>
        <n v="3529"/>
        <n v="3530"/>
        <n v="3531"/>
        <n v="3532"/>
        <n v="3533"/>
        <n v="3534"/>
        <n v="3535"/>
        <n v="3537"/>
        <n v="3538"/>
        <n v="3539"/>
        <n v="3540"/>
        <n v="3541"/>
        <n v="3542"/>
        <n v="3543"/>
        <n v="3544"/>
        <n v="3545"/>
        <n v="3546"/>
        <n v="3547"/>
        <n v="3548"/>
        <n v="3549"/>
        <n v="3550"/>
        <n v="3551"/>
        <n v="3552"/>
        <n v="3553"/>
        <n v="3554"/>
        <n v="3555"/>
        <n v="3556"/>
        <n v="3557"/>
        <n v="3558"/>
        <n v="3559"/>
        <n v="3560"/>
        <n v="3561"/>
        <n v="3562"/>
        <n v="3563"/>
        <n v="3564"/>
        <n v="3565"/>
        <n v="3566"/>
        <n v="3567"/>
        <n v="3568"/>
        <n v="3569"/>
        <n v="3570"/>
        <n v="3571"/>
        <n v="3572"/>
        <n v="3573"/>
        <n v="3574"/>
        <n v="3576"/>
        <n v="3577"/>
        <n v="3578"/>
        <n v="3579"/>
        <n v="3581"/>
        <n v="3582"/>
        <n v="3583"/>
        <n v="3584"/>
        <n v="3585"/>
        <n v="3586"/>
        <n v="3587"/>
        <n v="3588"/>
        <n v="3589"/>
        <n v="3591"/>
        <n v="3592"/>
        <n v="3593"/>
        <n v="3594"/>
        <n v="3595"/>
        <n v="3596"/>
        <n v="3598"/>
        <n v="3599"/>
        <n v="3600"/>
        <n v="3601"/>
        <n v="3602"/>
        <n v="3603"/>
        <n v="3605"/>
        <n v="3606"/>
        <n v="3607"/>
        <n v="3608"/>
        <n v="3609"/>
        <n v="3610"/>
        <n v="3611"/>
        <n v="3612"/>
        <n v="3613"/>
        <n v="3614"/>
        <n v="3615"/>
        <n v="3617"/>
        <n v="3618"/>
        <n v="3619"/>
        <n v="3620"/>
        <n v="3621"/>
        <n v="3622"/>
        <n v="3623"/>
        <n v="3624"/>
        <n v="3625"/>
        <n v="3626"/>
        <n v="3627"/>
        <n v="3628"/>
        <n v="3629"/>
        <n v="3630"/>
        <n v="3632"/>
        <n v="3633"/>
        <n v="3634"/>
        <n v="3635"/>
        <n v="3636"/>
        <n v="3637"/>
        <n v="3639"/>
        <n v="3640"/>
        <n v="3641"/>
        <n v="3642"/>
        <n v="3643"/>
        <n v="3644"/>
        <n v="3645"/>
        <n v="3646"/>
        <n v="3647"/>
        <n v="3648"/>
        <n v="3649"/>
        <n v="3650"/>
        <n v="3651"/>
        <n v="3652"/>
        <n v="3653"/>
        <n v="3654"/>
        <n v="3655"/>
        <n v="3656"/>
        <n v="3657"/>
        <n v="3658"/>
        <n v="3659"/>
        <n v="3660"/>
        <n v="3661"/>
        <n v="3662"/>
        <n v="3663"/>
        <n v="3664"/>
        <n v="3665"/>
        <n v="3666"/>
        <n v="3667"/>
        <n v="3668"/>
        <n v="3670"/>
        <n v="3671"/>
        <n v="3672"/>
        <n v="3673"/>
        <n v="3674"/>
        <n v="3675"/>
        <n v="3676"/>
        <n v="3677"/>
        <n v="3678"/>
        <n v="3679"/>
        <n v="3680"/>
        <n v="3681"/>
        <n v="3682"/>
        <n v="3683"/>
        <n v="3684"/>
        <n v="3685"/>
        <n v="3686"/>
        <n v="3687"/>
        <n v="3688"/>
        <n v="3689"/>
      </sharedItems>
    </cacheField>
    <cacheField name="DESCRIPCION PRODUCTO" numFmtId="0">
      <sharedItems/>
    </cacheField>
    <cacheField name="CODIGO GRUPO" numFmtId="0">
      <sharedItems containsSemiMixedTypes="0" containsString="0" containsNumber="1" containsInteger="1" minValue="1" maxValue="16" count="14">
        <n v="1"/>
        <n v="5"/>
        <n v="2"/>
        <n v="12"/>
        <n v="6"/>
        <n v="14"/>
        <n v="4"/>
        <n v="10"/>
        <n v="16"/>
        <n v="9"/>
        <n v="8"/>
        <n v="7"/>
        <n v="13"/>
        <n v="11"/>
      </sharedItems>
    </cacheField>
    <cacheField name="UNIDAD DE MEDIDA" numFmtId="0">
      <sharedItems/>
    </cacheField>
    <cacheField name="COSTO UNITARIO" numFmtId="164">
      <sharedItems containsSemiMixedTypes="0" containsString="0" containsNumber="1" minValue="59.5" maxValue="1419500"/>
    </cacheField>
    <cacheField name="PRECIO VENTA" numFmtId="164">
      <sharedItems containsSemiMixedTypes="0" containsString="0" containsNumber="1" minValue="100" maxValue="1580000"/>
    </cacheField>
    <cacheField name="UND VENDIDAS" numFmtId="1">
      <sharedItems containsSemiMixedTypes="0" containsString="0" containsNumber="1" minValue="0" maxValue="4124" count="193">
        <n v="0"/>
        <n v="9.5"/>
        <n v="238"/>
        <n v="10"/>
        <n v="287"/>
        <n v="48"/>
        <n v="534.5"/>
        <n v="11"/>
        <n v="609"/>
        <n v="16"/>
        <n v="71"/>
        <n v="23"/>
        <n v="14"/>
        <n v="3"/>
        <n v="53"/>
        <n v="6"/>
        <n v="56"/>
        <n v="1"/>
        <n v="2"/>
        <n v="28"/>
        <n v="47"/>
        <n v="12"/>
        <n v="43"/>
        <n v="22"/>
        <n v="26"/>
        <n v="21"/>
        <n v="5"/>
        <n v="174"/>
        <n v="7"/>
        <n v="98"/>
        <n v="30"/>
        <n v="9"/>
        <n v="41"/>
        <n v="461"/>
        <n v="116"/>
        <n v="4"/>
        <n v="29"/>
        <n v="15"/>
        <n v="33"/>
        <n v="24"/>
        <n v="36"/>
        <n v="230"/>
        <n v="726"/>
        <n v="291"/>
        <n v="17"/>
        <n v="27"/>
        <n v="57"/>
        <n v="51"/>
        <n v="40"/>
        <n v="8"/>
        <n v="13"/>
        <n v="25"/>
        <n v="35"/>
        <n v="122.5"/>
        <n v="765"/>
        <n v="40.5"/>
        <n v="678"/>
        <n v="97"/>
        <n v="324"/>
        <n v="99.5"/>
        <n v="109.5"/>
        <n v="2653"/>
        <n v="274"/>
        <n v="3405"/>
        <n v="1338"/>
        <n v="172"/>
        <n v="135"/>
        <n v="19"/>
        <n v="223"/>
        <n v="34"/>
        <n v="138"/>
        <n v="729"/>
        <n v="144"/>
        <n v="60"/>
        <n v="269"/>
        <n v="75"/>
        <n v="69"/>
        <n v="1221"/>
        <n v="45"/>
        <n v="52"/>
        <n v="77"/>
        <n v="187"/>
        <n v="50"/>
        <n v="18"/>
        <n v="127"/>
        <n v="153"/>
        <n v="145"/>
        <n v="167"/>
        <n v="203"/>
        <n v="610"/>
        <n v="44"/>
        <n v="117"/>
        <n v="156"/>
        <n v="220"/>
        <n v="61"/>
        <n v="18.5"/>
        <n v="20"/>
        <n v="252"/>
        <n v="87"/>
        <n v="32.5"/>
        <n v="408"/>
        <n v="70"/>
        <n v="38"/>
        <n v="137"/>
        <n v="277"/>
        <n v="81"/>
        <n v="149"/>
        <n v="49"/>
        <n v="42"/>
        <n v="72"/>
        <n v="157"/>
        <n v="82"/>
        <n v="285"/>
        <n v="390"/>
        <n v="66"/>
        <n v="31"/>
        <n v="37"/>
        <n v="46"/>
        <n v="801"/>
        <n v="529"/>
        <n v="373"/>
        <n v="268"/>
        <n v="216"/>
        <n v="273"/>
        <n v="212.5"/>
        <n v="67"/>
        <n v="4.5"/>
        <n v="118"/>
        <n v="368"/>
        <n v="59"/>
        <n v="93"/>
        <n v="54"/>
        <n v="32"/>
        <n v="119"/>
        <n v="141"/>
        <n v="507"/>
        <n v="1751"/>
        <n v="41.5"/>
        <n v="57.5"/>
        <n v="304"/>
        <n v="2928"/>
        <n v="254"/>
        <n v="384"/>
        <n v="307"/>
        <n v="205"/>
        <n v="355"/>
        <n v="1096"/>
        <n v="109"/>
        <n v="65"/>
        <n v="986"/>
        <n v="158"/>
        <n v="39"/>
        <n v="445"/>
        <n v="2.5"/>
        <n v="425"/>
        <n v="170"/>
        <n v="111.5"/>
        <n v="23.5"/>
        <n v="443"/>
        <n v="297.5"/>
        <n v="646"/>
        <n v="134"/>
        <n v="100"/>
        <n v="895"/>
        <n v="28.5"/>
        <n v="15.5"/>
        <n v="255"/>
        <n v="297"/>
        <n v="19.5"/>
        <n v="849.5"/>
        <n v="76"/>
        <n v="155"/>
        <n v="32.999999970197699"/>
        <n v="4124"/>
        <n v="106"/>
        <n v="424"/>
        <n v="300"/>
        <n v="121"/>
        <n v="164"/>
        <n v="249"/>
        <n v="175"/>
        <n v="181"/>
        <n v="147"/>
        <n v="207"/>
        <n v="1717"/>
        <n v="83"/>
        <n v="63"/>
        <n v="112"/>
        <n v="73"/>
        <n v="213"/>
        <n v="131"/>
        <n v="85"/>
        <n v="884"/>
      </sharedItems>
    </cacheField>
    <cacheField name="TOTAL COSTO PRODUCTOS VENDIDOS" numFmtId="164">
      <sharedItems containsSemiMixedTypes="0" containsString="0" containsNumber="1" minValue="0" maxValue="102462702"/>
    </cacheField>
    <cacheField name="VALOR TOTAL PRODUCTOS VENDIDOS " numFmtId="164">
      <sharedItems containsSemiMixedTypes="0" containsString="0" containsNumber="1" minValue="0" maxValue="108244200"/>
    </cacheField>
    <cacheField name="UTILIDAD ANTES DE ASIGNAICON DE COSTOS" numFmtId="164">
      <sharedItems containsSemiMixedTypes="0" containsString="0" containsNumber="1" minValue="-68720" maxValue="10110791.475000001"/>
    </cacheField>
    <cacheField name="ASIGNACION COSTO ACTIVIDADES" numFmtId="164">
      <sharedItems containsSemiMixedTypes="0" containsString="0" containsNumber="1" minValue="81431.961035221175" maxValue="283519.42464527232"/>
    </cacheField>
    <cacheField name="TRANSPORTE MERCANCIA" numFmtId="164">
      <sharedItems containsSemiMixedTypes="0" containsString="0" containsNumber="1" minValue="24762.287272727273" maxValue="24762.287272727273"/>
    </cacheField>
    <cacheField name="EMPAQUES BOLSAS" numFmtId="164">
      <sharedItems containsSemiMixedTypes="0" containsString="0" containsNumber="1" minValue="0" maxValue="106174.11764705883"/>
    </cacheField>
    <cacheField name="COSTO REAL DEL PRODUCTO VENDIDOS" numFmtId="164">
      <sharedItems containsSemiMixedTypes="0" containsString="0" containsNumber="1" minValue="106253.74830794845" maxValue="102568896.24830794"/>
    </cacheField>
    <cacheField name="COSTO UNITARIO FINAL" numFmtId="164">
      <sharedItems containsSemiMixedTypes="0" containsString="0" containsNumber="1" minValue="274.08893165237447" maxValue="1525694.2483079485"/>
    </cacheField>
    <cacheField name="UTILIDAD DESPUES DE ASIGNACION DE COSTOS" numFmtId="164">
      <sharedItems containsSemiMixedTypes="0" containsString="0" containsNumber="1" minValue="-1525694.2483079485" maxValue="10004597.2266920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Sanchez" refreshedDate="44970.830203935184" createdVersion="6" refreshedVersion="6" minRefreshableVersion="3" recordCount="40" xr:uid="{97D34B74-C33A-4C21-AE56-37DDCA94C809}">
  <cacheSource type="worksheet">
    <worksheetSource ref="B2:F42" sheet="09-RESUMEN"/>
  </cacheSource>
  <cacheFields count="5">
    <cacheField name="CENTRO COSTO" numFmtId="3">
      <sharedItems containsBlank="1"/>
    </cacheField>
    <cacheField name="NOMBRES" numFmtId="3">
      <sharedItems containsBlank="1" count="7">
        <s v="ADMINISTRACION"/>
        <m/>
        <s v="PAGOS"/>
        <s v="VENTAS"/>
        <s v="CONTABILIDAD"/>
        <s v="CARTERA"/>
        <s v="GESTION DE BODEGA"/>
      </sharedItems>
    </cacheField>
    <cacheField name="CODIGO  MACROACTIVIDADES" numFmtId="0">
      <sharedItems count="40">
        <s v="CA01 01"/>
        <s v="CA01 02"/>
        <s v="CA01 03"/>
        <s v="CA01 04"/>
        <s v="CA01 05"/>
        <s v="CA01 06"/>
        <s v="CA01 07"/>
        <s v="CA01 08"/>
        <s v="CA01 09"/>
        <s v="CA01 10"/>
        <s v="CA01 11"/>
        <s v="CA02 12"/>
        <s v="CA02 13"/>
        <s v="CA02 14"/>
        <s v="CA03 15"/>
        <s v="CA03 16"/>
        <s v="CA03 17"/>
        <s v="CA03 18"/>
        <s v="CA03 19"/>
        <s v="CA03 20"/>
        <s v="CA03 21"/>
        <s v="CA03 22"/>
        <s v="CA04 23"/>
        <s v="CA04 24"/>
        <s v="CA04 25"/>
        <s v="CA04 26"/>
        <s v="CA04 27"/>
        <s v="CA04 28"/>
        <s v="CA04 29"/>
        <s v="CA04 30"/>
        <s v="CA04 31"/>
        <s v="CA04 32"/>
        <s v="CA05 33"/>
        <s v="CA05 34"/>
        <s v="CA05 35"/>
        <s v="CA05 36"/>
        <s v="CA05 37"/>
        <s v="CA06 38"/>
        <s v="CA06 39"/>
        <s v="CA06 40"/>
      </sharedItems>
    </cacheField>
    <cacheField name="ACTIVIDADES-TAREAS" numFmtId="0">
      <sharedItems count="40">
        <s v="Representar legalmente la empresa ante diferentes entidades."/>
        <s v="Atencion al cliente"/>
        <s v="Planificacion y organizacion"/>
        <s v="Captacion de clientes"/>
        <s v="Captacion de Proveedores"/>
        <s v="Control de saldos de Caja y Banco"/>
        <s v="Contratacion de personal"/>
        <s v="Contratacion de servicios"/>
        <s v="Recepcion de correspondencia"/>
        <s v="Elaboracion de documentos o informes requeridos"/>
        <s v="Archivo"/>
        <s v="Pago Proveedores"/>
        <s v="Pago Gastos administrativos"/>
        <s v="Pago Obligaciones financieras"/>
        <s v="Informacion de Productos y precios"/>
        <s v="Recepcion de llamadas para pedidos"/>
        <s v="Realizar cuadre de caja diario "/>
        <s v="Asesoria y recomendación de productos"/>
        <s v="Venta de mercancia"/>
        <s v="Recepcion de ordenes de pedidos."/>
        <s v="Facturacion de ventas"/>
        <s v="Mostrador agricola"/>
        <s v="Elaboracion de estados financieros"/>
        <s v="Liquidar y revisar los pagos correspondientes a impuestos"/>
        <s v="Elaborar las declaraciones de renta"/>
        <s v="Elaboracion de información exogena."/>
        <s v="Mantener actualizada la contabilidad. "/>
        <s v="Realizar asientos contables."/>
        <s v="Recibir documentación de facturas y documentos equivalentes"/>
        <s v="Conciliacion bancaria"/>
        <s v="Nomina electronica"/>
        <s v="Documento sopoerte electronico"/>
        <s v="Elaborar cuentas de cobro a los clientes o empresas"/>
        <s v="Verificar documentos necesarios para solicitar el pago de facturas "/>
        <s v="Informar al area contable el estado de cartera"/>
        <s v="Actualizar información de clientes y proveedores "/>
        <s v="Cobro de cartera"/>
        <s v="Control de inventario"/>
        <s v="Cargue y Descargue de mercancia"/>
        <s v="Peso y empaque de productos"/>
      </sharedItems>
    </cacheField>
    <cacheField name="TOTAL COSTO POR ACTIVIDAD" numFmtId="164">
      <sharedItems containsSemiMixedTypes="0" containsString="0" containsNumber="1" minValue="408683.91555555555" maxValue="13367580.4600252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5">
  <r>
    <x v="0"/>
    <s v="10-20-20 X 50K YARA"/>
    <x v="0"/>
    <s v="B50"/>
    <n v="240000"/>
    <n v="256666.66666666666"/>
    <x v="0"/>
    <n v="0"/>
    <n v="0"/>
    <n v="0"/>
    <n v="81431.961035221175"/>
    <n v="24762.287272727273"/>
    <n v="0"/>
    <n v="346194.24830794847"/>
    <n v="346194.24830794847"/>
    <n v="0"/>
  </r>
  <r>
    <x v="1"/>
    <s v="10-30-10 X 50KG (YARA)"/>
    <x v="0"/>
    <s v="B50"/>
    <n v="240000"/>
    <n v="248166.66666666666"/>
    <x v="1"/>
    <n v="2280000"/>
    <n v="2357583.333333333"/>
    <n v="77583.333333333023"/>
    <n v="81431.961035221175"/>
    <n v="24762.287272727273"/>
    <n v="0"/>
    <n v="2386194.2483079485"/>
    <n v="251178.34192715248"/>
    <n v="-28610.914974615443"/>
  </r>
  <r>
    <x v="2"/>
    <s v="10-30-10 X KILO"/>
    <x v="0"/>
    <s v="KL"/>
    <n v="4900"/>
    <n v="6000"/>
    <x v="2"/>
    <n v="1166200"/>
    <n v="1428000"/>
    <n v="261800"/>
    <n v="283519.42464527232"/>
    <n v="24762.287272727273"/>
    <n v="106174.11764705883"/>
    <n v="1580655.8295650585"/>
    <n v="6641.4110485926822"/>
    <n v="-152655.82956505846"/>
  </r>
  <r>
    <x v="3"/>
    <s v="15-15-15 X 50K Nitrofer"/>
    <x v="0"/>
    <s v="B50"/>
    <n v="200000"/>
    <n v="204000"/>
    <x v="3"/>
    <n v="2000000"/>
    <n v="2040000"/>
    <n v="40000"/>
    <n v="81431.961035221175"/>
    <n v="24762.287272727273"/>
    <n v="0"/>
    <n v="2106194.2483079485"/>
    <n v="210619.42483079486"/>
    <n v="-66194.248307948466"/>
  </r>
  <r>
    <x v="4"/>
    <s v="15-15-15 X KILO"/>
    <x v="0"/>
    <s v="KL"/>
    <n v="4100"/>
    <n v="5000"/>
    <x v="4"/>
    <n v="1176700"/>
    <n v="1435000"/>
    <n v="258300"/>
    <n v="283519.42464527232"/>
    <n v="24762.287272727273"/>
    <n v="106174.11764705883"/>
    <n v="1591155.8295650585"/>
    <n v="5544.0969671256389"/>
    <n v="-156155.82956505846"/>
  </r>
  <r>
    <x v="5"/>
    <s v="IMPULSOR NV x KL"/>
    <x v="1"/>
    <s v="KL"/>
    <n v="13400"/>
    <n v="16200"/>
    <x v="5"/>
    <n v="643200"/>
    <n v="777600"/>
    <n v="134400"/>
    <n v="81431.961035221175"/>
    <n v="24762.287272727273"/>
    <n v="0"/>
    <n v="749394.24830794835"/>
    <n v="15612.380173082258"/>
    <n v="28205.75169205165"/>
  </r>
  <r>
    <x v="6"/>
    <s v="F HUEVOS PIGMENTO x 40 KL"/>
    <x v="2"/>
    <s v="BULTO"/>
    <n v="95440"/>
    <n v="101000"/>
    <x v="6"/>
    <n v="51012680"/>
    <n v="53984500"/>
    <n v="2971820"/>
    <n v="81431.961035221175"/>
    <n v="24762.287272727273"/>
    <n v="0"/>
    <n v="51118874.248307951"/>
    <n v="95638.679603943776"/>
    <n v="2865625.7516920492"/>
  </r>
  <r>
    <x v="7"/>
    <s v="RCA-346 LANZA FLEXIBLE"/>
    <x v="3"/>
    <s v="UND"/>
    <n v="13499.36"/>
    <n v="16000"/>
    <x v="7"/>
    <n v="148492.96000000002"/>
    <n v="176000"/>
    <n v="27507.039999999979"/>
    <n v="81431.961035221175"/>
    <n v="24762.287272727273"/>
    <n v="0"/>
    <n v="254687.20830794846"/>
    <n v="23153.382573449861"/>
    <n v="-78687.208307948458"/>
  </r>
  <r>
    <x v="8"/>
    <s v="25-4-24 KILO"/>
    <x v="0"/>
    <s v="KL"/>
    <n v="3310"/>
    <n v="4683.333333333333"/>
    <x v="8"/>
    <n v="2015790"/>
    <n v="2852150"/>
    <n v="836360"/>
    <n v="283519.42464527232"/>
    <n v="24762.287272727273"/>
    <n v="106174.11764705883"/>
    <n v="2430245.829565058"/>
    <n v="3990.5514442775993"/>
    <n v="421904.170434942"/>
  </r>
  <r>
    <x v="9"/>
    <s v="25-4-24 MANUCHAR"/>
    <x v="0"/>
    <s v="B50"/>
    <n v="190000"/>
    <n v="220500"/>
    <x v="9"/>
    <n v="3040000"/>
    <n v="3528000"/>
    <n v="488000"/>
    <n v="81431.961035221175"/>
    <n v="24762.287272727273"/>
    <n v="0"/>
    <n v="3146194.2483079485"/>
    <n v="196637.14051924678"/>
    <n v="381805.75169205153"/>
  </r>
  <r>
    <x v="10"/>
    <s v="ABAFED 18 EC LITRO (ABAMECTINA)"/>
    <x v="4"/>
    <s v="LT"/>
    <n v="37000"/>
    <n v="45000"/>
    <x v="10"/>
    <n v="2627000"/>
    <n v="3195000"/>
    <n v="568000"/>
    <n v="81431.961035221175"/>
    <n v="24762.287272727273"/>
    <n v="0"/>
    <n v="2733194.2483079485"/>
    <n v="38495.693638140117"/>
    <n v="461805.75169205153"/>
  </r>
  <r>
    <x v="11"/>
    <s v="ABOTEK X 50KL (15-4-23-4)"/>
    <x v="0"/>
    <s v="B50"/>
    <n v="214000"/>
    <n v="222000"/>
    <x v="11"/>
    <n v="4922000"/>
    <n v="5106000"/>
    <n v="184000"/>
    <n v="81431.961035221175"/>
    <n v="24762.287272727273"/>
    <n v="0"/>
    <n v="5028194.248307948"/>
    <n v="218617.14123078034"/>
    <n v="77805.751692051999"/>
  </r>
  <r>
    <x v="12"/>
    <s v="IVERMECTINA X10ML"/>
    <x v="5"/>
    <s v="LT"/>
    <n v="4721"/>
    <n v="6550"/>
    <x v="12"/>
    <n v="66094"/>
    <n v="91700"/>
    <n v="25606"/>
    <n v="81431.961035221175"/>
    <n v="24762.287272727273"/>
    <n v="0"/>
    <n v="172288.24830794844"/>
    <n v="12306.303450567746"/>
    <n v="-80588.248307948437"/>
  </r>
  <r>
    <x v="13"/>
    <s v="PALMERA GEL ANASAC"/>
    <x v="4"/>
    <s v="LT"/>
    <n v="12500"/>
    <n v="16500"/>
    <x v="13"/>
    <n v="37500"/>
    <n v="49500"/>
    <n v="12000"/>
    <n v="81431.961035221175"/>
    <n v="24762.287272727273"/>
    <n v="0"/>
    <n v="143694.24830794844"/>
    <n v="47898.082769316148"/>
    <n v="-94194.248307948437"/>
  </r>
  <r>
    <x v="14"/>
    <s v="AGITA 1% SOBRE X 20GR"/>
    <x v="5"/>
    <s v="SOB"/>
    <n v="5619"/>
    <n v="6950"/>
    <x v="14"/>
    <n v="297807"/>
    <n v="368350"/>
    <n v="70543"/>
    <n v="81431.961035221175"/>
    <n v="24762.287272727273"/>
    <n v="0"/>
    <n v="404001.24830794847"/>
    <n v="7622.6650624141221"/>
    <n v="-35651.248307948466"/>
  </r>
  <r>
    <x v="15"/>
    <s v="AGRODYNE SL X LITRO"/>
    <x v="6"/>
    <s v="LT"/>
    <n v="42900"/>
    <n v="57683.333333333336"/>
    <x v="15"/>
    <n v="257400"/>
    <n v="346100"/>
    <n v="88700"/>
    <n v="81431.961035221175"/>
    <n v="24762.287272727273"/>
    <n v="0"/>
    <n v="363594.24830794847"/>
    <n v="60599.041384658078"/>
    <n v="-17494.248307948466"/>
  </r>
  <r>
    <x v="16"/>
    <s v="LACTAMOX JGA x 6 GR"/>
    <x v="5"/>
    <s v="GR"/>
    <n v="5767.2713999999996"/>
    <n v="8200"/>
    <x v="16"/>
    <n v="322967.19839999999"/>
    <n v="459200"/>
    <n v="136232.80160000001"/>
    <n v="81431.961035221175"/>
    <n v="24762.287272727273"/>
    <n v="0"/>
    <n v="429161.44670794846"/>
    <n v="7663.597262641937"/>
    <n v="30038.55329205154"/>
  </r>
  <r>
    <x v="17"/>
    <s v="FILTRO PAPEL LECHE DELGADO"/>
    <x v="7"/>
    <s v="UND"/>
    <n v="7973"/>
    <n v="8900"/>
    <x v="17"/>
    <n v="7973"/>
    <n v="8900"/>
    <n v="927"/>
    <n v="81431.961035221175"/>
    <n v="24762.287272727273"/>
    <n v="0"/>
    <n v="114167.24830794845"/>
    <n v="114167.24830794845"/>
    <n v="-105267.24830794845"/>
  </r>
  <r>
    <x v="18"/>
    <s v="AGUJA DES. 16 X 1 1/2 (INTRAMUSCULAR"/>
    <x v="8"/>
    <s v="UND"/>
    <n v="99"/>
    <n v="300"/>
    <x v="17"/>
    <n v="99"/>
    <n v="300"/>
    <n v="201"/>
    <n v="81431.961035221175"/>
    <n v="24762.287272727273"/>
    <n v="0"/>
    <n v="106293.24830794845"/>
    <n v="106293.24830794845"/>
    <n v="-105993.24830794845"/>
  </r>
  <r>
    <x v="19"/>
    <s v="AGUJA DESECH. 16 X 1"/>
    <x v="8"/>
    <s v="UND"/>
    <n v="99"/>
    <n v="200"/>
    <x v="13"/>
    <n v="297"/>
    <n v="600"/>
    <n v="303"/>
    <n v="81431.961035221175"/>
    <n v="24762.287272727273"/>
    <n v="0"/>
    <n v="106491.24830794845"/>
    <n v="35497.082769316148"/>
    <n v="-105891.24830794845"/>
  </r>
  <r>
    <x v="20"/>
    <s v="MACOLLAMIENTO Y DESPEGUE POMA"/>
    <x v="1"/>
    <s v="POMA"/>
    <n v="510000"/>
    <n v="568000"/>
    <x v="15"/>
    <n v="3060000"/>
    <n v="3408000"/>
    <n v="348000"/>
    <n v="81431.961035221175"/>
    <n v="24762.287272727273"/>
    <n v="0"/>
    <n v="3166194.2483079485"/>
    <n v="527699.04138465808"/>
    <n v="241805.75169205153"/>
  </r>
  <r>
    <x v="21"/>
    <s v="ALAMBRE DE PUAS C 14.5  X 500 Mts."/>
    <x v="9"/>
    <s v="UND"/>
    <n v="308500"/>
    <n v="349166.66666666669"/>
    <x v="15"/>
    <n v="1851000"/>
    <n v="2095000"/>
    <n v="244000"/>
    <n v="81431.961035221175"/>
    <n v="24762.287272727273"/>
    <n v="0"/>
    <n v="1957194.2483079485"/>
    <n v="326199.04138465808"/>
    <n v="137805.75169205153"/>
  </r>
  <r>
    <x v="22"/>
    <s v="ALAMBRE DE PUAS 12.5 X 350MT"/>
    <x v="9"/>
    <s v="RLL"/>
    <n v="274161.71999999997"/>
    <n v="303166.66666666669"/>
    <x v="18"/>
    <n v="548323.43999999994"/>
    <n v="606333.33333333337"/>
    <n v="58009.893333333428"/>
    <n v="81431.961035221175"/>
    <n v="24762.287272727273"/>
    <n v="0"/>
    <n v="654517.68830794829"/>
    <n v="327258.84415397415"/>
    <n v="-48184.354974614922"/>
  </r>
  <r>
    <x v="23"/>
    <s v="ALBENDAZOL 25% X 100CC"/>
    <x v="5"/>
    <s v="FRS"/>
    <n v="21766"/>
    <n v="25000"/>
    <x v="15"/>
    <n v="130596"/>
    <n v="150000"/>
    <n v="19404"/>
    <n v="81431.961035221175"/>
    <n v="24762.287272727273"/>
    <n v="0"/>
    <n v="236790.24830794844"/>
    <n v="39465.04138465807"/>
    <n v="-86790.248307948437"/>
  </r>
  <r>
    <x v="24"/>
    <s v="MANGA DE PALPACION"/>
    <x v="7"/>
    <s v="UND"/>
    <n v="259"/>
    <n v="500"/>
    <x v="19"/>
    <n v="7252"/>
    <n v="14000"/>
    <n v="6748"/>
    <n v="81431.961035221175"/>
    <n v="24762.287272727273"/>
    <n v="0"/>
    <n v="113446.24830794845"/>
    <n v="4051.6517252838735"/>
    <n v="-99446.248307948452"/>
  </r>
  <r>
    <x v="25"/>
    <s v="ALPISTE  X 454 GR"/>
    <x v="2"/>
    <s v="LB"/>
    <n v="2880"/>
    <n v="3000"/>
    <x v="20"/>
    <n v="135360"/>
    <n v="141000"/>
    <n v="5640"/>
    <n v="81431.961035221175"/>
    <n v="24762.287272727273"/>
    <n v="0"/>
    <n v="241554.24830794844"/>
    <n v="5139.452091658477"/>
    <n v="-100554.24830794844"/>
  </r>
  <r>
    <x v="26"/>
    <s v="ALTO 100SL X 100CC"/>
    <x v="6"/>
    <s v="FRS"/>
    <n v="26645"/>
    <n v="32166.666666666668"/>
    <x v="21"/>
    <n v="319740"/>
    <n v="386000"/>
    <n v="66260"/>
    <n v="81431.961035221175"/>
    <n v="24762.287272727273"/>
    <n v="0"/>
    <n v="425934.24830794847"/>
    <n v="35494.520692329039"/>
    <n v="-39934.248307948466"/>
  </r>
  <r>
    <x v="27"/>
    <s v="AMINA 720  X LITRO"/>
    <x v="10"/>
    <s v="LT"/>
    <n v="24000"/>
    <n v="29000"/>
    <x v="22"/>
    <n v="1032000"/>
    <n v="1247000"/>
    <n v="215000"/>
    <n v="81431.961035221175"/>
    <n v="24762.287272727273"/>
    <n v="0"/>
    <n v="1138194.2483079485"/>
    <n v="26469.633681580195"/>
    <n v="108805.75169205153"/>
  </r>
  <r>
    <x v="28"/>
    <s v="AMINA 720 X 20LITROS"/>
    <x v="10"/>
    <s v="PM"/>
    <n v="410576"/>
    <n v="459600"/>
    <x v="17"/>
    <n v="410576"/>
    <n v="459600"/>
    <n v="49024"/>
    <n v="81431.961035221175"/>
    <n v="24762.287272727273"/>
    <n v="0"/>
    <n v="516770.24830794847"/>
    <n v="516770.24830794847"/>
    <n v="-57170.248307948466"/>
  </r>
  <r>
    <x v="29"/>
    <s v="AMINA X GALON"/>
    <x v="10"/>
    <s v="GL"/>
    <n v="90000"/>
    <n v="103800"/>
    <x v="23"/>
    <n v="1980000"/>
    <n v="2283600"/>
    <n v="303600"/>
    <n v="81431.961035221175"/>
    <n v="24762.287272727273"/>
    <n v="0"/>
    <n v="2086194.2483079485"/>
    <n v="94827.011286724926"/>
    <n v="197405.75169205153"/>
  </r>
  <r>
    <x v="30"/>
    <s v="AMINOVIT VIGORION x LT"/>
    <x v="1"/>
    <s v="LT"/>
    <n v="42000"/>
    <n v="56833.333333333336"/>
    <x v="24"/>
    <n v="1092000"/>
    <n v="1477666.6666666667"/>
    <n v="385666.66666666674"/>
    <n v="81431.961035221175"/>
    <n v="24762.287272727273"/>
    <n v="0"/>
    <n v="1198194.2483079485"/>
    <n v="46084.394165690326"/>
    <n v="279472.41835871828"/>
  </r>
  <r>
    <x v="31"/>
    <s v="AMISTAR 50 WG X 40GR"/>
    <x v="6"/>
    <s v="SOB"/>
    <n v="23138"/>
    <n v="26883.333333333332"/>
    <x v="25"/>
    <n v="485898"/>
    <n v="564550"/>
    <n v="78652"/>
    <n v="81431.961035221175"/>
    <n v="24762.287272727273"/>
    <n v="0"/>
    <n v="592092.24830794835"/>
    <n v="28194.86896704516"/>
    <n v="-27542.24830794835"/>
  </r>
  <r>
    <x v="32"/>
    <s v="AMISTAR TOP X 250CC"/>
    <x v="6"/>
    <s v="FRS"/>
    <n v="68939"/>
    <n v="78600"/>
    <x v="15"/>
    <n v="413634"/>
    <n v="471600"/>
    <n v="57966"/>
    <n v="81431.961035221175"/>
    <n v="24762.287272727273"/>
    <n v="0"/>
    <n v="519828.24830794847"/>
    <n v="86638.041384658078"/>
    <n v="-48228.248307948466"/>
  </r>
  <r>
    <x v="33"/>
    <s v="AMISTAR ZTRA X 250CC"/>
    <x v="6"/>
    <s v="FRS"/>
    <n v="73173"/>
    <n v="84183.333333333328"/>
    <x v="21"/>
    <n v="878076"/>
    <n v="1010200"/>
    <n v="132124"/>
    <n v="81431.961035221175"/>
    <n v="24762.287272727273"/>
    <n v="0"/>
    <n v="984270.24830794835"/>
    <n v="82022.520692329024"/>
    <n v="25929.75169205165"/>
  </r>
  <r>
    <x v="34"/>
    <s v="AMISTAR ZTRA X LITRO"/>
    <x v="6"/>
    <s v="LT"/>
    <n v="265625"/>
    <n v="291666.66666666669"/>
    <x v="18"/>
    <n v="531250"/>
    <n v="583333.33333333337"/>
    <n v="52083.333333333372"/>
    <n v="81431.961035221175"/>
    <n v="24762.287272727273"/>
    <n v="0"/>
    <n v="637444.24830794835"/>
    <n v="318722.12415397417"/>
    <n v="-54110.914974614978"/>
  </r>
  <r>
    <x v="35"/>
    <s v="AMITRAZ 12.5 X 33CC VICAR"/>
    <x v="5"/>
    <s v="FRS"/>
    <n v="4943"/>
    <n v="6200"/>
    <x v="26"/>
    <n v="24715"/>
    <n v="31000"/>
    <n v="6285"/>
    <n v="81431.961035221175"/>
    <n v="24762.287272727273"/>
    <n v="0"/>
    <n v="130909.24830794845"/>
    <n v="26181.849661589691"/>
    <n v="-99909.248307948452"/>
  </r>
  <r>
    <x v="36"/>
    <s v="AMITRAZ 12.5% X 100CC AGROZ"/>
    <x v="5"/>
    <s v="FRS"/>
    <n v="11156"/>
    <n v="15400"/>
    <x v="18"/>
    <n v="22312"/>
    <n v="30800"/>
    <n v="8488"/>
    <n v="81431.961035221175"/>
    <n v="24762.287272727273"/>
    <n v="0"/>
    <n v="128506.24830794845"/>
    <n v="64253.124153974226"/>
    <n v="-97706.248307948452"/>
  </r>
  <r>
    <x v="37"/>
    <s v="ATHRIN BRIO x 250 CC"/>
    <x v="4"/>
    <s v="FRS"/>
    <n v="28950"/>
    <n v="34500"/>
    <x v="18"/>
    <n v="57900"/>
    <n v="69000"/>
    <n v="11100"/>
    <n v="81431.961035221175"/>
    <n v="24762.287272727273"/>
    <n v="0"/>
    <n v="164094.24830794844"/>
    <n v="82047.124153974219"/>
    <n v="-95094.248307948437"/>
  </r>
  <r>
    <x v="38"/>
    <s v="AVITRON ( FEBENDAZOLE) TABLETA"/>
    <x v="5"/>
    <s v="TB"/>
    <n v="167.5384"/>
    <n v="300"/>
    <x v="27"/>
    <n v="29151.6816"/>
    <n v="52200"/>
    <n v="23048.3184"/>
    <n v="81431.961035221175"/>
    <n v="24762.287272727273"/>
    <n v="0"/>
    <n v="135345.92990794845"/>
    <n v="777.85017188476115"/>
    <n v="-83145.929907948448"/>
  </r>
  <r>
    <x v="39"/>
    <s v="AWAKE X 100"/>
    <x v="4"/>
    <s v="FRS"/>
    <n v="7300"/>
    <n v="9500"/>
    <x v="0"/>
    <n v="0"/>
    <n v="0"/>
    <n v="0"/>
    <n v="81431.961035221175"/>
    <n v="24762.287272727273"/>
    <n v="0"/>
    <n v="113494.24830794845"/>
    <n v="113494.24830794845"/>
    <n v="-113494.24830794845"/>
  </r>
  <r>
    <x v="40"/>
    <s v="AZADON FORJADO #2 CAFETERO HERRAGRO"/>
    <x v="9"/>
    <s v="UND"/>
    <n v="12000"/>
    <n v="25000"/>
    <x v="17"/>
    <n v="12000"/>
    <n v="25000"/>
    <n v="13000"/>
    <n v="81431.961035221175"/>
    <n v="24762.287272727273"/>
    <n v="0"/>
    <n v="118194.24830794845"/>
    <n v="118194.24830794845"/>
    <n v="-93194.248307948452"/>
  </r>
  <r>
    <x v="41"/>
    <s v="AZUL DE METILENO X 6GR"/>
    <x v="5"/>
    <s v="SOB"/>
    <n v="4500"/>
    <n v="5133.333333333333"/>
    <x v="28"/>
    <n v="31500"/>
    <n v="35933.333333333328"/>
    <n v="4433.3333333333285"/>
    <n v="81431.961035221175"/>
    <n v="24762.287272727273"/>
    <n v="0"/>
    <n v="137694.24830794844"/>
    <n v="19670.606901135492"/>
    <n v="-101760.91497461511"/>
  </r>
  <r>
    <x v="42"/>
    <s v="VAKIANO X LT"/>
    <x v="6"/>
    <s v="FRS"/>
    <n v="98000"/>
    <n v="117000"/>
    <x v="29"/>
    <n v="9604000"/>
    <n v="11466000"/>
    <n v="1862000"/>
    <n v="81431.961035221175"/>
    <n v="24762.287272727273"/>
    <n v="0"/>
    <n v="9710194.2483079489"/>
    <n v="99083.61477865254"/>
    <n v="1755805.7516920511"/>
  </r>
  <r>
    <x v="43"/>
    <s v="BARRETON COLIMA X 3 LB"/>
    <x v="9"/>
    <s v="UND"/>
    <n v="28717.5"/>
    <n v="32716.666666666668"/>
    <x v="17"/>
    <n v="28717.5"/>
    <n v="32716.666666666668"/>
    <n v="3999.1666666666679"/>
    <n v="81431.961035221175"/>
    <n v="24762.287272727273"/>
    <n v="0"/>
    <n v="134911.74830794844"/>
    <n v="134911.74830794844"/>
    <n v="-102195.08164128177"/>
  </r>
  <r>
    <x v="44"/>
    <s v="BEBEDERO 6 1/2 LT PLASTICO"/>
    <x v="7"/>
    <s v="UND"/>
    <n v="11300.1"/>
    <n v="13833.333333333334"/>
    <x v="30"/>
    <n v="339003"/>
    <n v="415000"/>
    <n v="75997"/>
    <n v="81431.961035221175"/>
    <n v="24762.287272727273"/>
    <n v="0"/>
    <n v="445197.24830794847"/>
    <n v="14839.908276931616"/>
    <n v="-30197.248307948466"/>
  </r>
  <r>
    <x v="45"/>
    <s v="BIOZYME TF LITRO"/>
    <x v="1"/>
    <s v="LT"/>
    <n v="112065"/>
    <n v="135000"/>
    <x v="28"/>
    <n v="784455"/>
    <n v="945000"/>
    <n v="160545"/>
    <n v="81431.961035221175"/>
    <n v="24762.287272727273"/>
    <n v="0"/>
    <n v="890649.24830794835"/>
    <n v="127235.60690113548"/>
    <n v="54350.75169205165"/>
  </r>
  <r>
    <x v="46"/>
    <s v="BIOZYME TF X 225CC"/>
    <x v="1"/>
    <s v="FRS"/>
    <n v="30182"/>
    <n v="35000"/>
    <x v="12"/>
    <n v="422548"/>
    <n v="490000"/>
    <n v="67452"/>
    <n v="81431.961035221175"/>
    <n v="24762.287272727273"/>
    <n v="0"/>
    <n v="528742.24830794847"/>
    <n v="37767.30345056775"/>
    <n v="-38742.248307948466"/>
  </r>
  <r>
    <x v="47"/>
    <s v="BOLFO SHAMPOO X 100ML"/>
    <x v="5"/>
    <s v="FRS"/>
    <n v="12811.54"/>
    <n v="14700"/>
    <x v="0"/>
    <n v="0"/>
    <n v="0"/>
    <n v="0"/>
    <n v="81431.961035221175"/>
    <n v="24762.287272727273"/>
    <n v="0"/>
    <n v="119005.78830794846"/>
    <n v="119005.78830794846"/>
    <n v="-119005.78830794846"/>
  </r>
  <r>
    <x v="48"/>
    <s v="BOLFO TALCO X 100GR"/>
    <x v="5"/>
    <s v="TRR"/>
    <n v="16145"/>
    <n v="18266.666666666668"/>
    <x v="31"/>
    <n v="145305"/>
    <n v="164400"/>
    <n v="19095"/>
    <n v="81431.961035221175"/>
    <n v="24762.287272727273"/>
    <n v="0"/>
    <n v="251499.24830794844"/>
    <n v="27944.360923105382"/>
    <n v="-87099.248307948437"/>
  </r>
  <r>
    <x v="49"/>
    <s v="RC-350B101X BOQUILLA TRACK BRONCE"/>
    <x v="3"/>
    <s v="UND"/>
    <n v="5400"/>
    <n v="6200"/>
    <x v="32"/>
    <n v="221400"/>
    <n v="254200"/>
    <n v="32800"/>
    <n v="81431.961035221175"/>
    <n v="24762.287272727273"/>
    <n v="0"/>
    <n v="327594.24830794847"/>
    <n v="7990.1036172670356"/>
    <n v="-73394.248307948466"/>
  </r>
  <r>
    <x v="50"/>
    <s v="BOQUILLA CONO LLENO (MORADA)"/>
    <x v="3"/>
    <s v="UND"/>
    <n v="19000.000100000001"/>
    <n v="24000"/>
    <x v="0"/>
    <n v="0"/>
    <n v="0"/>
    <n v="0"/>
    <n v="81431.961035221175"/>
    <n v="24762.287272727273"/>
    <n v="0"/>
    <n v="125194.24840794846"/>
    <n v="125194.24840794846"/>
    <n v="-125194.24840794846"/>
  </r>
  <r>
    <x v="51"/>
    <s v="BOQUILLA CON ROTOR"/>
    <x v="3"/>
    <s v="UND"/>
    <n v="3150"/>
    <n v="5200"/>
    <x v="17"/>
    <n v="3150"/>
    <n v="5200"/>
    <n v="2050"/>
    <n v="81431.961035221175"/>
    <n v="24762.287272727273"/>
    <n v="0"/>
    <n v="109344.24830794845"/>
    <n v="109344.24830794845"/>
    <n v="-104144.24830794845"/>
  </r>
  <r>
    <x v="52"/>
    <s v="BROCOLI X 2GR"/>
    <x v="11"/>
    <s v="SOB"/>
    <n v="600"/>
    <n v="1000"/>
    <x v="15"/>
    <n v="3600"/>
    <n v="6000"/>
    <n v="2400"/>
    <n v="81431.961035221175"/>
    <n v="24762.287272727273"/>
    <n v="0"/>
    <n v="109794.24830794845"/>
    <n v="18299.041384658074"/>
    <n v="-103794.24830794845"/>
  </r>
  <r>
    <x v="53"/>
    <s v="CABRIO TOP X 500GR"/>
    <x v="6"/>
    <s v="LB"/>
    <n v="41503"/>
    <n v="48000"/>
    <x v="0"/>
    <n v="0"/>
    <n v="0"/>
    <n v="0"/>
    <n v="81431.961035221175"/>
    <n v="24762.287272727273"/>
    <n v="0"/>
    <n v="147697.24830794844"/>
    <n v="147697.24830794844"/>
    <n v="-147697.24830794844"/>
  </r>
  <r>
    <x v="54"/>
    <s v="CAL DOLOMITA x 50 KL"/>
    <x v="0"/>
    <s v="B50"/>
    <n v="9500"/>
    <n v="12000"/>
    <x v="33"/>
    <n v="4379500"/>
    <n v="5532000"/>
    <n v="1152500"/>
    <n v="81431.961035221175"/>
    <n v="24762.287272727273"/>
    <n v="0"/>
    <n v="4485694.248307948"/>
    <n v="9730.356287002056"/>
    <n v="1046305.751692052"/>
  </r>
  <r>
    <x v="55"/>
    <s v="CALCIO VELOX  x  LIBRA"/>
    <x v="5"/>
    <s v="LB"/>
    <n v="4381.6499999999996"/>
    <n v="5133.333333333333"/>
    <x v="16"/>
    <n v="245372.39999999997"/>
    <n v="287466.66666666663"/>
    <n v="42094.266666666663"/>
    <n v="81431.961035221175"/>
    <n v="24762.287272727273"/>
    <n v="0"/>
    <n v="351566.64830794843"/>
    <n v="6277.9758626419361"/>
    <n v="-64099.981641281804"/>
  </r>
  <r>
    <x v="56"/>
    <s v="CALFOS POLVO X 50 KILOS"/>
    <x v="0"/>
    <s v="B50"/>
    <n v="38800"/>
    <n v="42100"/>
    <x v="34"/>
    <n v="4500800"/>
    <n v="4883600"/>
    <n v="382800"/>
    <n v="81431.961035221175"/>
    <n v="24762.287272727273"/>
    <n v="0"/>
    <n v="4606994.248307948"/>
    <n v="39715.467657827139"/>
    <n v="276605.751692052"/>
  </r>
  <r>
    <x v="57"/>
    <s v="CANCILLER X 250CC"/>
    <x v="6"/>
    <s v="FRS"/>
    <n v="27800"/>
    <n v="33200"/>
    <x v="35"/>
    <n v="111200"/>
    <n v="132800"/>
    <n v="21600"/>
    <n v="81431.961035221175"/>
    <n v="24762.287272727273"/>
    <n v="0"/>
    <n v="217394.24830794844"/>
    <n v="54348.562076987109"/>
    <n v="-84594.248307948437"/>
  </r>
  <r>
    <x v="58"/>
    <s v="CANCILLER X LITRO"/>
    <x v="6"/>
    <s v="LT"/>
    <n v="97100"/>
    <n v="112300"/>
    <x v="13"/>
    <n v="291300"/>
    <n v="336900"/>
    <n v="45600"/>
    <n v="81431.961035221175"/>
    <n v="24762.287272727273"/>
    <n v="0"/>
    <n v="397494.24830794847"/>
    <n v="132498.08276931616"/>
    <n v="-60594.248307948466"/>
  </r>
  <r>
    <x v="59"/>
    <s v="CARBENDAZIM LITRO"/>
    <x v="6"/>
    <s v="LT"/>
    <n v="36700"/>
    <n v="42100"/>
    <x v="36"/>
    <n v="1064300"/>
    <n v="1220900"/>
    <n v="156600"/>
    <n v="81431.961035221175"/>
    <n v="24762.287272727273"/>
    <n v="0"/>
    <n v="1170494.2483079485"/>
    <n v="40361.870631308571"/>
    <n v="50405.751692051534"/>
  </r>
  <r>
    <x v="60"/>
    <s v="CARRETA TOLVA  METALICA (76LT)"/>
    <x v="9"/>
    <s v="UND"/>
    <n v="239904"/>
    <n v="272000"/>
    <x v="0"/>
    <n v="0"/>
    <n v="0"/>
    <n v="0"/>
    <n v="81431.961035221175"/>
    <n v="24762.287272727273"/>
    <n v="0"/>
    <n v="346098.24830794847"/>
    <n v="346098.24830794847"/>
    <n v="-346098.24830794847"/>
  </r>
  <r>
    <x v="61"/>
    <s v="ALBAHACA MORADA"/>
    <x v="11"/>
    <s v="SOB"/>
    <n v="2480"/>
    <n v="4100"/>
    <x v="18"/>
    <n v="4960"/>
    <n v="8200"/>
    <n v="3240"/>
    <n v="81431.961035221175"/>
    <n v="24762.287272727273"/>
    <n v="0"/>
    <n v="111154.24830794845"/>
    <n v="55577.124153974226"/>
    <n v="-102954.24830794845"/>
  </r>
  <r>
    <x v="62"/>
    <s v="CHASIS ROYAL"/>
    <x v="3"/>
    <s v="UND"/>
    <n v="38500"/>
    <n v="45000"/>
    <x v="17"/>
    <n v="38500"/>
    <n v="45000"/>
    <n v="6500"/>
    <n v="81431.961035221175"/>
    <n v="24762.287272727273"/>
    <n v="0"/>
    <n v="144694.24830794844"/>
    <n v="144694.24830794844"/>
    <n v="-99694.248307948437"/>
  </r>
  <r>
    <x v="63"/>
    <s v="CHUPO TERNERO ROJO"/>
    <x v="8"/>
    <s v="UND"/>
    <n v="2150.33"/>
    <n v="2500"/>
    <x v="21"/>
    <n v="25803.96"/>
    <n v="30000"/>
    <n v="4196.0400000000009"/>
    <n v="81431.961035221175"/>
    <n v="24762.287272727273"/>
    <n v="0"/>
    <n v="131998.20830794843"/>
    <n v="10999.850692329035"/>
    <n v="-101998.20830794843"/>
  </r>
  <r>
    <x v="64"/>
    <s v="CINTA ATRAPAMOSCAS UNIDAD"/>
    <x v="5"/>
    <s v="UND"/>
    <n v="931.75"/>
    <n v="1200"/>
    <x v="0"/>
    <n v="0"/>
    <n v="0"/>
    <n v="0"/>
    <n v="81431.961035221175"/>
    <n v="24762.287272727273"/>
    <n v="0"/>
    <n v="107125.99830794845"/>
    <n v="107125.99830794845"/>
    <n v="-107125.99830794845"/>
  </r>
  <r>
    <x v="65"/>
    <s v="CIPERMETRINA UPL EC X 250CC"/>
    <x v="4"/>
    <s v="FRS"/>
    <n v="10878"/>
    <n v="12550"/>
    <x v="30"/>
    <n v="326340"/>
    <n v="376500"/>
    <n v="50160"/>
    <n v="81431.961035221175"/>
    <n v="24762.287272727273"/>
    <n v="0"/>
    <n v="432534.24830794847"/>
    <n v="14417.808276931615"/>
    <n v="-56034.248307948466"/>
  </r>
  <r>
    <x v="66"/>
    <s v="CIPERVET X 10 GRAMOS"/>
    <x v="5"/>
    <s v="UND"/>
    <n v="2154"/>
    <n v="2900"/>
    <x v="26"/>
    <n v="10770"/>
    <n v="14500"/>
    <n v="3730"/>
    <n v="81431.961035221175"/>
    <n v="24762.287272727273"/>
    <n v="0"/>
    <n v="116964.24830794845"/>
    <n v="23392.849661589691"/>
    <n v="-102464.24830794845"/>
  </r>
  <r>
    <x v="67"/>
    <s v="ARRIERO x KL"/>
    <x v="4"/>
    <s v="LT"/>
    <n v="6060"/>
    <n v="7600"/>
    <x v="0"/>
    <n v="0"/>
    <n v="0"/>
    <n v="0"/>
    <n v="81431.961035221175"/>
    <n v="24762.287272727273"/>
    <n v="0"/>
    <n v="112254.24830794845"/>
    <n v="112254.24830794845"/>
    <n v="-112254.24830794845"/>
  </r>
  <r>
    <x v="68"/>
    <s v="CLOSER X 200c.c."/>
    <x v="4"/>
    <s v="FRS"/>
    <n v="48281"/>
    <n v="59083.333333333336"/>
    <x v="35"/>
    <n v="193124"/>
    <n v="236333.33333333334"/>
    <n v="43209.333333333343"/>
    <n v="81431.961035221175"/>
    <n v="24762.287272727273"/>
    <n v="0"/>
    <n v="299318.24830794847"/>
    <n v="74829.562076987117"/>
    <n v="-62984.914974615123"/>
  </r>
  <r>
    <x v="69"/>
    <s v="COCCIGAN SOBRE X 25GR"/>
    <x v="5"/>
    <s v="SOB"/>
    <n v="9614"/>
    <n v="10633.333333333334"/>
    <x v="37"/>
    <n v="144210"/>
    <n v="159500"/>
    <n v="15290"/>
    <n v="81431.961035221175"/>
    <n v="24762.287272727273"/>
    <n v="0"/>
    <n v="250404.24830794844"/>
    <n v="16693.61655386323"/>
    <n v="-90904.248307948437"/>
  </r>
  <r>
    <x v="70"/>
    <s v="COLIFLOR X 5 GR GERM"/>
    <x v="11"/>
    <s v="SOB"/>
    <n v="1600"/>
    <n v="2500"/>
    <x v="13"/>
    <n v="4800"/>
    <n v="7500"/>
    <n v="2700"/>
    <n v="81431.961035221175"/>
    <n v="24762.287272727273"/>
    <n v="0"/>
    <n v="110994.24830794845"/>
    <n v="36998.082769316148"/>
    <n v="-103494.24830794845"/>
  </r>
  <r>
    <x v="71"/>
    <s v="MICROMIN BOVINOS x 1 KL"/>
    <x v="2"/>
    <s v="UND"/>
    <n v="21106.575000000001"/>
    <n v="25200"/>
    <x v="15"/>
    <n v="126639.45000000001"/>
    <n v="151200"/>
    <n v="24560.549999999988"/>
    <n v="81431.961035221175"/>
    <n v="24762.287272727273"/>
    <n v="0"/>
    <n v="232833.69830794845"/>
    <n v="38805.616384658075"/>
    <n v="-81633.698307948449"/>
  </r>
  <r>
    <x v="72"/>
    <s v="PASTA DESCORNAR"/>
    <x v="5"/>
    <s v="UND"/>
    <n v="15500"/>
    <n v="20500"/>
    <x v="17"/>
    <n v="15500"/>
    <n v="20500"/>
    <n v="5000"/>
    <n v="81431.961035221175"/>
    <n v="24762.287272727273"/>
    <n v="0"/>
    <n v="121694.24830794845"/>
    <n v="121694.24830794845"/>
    <n v="-101194.24830794845"/>
  </r>
  <r>
    <x v="73"/>
    <s v="COMEDERO PLAST. X 7KILOS"/>
    <x v="7"/>
    <s v="UND"/>
    <n v="10900.05"/>
    <n v="12666.666666666666"/>
    <x v="38"/>
    <n v="359701.64999999997"/>
    <n v="418000"/>
    <n v="58298.350000000035"/>
    <n v="81431.961035221175"/>
    <n v="24762.287272727273"/>
    <n v="0"/>
    <n v="465895.89830794843"/>
    <n v="14118.057524483285"/>
    <n v="-47895.898307948431"/>
  </r>
  <r>
    <x v="74"/>
    <s v="ESPECIFICO HATOBAC x 250 ML"/>
    <x v="5"/>
    <s v="UND"/>
    <n v="5676"/>
    <n v="7800"/>
    <x v="0"/>
    <n v="0"/>
    <n v="0"/>
    <n v="0"/>
    <n v="81431.961035221175"/>
    <n v="24762.287272727273"/>
    <n v="0"/>
    <n v="111870.24830794845"/>
    <n v="111870.24830794845"/>
    <n v="-111870.24830794845"/>
  </r>
  <r>
    <x v="75"/>
    <s v="COMPLELAND ORAL X 100CC"/>
    <x v="5"/>
    <s v="FRS"/>
    <n v="5482.1538"/>
    <n v="7433.333333333333"/>
    <x v="25"/>
    <n v="115125.2298"/>
    <n v="156100"/>
    <n v="40974.770199999999"/>
    <n v="81431.961035221175"/>
    <n v="24762.287272727273"/>
    <n v="0"/>
    <n v="221319.47810794844"/>
    <n v="10539.022767045164"/>
    <n v="-65219.478107948438"/>
  </r>
  <r>
    <x v="76"/>
    <s v="COMPLEMIL ORAL x 100 ML"/>
    <x v="5"/>
    <s v="ML"/>
    <n v="5390"/>
    <n v="7500"/>
    <x v="12"/>
    <n v="75460"/>
    <n v="105000"/>
    <n v="29540"/>
    <n v="81431.961035221175"/>
    <n v="24762.287272727273"/>
    <n v="0"/>
    <n v="181654.24830794844"/>
    <n v="12975.303450567746"/>
    <n v="-76654.248307948437"/>
  </r>
  <r>
    <x v="77"/>
    <s v="COMPLEMIL X LITRO"/>
    <x v="5"/>
    <s v="LT"/>
    <n v="25171.5"/>
    <n v="37000"/>
    <x v="13"/>
    <n v="75514.5"/>
    <n v="111000"/>
    <n v="35485.5"/>
    <n v="81431.961035221175"/>
    <n v="24762.287272727273"/>
    <n v="0"/>
    <n v="181708.74830794844"/>
    <n v="60569.582769316148"/>
    <n v="-70708.748307948437"/>
  </r>
  <r>
    <x v="78"/>
    <s v="COSMOAGUAS X 200GR"/>
    <x v="1"/>
    <s v="SOB"/>
    <n v="10100"/>
    <n v="11666.666666666666"/>
    <x v="39"/>
    <n v="242400"/>
    <n v="280000"/>
    <n v="37600"/>
    <n v="81431.961035221175"/>
    <n v="24762.287272727273"/>
    <n v="0"/>
    <n v="348594.24830794847"/>
    <n v="14524.760346164519"/>
    <n v="-68594.248307948466"/>
  </r>
  <r>
    <x v="79"/>
    <s v="COSMOCEL 20-30-10 KILO"/>
    <x v="1"/>
    <s v="KL"/>
    <n v="24100"/>
    <n v="32000"/>
    <x v="3"/>
    <n v="241000"/>
    <n v="320000"/>
    <n v="79000"/>
    <n v="81431.961035221175"/>
    <n v="24762.287272727273"/>
    <n v="0"/>
    <n v="347194.24830794847"/>
    <n v="34719.424830794844"/>
    <n v="-27194.248307948466"/>
  </r>
  <r>
    <x v="80"/>
    <s v="CRECER 500 X 900GR"/>
    <x v="1"/>
    <s v="KL"/>
    <n v="11172"/>
    <n v="13500"/>
    <x v="40"/>
    <n v="402192"/>
    <n v="486000"/>
    <n v="83808"/>
    <n v="81431.961035221175"/>
    <n v="24762.287272727273"/>
    <n v="0"/>
    <n v="508386.24830794847"/>
    <n v="14121.840230776346"/>
    <n v="-22386.248307948466"/>
  </r>
  <r>
    <x v="81"/>
    <s v="GLIFOSATO 747 SOBRE"/>
    <x v="10"/>
    <s v="SOB"/>
    <n v="4597"/>
    <n v="6200"/>
    <x v="41"/>
    <n v="1057310"/>
    <n v="1426000"/>
    <n v="368690"/>
    <n v="81431.961035221175"/>
    <n v="24762.287272727273"/>
    <n v="0"/>
    <n v="1163504.2483079485"/>
    <n v="5058.7141230780371"/>
    <n v="262495.75169205153"/>
  </r>
  <r>
    <x v="82"/>
    <s v="CREDIT X GALON"/>
    <x v="10"/>
    <s v="GL"/>
    <n v="61900"/>
    <n v="72000"/>
    <x v="0"/>
    <n v="0"/>
    <n v="0"/>
    <n v="0"/>
    <n v="81431.961035221175"/>
    <n v="24762.287272727273"/>
    <n v="0"/>
    <n v="168094.24830794844"/>
    <n v="168094.24830794844"/>
    <n v="-168094.24830794844"/>
  </r>
  <r>
    <x v="83"/>
    <s v="CREDIT X LITRO"/>
    <x v="10"/>
    <s v="LT"/>
    <n v="16200"/>
    <n v="19800"/>
    <x v="0"/>
    <n v="0"/>
    <n v="0"/>
    <n v="0"/>
    <n v="81431.961035221175"/>
    <n v="24762.287272727273"/>
    <n v="0"/>
    <n v="122394.24830794845"/>
    <n v="122394.24830794845"/>
    <n v="-122394.24830794845"/>
  </r>
  <r>
    <x v="84"/>
    <s v="CUCHILLA DOBLE TIRO"/>
    <x v="12"/>
    <s v="UND"/>
    <n v="17372.810000000001"/>
    <n v="23000"/>
    <x v="26"/>
    <n v="86864.05"/>
    <n v="115000"/>
    <n v="28135.949999999997"/>
    <n v="81431.961035221175"/>
    <n v="24762.287272727273"/>
    <n v="0"/>
    <n v="193058.29830794843"/>
    <n v="38611.659661589685"/>
    <n v="-78058.298307948426"/>
  </r>
  <r>
    <x v="85"/>
    <s v="CUCHILLA GUADAAA 350 X 1"/>
    <x v="9"/>
    <s v="UND"/>
    <n v="8605.2960000000003"/>
    <n v="9666.6666666666661"/>
    <x v="11"/>
    <n v="197921.80800000002"/>
    <n v="222333.33333333331"/>
    <n v="24411.525333333295"/>
    <n v="81431.961035221175"/>
    <n v="24762.287272727273"/>
    <n v="0"/>
    <n v="304116.05630794849"/>
    <n v="13222.43723078037"/>
    <n v="-81782.722974615172"/>
  </r>
  <r>
    <x v="86"/>
    <s v="CURAGAN NL X 375ML"/>
    <x v="5"/>
    <s v="FRS"/>
    <n v="20037"/>
    <n v="22833.333333333332"/>
    <x v="20"/>
    <n v="941739"/>
    <n v="1073166.6666666665"/>
    <n v="131427.66666666651"/>
    <n v="81431.961035221175"/>
    <n v="24762.287272727273"/>
    <n v="0"/>
    <n v="1047933.2483079483"/>
    <n v="22296.452091658477"/>
    <n v="25233.418358718161"/>
  </r>
  <r>
    <x v="87"/>
    <s v="CURZATE M8 X 500GR"/>
    <x v="6"/>
    <s v="LB"/>
    <n v="18326"/>
    <n v="22500"/>
    <x v="15"/>
    <n v="109956"/>
    <n v="135000"/>
    <n v="25044"/>
    <n v="81431.961035221175"/>
    <n v="24762.287272727273"/>
    <n v="0"/>
    <n v="216150.24830794844"/>
    <n v="36025.04138465807"/>
    <n v="-81150.248307948437"/>
  </r>
  <r>
    <x v="88"/>
    <s v="CUTAMYCON V CREMA X 35GR"/>
    <x v="5"/>
    <s v="UND"/>
    <n v="16773"/>
    <n v="21000"/>
    <x v="26"/>
    <n v="83865"/>
    <n v="105000"/>
    <n v="21135"/>
    <n v="81431.961035221175"/>
    <n v="24762.287272727273"/>
    <n v="0"/>
    <n v="190059.24830794844"/>
    <n v="38011.849661589687"/>
    <n v="-85059.248307948437"/>
  </r>
  <r>
    <x v="89"/>
    <s v="DAP X KILO"/>
    <x v="0"/>
    <s v="KL"/>
    <n v="4630"/>
    <n v="5500"/>
    <x v="42"/>
    <n v="3361380"/>
    <n v="3993000"/>
    <n v="631620"/>
    <n v="283519.42464527232"/>
    <n v="24762.287272727273"/>
    <n v="106174.11764705883"/>
    <n v="3775835.829565058"/>
    <n v="5200.8757982989782"/>
    <n v="217164.170434942"/>
  </r>
  <r>
    <x v="90"/>
    <s v="DESTETADOR PLASTICO"/>
    <x v="8"/>
    <s v="UND"/>
    <n v="2142"/>
    <n v="3000"/>
    <x v="26"/>
    <n v="10710"/>
    <n v="15000"/>
    <n v="4290"/>
    <n v="81431.961035221175"/>
    <n v="24762.287272727273"/>
    <n v="0"/>
    <n v="116904.24830794845"/>
    <n v="23380.849661589691"/>
    <n v="-101904.24830794845"/>
  </r>
  <r>
    <x v="91"/>
    <s v="DETIAGAS TABLETAS"/>
    <x v="4"/>
    <s v="UND"/>
    <n v="385.28530000000001"/>
    <n v="500"/>
    <x v="43"/>
    <n v="112118.0223"/>
    <n v="145500"/>
    <n v="33381.977700000003"/>
    <n v="81431.961035221175"/>
    <n v="24762.287272727273"/>
    <n v="0"/>
    <n v="218312.27060794845"/>
    <n v="750.21398834346542"/>
    <n v="-72812.270607948449"/>
  </r>
  <r>
    <x v="92"/>
    <s v="DEXAPEN X 10CC"/>
    <x v="5"/>
    <s v="FRS"/>
    <n v="16628"/>
    <n v="20500"/>
    <x v="44"/>
    <n v="282676"/>
    <n v="348500"/>
    <n v="65824"/>
    <n v="81431.961035221175"/>
    <n v="24762.287272727273"/>
    <n v="0"/>
    <n v="388870.24830794847"/>
    <n v="22874.720488702849"/>
    <n v="-40370.248307948466"/>
  </r>
  <r>
    <x v="93"/>
    <s v="DEXAPEN X 20CC"/>
    <x v="5"/>
    <s v="FRS"/>
    <n v="24233"/>
    <n v="28000"/>
    <x v="45"/>
    <n v="654291"/>
    <n v="756000"/>
    <n v="101709"/>
    <n v="81431.961035221175"/>
    <n v="24762.287272727273"/>
    <n v="0"/>
    <n v="760485.24830794835"/>
    <n v="28166.120307701789"/>
    <n v="-4485.24830794835"/>
  </r>
  <r>
    <x v="94"/>
    <s v="DEXTROMIN RB12 X500"/>
    <x v="5"/>
    <s v="UND"/>
    <n v="27350"/>
    <n v="32000"/>
    <x v="37"/>
    <n v="410250"/>
    <n v="480000"/>
    <n v="69750"/>
    <n v="81431.961035221175"/>
    <n v="24762.287272727273"/>
    <n v="0"/>
    <n v="516444.24830794847"/>
    <n v="34429.616553863234"/>
    <n v="-36444.248307948466"/>
  </r>
  <r>
    <x v="95"/>
    <s v="DILARVON COJIN X 30CC"/>
    <x v="5"/>
    <s v="COJ"/>
    <n v="1958"/>
    <n v="2733.3333333333335"/>
    <x v="46"/>
    <n v="111606"/>
    <n v="155800"/>
    <n v="44194"/>
    <n v="81431.961035221175"/>
    <n v="24762.287272727273"/>
    <n v="0"/>
    <n v="217800.24830794844"/>
    <n v="3821.0569878587444"/>
    <n v="-62000.248307948437"/>
  </r>
  <r>
    <x v="96"/>
    <s v="DITHANE M-45WP X KILO"/>
    <x v="6"/>
    <s v="KL"/>
    <n v="19558"/>
    <n v="23916.666666666668"/>
    <x v="47"/>
    <n v="997458"/>
    <n v="1219750"/>
    <n v="222292"/>
    <n v="81431.961035221175"/>
    <n v="24762.287272727273"/>
    <n v="0"/>
    <n v="1103652.2483079485"/>
    <n v="21640.240162900951"/>
    <n v="116097.75169205153"/>
  </r>
  <r>
    <x v="97"/>
    <s v="F CERDO LEVANTE x 20 KL"/>
    <x v="2"/>
    <s v="UND"/>
    <n v="39145.050000000003"/>
    <n v="44000"/>
    <x v="0"/>
    <n v="0"/>
    <n v="0"/>
    <n v="0"/>
    <n v="81431.961035221175"/>
    <n v="24762.287272727273"/>
    <n v="0"/>
    <n v="145339.29830794845"/>
    <n v="145339.29830794845"/>
    <n v="-145339.29830794845"/>
  </r>
  <r>
    <x v="98"/>
    <s v="COBREX FCO X 50ML"/>
    <x v="5"/>
    <s v="FCO"/>
    <n v="43707"/>
    <n v="50200"/>
    <x v="17"/>
    <n v="43707"/>
    <n v="50200"/>
    <n v="6493"/>
    <n v="81431.961035221175"/>
    <n v="24762.287272727273"/>
    <n v="0"/>
    <n v="149901.24830794844"/>
    <n v="149901.24830794844"/>
    <n v="-99701.248307948437"/>
  </r>
  <r>
    <x v="99"/>
    <s v="ELOSAL X 5 LT"/>
    <x v="6"/>
    <s v="LT"/>
    <n v="106742.64"/>
    <n v="126266.66666666667"/>
    <x v="17"/>
    <n v="106742.64"/>
    <n v="126266.66666666667"/>
    <n v="19524.026666666672"/>
    <n v="81431.961035221175"/>
    <n v="24762.287272727273"/>
    <n v="0"/>
    <n v="212936.88830794845"/>
    <n v="212936.88830794845"/>
    <n v="-86670.22164128178"/>
  </r>
  <r>
    <x v="100"/>
    <s v="ELOSAL X LITRO"/>
    <x v="6"/>
    <s v="LT"/>
    <n v="22547.78"/>
    <n v="26416.666666666668"/>
    <x v="26"/>
    <n v="112738.9"/>
    <n v="132083.33333333334"/>
    <n v="19344.433333333349"/>
    <n v="81431.961035221175"/>
    <n v="24762.287272727273"/>
    <n v="0"/>
    <n v="218933.14830794843"/>
    <n v="43786.629661589686"/>
    <n v="-86849.814974615088"/>
  </r>
  <r>
    <x v="101"/>
    <s v="EMBAJADOR X 50KL (20-4-18)"/>
    <x v="0"/>
    <s v="B50"/>
    <n v="213000"/>
    <n v="221100"/>
    <x v="48"/>
    <n v="8520000"/>
    <n v="8844000"/>
    <n v="324000"/>
    <n v="81431.961035221175"/>
    <n v="24762.287272727273"/>
    <n v="0"/>
    <n v="8626194.2483079489"/>
    <n v="215654.85620769873"/>
    <n v="217805.75169205107"/>
  </r>
  <r>
    <x v="102"/>
    <s v="ENGEO 247SC X 250 ML"/>
    <x v="4"/>
    <s v="FRS"/>
    <n v="46328"/>
    <n v="55250"/>
    <x v="18"/>
    <n v="92656"/>
    <n v="110500"/>
    <n v="17844"/>
    <n v="81431.961035221175"/>
    <n v="24762.287272727273"/>
    <n v="0"/>
    <n v="198850.24830794844"/>
    <n v="99425.124153974219"/>
    <n v="-88350.248307948437"/>
  </r>
  <r>
    <x v="103"/>
    <s v="EQUISTAR JGA X 20GR"/>
    <x v="5"/>
    <s v="JER"/>
    <n v="40479.7857"/>
    <n v="45000"/>
    <x v="49"/>
    <n v="323838.2856"/>
    <n v="360000"/>
    <n v="36161.714399999997"/>
    <n v="81431.961035221175"/>
    <n v="24762.287272727273"/>
    <n v="0"/>
    <n v="430032.53390794847"/>
    <n v="53754.066738493559"/>
    <n v="-70032.533907948469"/>
  </r>
  <r>
    <x v="104"/>
    <s v="ERITROVET SB X 30GR"/>
    <x v="5"/>
    <s v="SOB"/>
    <n v="7394.8462"/>
    <n v="9000"/>
    <x v="50"/>
    <n v="96133.000599999999"/>
    <n v="117000"/>
    <n v="20866.999400000001"/>
    <n v="81431.961035221175"/>
    <n v="24762.287272727273"/>
    <n v="0"/>
    <n v="202327.24890794844"/>
    <n v="15563.634531380649"/>
    <n v="-85327.248907948437"/>
  </r>
  <r>
    <x v="105"/>
    <s v="ESCOBA PLAST 22 DIENTES BELLOTA"/>
    <x v="9"/>
    <s v="UND"/>
    <n v="9473.9231999999993"/>
    <n v="10800"/>
    <x v="49"/>
    <n v="75791.385599999994"/>
    <n v="86400"/>
    <n v="10608.614400000006"/>
    <n v="81431.961035221175"/>
    <n v="24762.287272727273"/>
    <n v="0"/>
    <n v="181985.63390794842"/>
    <n v="22748.204238493552"/>
    <n v="-95585.633907948417"/>
  </r>
  <r>
    <x v="106"/>
    <s v="ESPECIFICO SCHERING X 120 ML"/>
    <x v="5"/>
    <s v="FRS"/>
    <n v="5209"/>
    <n v="6750"/>
    <x v="51"/>
    <n v="130225"/>
    <n v="168750"/>
    <n v="38525"/>
    <n v="81431.961035221175"/>
    <n v="24762.287272727273"/>
    <n v="0"/>
    <n v="236419.24830794844"/>
    <n v="9456.7699323179368"/>
    <n v="-67669.248307948437"/>
  </r>
  <r>
    <x v="107"/>
    <s v="ESPECIFICO SHERING X 330 ML"/>
    <x v="5"/>
    <s v="FRS"/>
    <n v="10389"/>
    <n v="14500"/>
    <x v="3"/>
    <n v="103890"/>
    <n v="145000"/>
    <n v="41110"/>
    <n v="81431.961035221175"/>
    <n v="24762.287272727273"/>
    <n v="0"/>
    <n v="210084.24830794844"/>
    <n v="21008.424830794844"/>
    <n v="-65084.248307948437"/>
  </r>
  <r>
    <x v="108"/>
    <s v="ESPINACA X 3 GR SGA"/>
    <x v="11"/>
    <s v="SOB"/>
    <n v="2230"/>
    <n v="2466.6666666666665"/>
    <x v="15"/>
    <n v="13380"/>
    <n v="14800"/>
    <n v="1420"/>
    <n v="81431.961035221175"/>
    <n v="24762.287272727273"/>
    <n v="0"/>
    <n v="119574.24830794845"/>
    <n v="19929.041384658074"/>
    <n v="-104774.24830794845"/>
  </r>
  <r>
    <x v="109"/>
    <s v="ESTOCADA 90SP X 60GR"/>
    <x v="4"/>
    <s v="SOB"/>
    <n v="12800"/>
    <n v="14800"/>
    <x v="52"/>
    <n v="448000"/>
    <n v="518000"/>
    <n v="70000"/>
    <n v="81431.961035221175"/>
    <n v="24762.287272727273"/>
    <n v="0"/>
    <n v="554194.24830794835"/>
    <n v="15834.121380227096"/>
    <n v="-36194.24830794835"/>
  </r>
  <r>
    <x v="110"/>
    <s v="EXALT 60 SC X 100C.C."/>
    <x v="4"/>
    <s v="FRS"/>
    <n v="36213"/>
    <n v="41666.666666666664"/>
    <x v="9"/>
    <n v="579408"/>
    <n v="666666.66666666663"/>
    <n v="87258.666666666628"/>
    <n v="81431.961035221175"/>
    <n v="24762.287272727273"/>
    <n v="0"/>
    <n v="685602.24830794835"/>
    <n v="42850.140519246772"/>
    <n v="-18935.581641281722"/>
  </r>
  <r>
    <x v="111"/>
    <s v="EXALT X 500C.C."/>
    <x v="4"/>
    <s v="FRS"/>
    <n v="162928"/>
    <n v="185200"/>
    <x v="18"/>
    <n v="325856"/>
    <n v="370400"/>
    <n v="44544"/>
    <n v="81431.961035221175"/>
    <n v="24762.287272727273"/>
    <n v="0"/>
    <n v="432050.24830794847"/>
    <n v="216025.12415397423"/>
    <n v="-61650.248307948466"/>
  </r>
  <r>
    <x v="112"/>
    <s v="F GEST HNA. X 40K"/>
    <x v="2"/>
    <s v="B40"/>
    <n v="84434.7"/>
    <n v="101483.33333333333"/>
    <x v="38"/>
    <n v="2786345.1"/>
    <n v="3348950"/>
    <n v="562604.89999999991"/>
    <n v="81431.961035221175"/>
    <n v="24762.287272727273"/>
    <n v="0"/>
    <n v="2892539.3483079486"/>
    <n v="87652.707524483296"/>
    <n v="456410.65169205144"/>
  </r>
  <r>
    <x v="113"/>
    <s v="F LACT HNA X 40"/>
    <x v="2"/>
    <s v="B40"/>
    <n v="97099.8"/>
    <n v="112833.33333333333"/>
    <x v="38"/>
    <n v="3204293.4"/>
    <n v="3723500"/>
    <n v="519206.60000000009"/>
    <n v="81431.961035221175"/>
    <n v="24762.287272727273"/>
    <n v="0"/>
    <n v="3310487.6483079484"/>
    <n v="100317.80752448329"/>
    <n v="413012.35169205163"/>
  </r>
  <r>
    <x v="114"/>
    <s v="F CERDO INICIO KILO"/>
    <x v="2"/>
    <s v="B40"/>
    <n v="2912.2494999999999"/>
    <n v="3333.3333333333335"/>
    <x v="0"/>
    <n v="0"/>
    <n v="0"/>
    <n v="0"/>
    <n v="283519.42464527232"/>
    <n v="24762.287272727273"/>
    <n v="106174.11764705883"/>
    <n v="417368.07906505838"/>
    <n v="417368.07906505838"/>
    <n v="-417368.07906505838"/>
  </r>
  <r>
    <x v="115"/>
    <s v="F CERDO INIC. PAST. X 40K"/>
    <x v="2"/>
    <s v="B40"/>
    <n v="113490.3"/>
    <n v="125550"/>
    <x v="53"/>
    <n v="13902561.75"/>
    <n v="15379875"/>
    <n v="1477313.25"/>
    <n v="81431.961035221175"/>
    <n v="24762.287272727273"/>
    <n v="0"/>
    <n v="14008755.998307949"/>
    <n v="114357.19182292203"/>
    <n v="1371119.0016920511"/>
  </r>
  <r>
    <x v="116"/>
    <s v="F CERDO LEVANTE 25-30  X 40kl"/>
    <x v="2"/>
    <s v="B40"/>
    <n v="94000"/>
    <n v="101100"/>
    <x v="54"/>
    <n v="71910000"/>
    <n v="77341500"/>
    <n v="5431500"/>
    <n v="81431.961035221175"/>
    <n v="24762.287272727273"/>
    <n v="0"/>
    <n v="72016194.248307943"/>
    <n v="94138.816010860057"/>
    <n v="5325305.7516920567"/>
  </r>
  <r>
    <x v="117"/>
    <s v="F CERDOS PRE-INIC PAST X 40K"/>
    <x v="2"/>
    <s v="B40"/>
    <n v="169004.85"/>
    <n v="187500"/>
    <x v="55"/>
    <n v="6844696.4249999998"/>
    <n v="7593750"/>
    <n v="749053.57500000019"/>
    <n v="81431.961035221175"/>
    <n v="24762.287272727273"/>
    <n v="0"/>
    <n v="6950890.6733079478"/>
    <n v="171626.9302051345"/>
    <n v="642859.32669205219"/>
  </r>
  <r>
    <x v="118"/>
    <s v="F CONEJOS PAST X 40K"/>
    <x v="2"/>
    <s v="B40"/>
    <n v="90549.9"/>
    <n v="106433.33333333333"/>
    <x v="28"/>
    <n v="633849.29999999993"/>
    <n v="745033.33333333326"/>
    <n v="111184.03333333333"/>
    <n v="81431.961035221175"/>
    <n v="24762.287272727273"/>
    <n v="0"/>
    <n v="740043.5483079484"/>
    <n v="105720.50690113548"/>
    <n v="4989.7850253848592"/>
  </r>
  <r>
    <x v="119"/>
    <s v="F CONEJOS X KILO"/>
    <x v="2"/>
    <s v="KL"/>
    <n v="2415.1574999999998"/>
    <n v="2833.3333333333335"/>
    <x v="56"/>
    <n v="1637476.7849999999"/>
    <n v="1921000"/>
    <n v="283523.21500000008"/>
    <n v="81431.961035221175"/>
    <n v="24762.287272727273"/>
    <n v="0"/>
    <n v="1743671.0333079484"/>
    <n v="2571.7861848199827"/>
    <n v="177328.96669205162"/>
  </r>
  <r>
    <x v="120"/>
    <s v="F CUYES PT.X 40K"/>
    <x v="2"/>
    <s v="B40"/>
    <n v="87000"/>
    <n v="97717"/>
    <x v="57"/>
    <n v="8439000"/>
    <n v="9478549"/>
    <n v="1039549"/>
    <n v="81431.961035221175"/>
    <n v="24762.287272727273"/>
    <n v="0"/>
    <n v="8545194.2483079489"/>
    <n v="88094.786065030406"/>
    <n v="933354.75169205107"/>
  </r>
  <r>
    <x v="121"/>
    <s v="F CUYES X KILO"/>
    <x v="2"/>
    <s v="KL"/>
    <n v="2232.2474999999999"/>
    <n v="2633.3333333333335"/>
    <x v="58"/>
    <n v="723248.19"/>
    <n v="853200"/>
    <n v="129951.81000000006"/>
    <n v="81431.961035221175"/>
    <n v="24762.287272727273"/>
    <n v="0"/>
    <n v="829442.43830794829"/>
    <n v="2560.0075256418158"/>
    <n v="23757.561692051706"/>
  </r>
  <r>
    <x v="122"/>
    <s v="F ENG. PARRILLERO GR X 40K"/>
    <x v="2"/>
    <s v="B40"/>
    <n v="114669"/>
    <n v="125000"/>
    <x v="59"/>
    <n v="11409565.5"/>
    <n v="12437500"/>
    <n v="1027934.5"/>
    <n v="81431.961035221175"/>
    <n v="24762.287272727273"/>
    <n v="0"/>
    <n v="11515759.748307949"/>
    <n v="115736.27887746683"/>
    <n v="921740.25169205107"/>
  </r>
  <r>
    <x v="123"/>
    <s v="F FASE I GR X 40K"/>
    <x v="2"/>
    <s v="B40"/>
    <n v="97862.1"/>
    <n v="113066.66666666667"/>
    <x v="60"/>
    <n v="10715899.950000001"/>
    <n v="12380800"/>
    <n v="1664900.0499999989"/>
    <n v="81431.961035221175"/>
    <n v="24762.287272727273"/>
    <n v="0"/>
    <n v="10822094.19830795"/>
    <n v="98831.910486830588"/>
    <n v="1558705.80169205"/>
  </r>
  <r>
    <x v="124"/>
    <s v="F HUEVO GR X KILO"/>
    <x v="2"/>
    <s v="KL"/>
    <n v="2369.0625"/>
    <n v="2850"/>
    <x v="61"/>
    <n v="6285122.8125"/>
    <n v="7561050"/>
    <n v="1275927.1875"/>
    <n v="81431.961035221175"/>
    <n v="24762.287272727273"/>
    <n v="0"/>
    <n v="6391317.060807948"/>
    <n v="2409.0904865465313"/>
    <n v="1169732.939192052"/>
  </r>
  <r>
    <x v="125"/>
    <s v="F HUEVOS GR X 40K"/>
    <x v="2"/>
    <s v="B40"/>
    <n v="85300"/>
    <n v="104933.33333333333"/>
    <x v="9"/>
    <n v="1364800"/>
    <n v="1678933.3333333333"/>
    <n v="314133.33333333326"/>
    <n v="81431.961035221175"/>
    <n v="24762.287272727273"/>
    <n v="0"/>
    <n v="1470994.2483079485"/>
    <n v="91937.140519246779"/>
    <n v="207939.08502538479"/>
  </r>
  <r>
    <x v="126"/>
    <s v="BLACKPOT x KL"/>
    <x v="1"/>
    <s v="KL"/>
    <n v="50000"/>
    <n v="64000"/>
    <x v="44"/>
    <n v="850000"/>
    <n v="1088000"/>
    <n v="238000"/>
    <n v="81431.961035221175"/>
    <n v="24762.287272727273"/>
    <n v="0"/>
    <n v="956194.24830794835"/>
    <n v="56246.720488702842"/>
    <n v="131805.75169205165"/>
  </r>
  <r>
    <x v="127"/>
    <s v="F I PARRILLERO GR X 40K"/>
    <x v="2"/>
    <s v="B40"/>
    <n v="110543.75"/>
    <n v="125650"/>
    <x v="62"/>
    <n v="30288987.5"/>
    <n v="34428100"/>
    <n v="4139112.5"/>
    <n v="81431.961035221175"/>
    <n v="24762.287272727273"/>
    <n v="0"/>
    <n v="30395181.748307951"/>
    <n v="110931.3202492991"/>
    <n v="4032918.2516920492"/>
  </r>
  <r>
    <x v="128"/>
    <s v="F I PARRILLERO X KILO"/>
    <x v="2"/>
    <s v="KL"/>
    <n v="2808.3825000000002"/>
    <n v="3300"/>
    <x v="63"/>
    <n v="9562542.4124999996"/>
    <n v="11236500"/>
    <n v="1673957.5875000004"/>
    <n v="81431.961035221175"/>
    <n v="24762.287272727273"/>
    <n v="0"/>
    <n v="9668736.6608079486"/>
    <n v="2839.5702381227456"/>
    <n v="1567763.3391920514"/>
  </r>
  <r>
    <x v="129"/>
    <s v="F L STAND 70 PASTX 40KL"/>
    <x v="2"/>
    <s v="B40"/>
    <n v="78577"/>
    <n v="88133"/>
    <x v="32"/>
    <n v="3221657"/>
    <n v="3613453"/>
    <n v="391796"/>
    <n v="81431.961035221175"/>
    <n v="24762.287272727273"/>
    <n v="0"/>
    <n v="3327851.2483079485"/>
    <n v="81167.103617267043"/>
    <n v="285601.75169205153"/>
  </r>
  <r>
    <x v="130"/>
    <s v="F L STAND 70 HNA X 40K"/>
    <x v="2"/>
    <s v="B40"/>
    <n v="76579"/>
    <n v="80900"/>
    <x v="64"/>
    <n v="102462702"/>
    <n v="108244200"/>
    <n v="5781498"/>
    <n v="81431.961035221175"/>
    <n v="24762.287272727273"/>
    <n v="0"/>
    <n v="102568896.24830794"/>
    <n v="76658.367898585901"/>
    <n v="5675303.7516920567"/>
  </r>
  <r>
    <x v="131"/>
    <s v="F LECHE 14-16 HARINA X 40"/>
    <x v="2"/>
    <s v="B40"/>
    <n v="71193"/>
    <n v="80000"/>
    <x v="65"/>
    <n v="12245196"/>
    <n v="13760000"/>
    <n v="1514804"/>
    <n v="81431.961035221175"/>
    <n v="24762.287272727273"/>
    <n v="0"/>
    <n v="12351390.248307949"/>
    <n v="71810.408420395048"/>
    <n v="1408609.7516920511"/>
  </r>
  <r>
    <x v="132"/>
    <s v="F POLLO CAMPESINO GR"/>
    <x v="2"/>
    <s v="KL"/>
    <n v="77771.399999999994"/>
    <n v="94216.666666666672"/>
    <x v="17"/>
    <n v="77771.399999999994"/>
    <n v="94216.666666666672"/>
    <n v="16445.266666666677"/>
    <n v="81431.961035221175"/>
    <n v="24762.287272727273"/>
    <n v="0"/>
    <n v="183965.64830794843"/>
    <n v="183965.64830794843"/>
    <n v="-89748.98164128176"/>
  </r>
  <r>
    <x v="133"/>
    <s v="CEBOLLA ROJA x 2 GR GERM"/>
    <x v="11"/>
    <s v="B40"/>
    <n v="600"/>
    <n v="800"/>
    <x v="49"/>
    <n v="4800"/>
    <n v="6400"/>
    <n v="1600"/>
    <n v="81431.961035221175"/>
    <n v="24762.287272727273"/>
    <n v="0"/>
    <n v="110994.24830794845"/>
    <n v="13874.281038493556"/>
    <n v="-104594.24830794845"/>
  </r>
  <r>
    <x v="134"/>
    <s v="F MOJARRA CRECIM 40% KILO"/>
    <x v="2"/>
    <s v="KL"/>
    <n v="4398.5249999999996"/>
    <n v="5016.666666666667"/>
    <x v="66"/>
    <n v="593800.875"/>
    <n v="677250"/>
    <n v="83449.125"/>
    <n v="283519.42464527232"/>
    <n v="24762.287272727273"/>
    <n v="106174.11764705883"/>
    <n v="1008256.7045650583"/>
    <n v="7468.5681819633955"/>
    <n v="-331006.70456505835"/>
  </r>
  <r>
    <x v="135"/>
    <s v="F OLIMPICO CINTA AZUL X 30 KL"/>
    <x v="2"/>
    <s v="B30"/>
    <n v="73458"/>
    <n v="91800"/>
    <x v="0"/>
    <n v="0"/>
    <n v="0"/>
    <n v="0"/>
    <n v="81431.961035221175"/>
    <n v="24762.287272727273"/>
    <n v="0"/>
    <n v="179652.24830794844"/>
    <n v="179652.24830794844"/>
    <n v="-179652.24830794844"/>
  </r>
  <r>
    <x v="136"/>
    <s v="F SAL 8  X 40 KL"/>
    <x v="2"/>
    <s v="B40"/>
    <n v="82071.149999999994"/>
    <n v="132416.66666666666"/>
    <x v="17"/>
    <n v="82071.149999999994"/>
    <n v="132416.66666666666"/>
    <n v="50345.516666666663"/>
    <n v="81431.961035221175"/>
    <n v="24762.287272727273"/>
    <n v="0"/>
    <n v="188265.39830794843"/>
    <n v="188265.39830794843"/>
    <n v="-55848.731641281775"/>
  </r>
  <r>
    <x v="137"/>
    <s v="F SAL FORMULA 1 CALCICA X 40K"/>
    <x v="2"/>
    <s v="B40"/>
    <n v="104188.35"/>
    <n v="116508.33333333333"/>
    <x v="50"/>
    <n v="1354448.55"/>
    <n v="1514608.3333333333"/>
    <n v="160159.78333333321"/>
    <n v="81431.961035221175"/>
    <n v="24762.287272727273"/>
    <n v="0"/>
    <n v="1460642.7983079485"/>
    <n v="112357.13833138066"/>
    <n v="53965.535025384743"/>
  </r>
  <r>
    <x v="138"/>
    <s v="F SAL UNIVERSAL F X 10K"/>
    <x v="2"/>
    <s v="B10"/>
    <n v="18363.45"/>
    <n v="21233.333333333332"/>
    <x v="57"/>
    <n v="1781254.6500000001"/>
    <n v="2059633.3333333333"/>
    <n v="278378.68333333312"/>
    <n v="81431.961035221175"/>
    <n v="24762.287272727273"/>
    <n v="0"/>
    <n v="1887448.8983079486"/>
    <n v="19458.236065030396"/>
    <n v="172184.43502538465"/>
  </r>
  <r>
    <x v="139"/>
    <s v="F SAL UNIVERSAL F X 40K"/>
    <x v="2"/>
    <s v="B40"/>
    <n v="62106.45"/>
    <n v="71450"/>
    <x v="67"/>
    <n v="1180022.55"/>
    <n v="1357550"/>
    <n v="177527.44999999995"/>
    <n v="81431.961035221175"/>
    <n v="24762.287272727273"/>
    <n v="0"/>
    <n v="1286216.7983079485"/>
    <n v="67695.620963576235"/>
    <n v="71333.201692051487"/>
  </r>
  <r>
    <x v="140"/>
    <s v="F SAL UNIVERSAL X KILO"/>
    <x v="2"/>
    <s v="KL"/>
    <n v="1647.3975"/>
    <n v="1950"/>
    <x v="68"/>
    <n v="367369.64250000002"/>
    <n v="434850"/>
    <n v="67480.357499999984"/>
    <n v="81431.961035221175"/>
    <n v="24762.287272727273"/>
    <n v="0"/>
    <n v="473563.89080794848"/>
    <n v="2123.6048915154643"/>
    <n v="-38713.890807948483"/>
  </r>
  <r>
    <x v="141"/>
    <s v="F VACAS PRELACTANCIA PX40K"/>
    <x v="2"/>
    <s v="B40"/>
    <n v="78091.649999999994"/>
    <n v="91916.666666666672"/>
    <x v="69"/>
    <n v="2655116.0999999996"/>
    <n v="3125166.666666667"/>
    <n v="470050.56666666735"/>
    <n v="81431.961035221175"/>
    <n v="24762.287272727273"/>
    <n v="0"/>
    <n v="2761310.3483079481"/>
    <n v="81215.010244351419"/>
    <n v="363856.31835871888"/>
  </r>
  <r>
    <x v="142"/>
    <s v="FEBENZOL 10% JERINGA X 25ML"/>
    <x v="5"/>
    <s v="JER"/>
    <n v="10550"/>
    <n v="12133.333333333334"/>
    <x v="15"/>
    <n v="63300"/>
    <n v="72800"/>
    <n v="9500"/>
    <n v="81431.961035221175"/>
    <n v="24762.287272727273"/>
    <n v="0"/>
    <n v="169494.24830794844"/>
    <n v="28249.041384658074"/>
    <n v="-96694.248307948437"/>
  </r>
  <r>
    <x v="143"/>
    <s v="FENTOPEN 500 EC X 250CC"/>
    <x v="4"/>
    <s v="LT"/>
    <n v="18350"/>
    <n v="22000"/>
    <x v="26"/>
    <n v="91750"/>
    <n v="110000"/>
    <n v="18250"/>
    <n v="81431.961035221175"/>
    <n v="24762.287272727273"/>
    <n v="0"/>
    <n v="197944.24830794844"/>
    <n v="39588.849661589687"/>
    <n v="-87944.248307948437"/>
  </r>
  <r>
    <x v="144"/>
    <s v="FENTOPEN 500EC LITRO"/>
    <x v="4"/>
    <s v="LT"/>
    <n v="64476"/>
    <n v="72000"/>
    <x v="13"/>
    <n v="193428"/>
    <n v="216000"/>
    <n v="22572"/>
    <n v="81431.961035221175"/>
    <n v="24762.287272727273"/>
    <n v="0"/>
    <n v="299622.24830794847"/>
    <n v="99874.082769316155"/>
    <n v="-83622.248307948466"/>
  </r>
  <r>
    <x v="145"/>
    <s v="FERREX B12 X 25ML"/>
    <x v="5"/>
    <s v="FRS"/>
    <n v="13052"/>
    <n v="16000"/>
    <x v="3"/>
    <n v="130520"/>
    <n v="160000"/>
    <n v="29480"/>
    <n v="81431.961035221175"/>
    <n v="24762.287272727273"/>
    <n v="0"/>
    <n v="236714.24830794844"/>
    <n v="23671.424830794844"/>
    <n v="-76714.248307948437"/>
  </r>
  <r>
    <x v="146"/>
    <s v="FILPO ADULTO X 10 KILOS"/>
    <x v="2"/>
    <s v="B10"/>
    <n v="31861.147499999999"/>
    <n v="36250"/>
    <x v="70"/>
    <n v="4396838.3549999995"/>
    <n v="5002500"/>
    <n v="605661.64500000048"/>
    <n v="81431.961035221175"/>
    <n v="24762.287272727273"/>
    <n v="0"/>
    <n v="4503032.6033079475"/>
    <n v="32630.671038463388"/>
    <n v="499467.39669205248"/>
  </r>
  <r>
    <x v="147"/>
    <s v="FILPO ADULTO X KILO"/>
    <x v="2"/>
    <s v="KL"/>
    <n v="3057.66"/>
    <n v="3500"/>
    <x v="71"/>
    <n v="2229034.1399999997"/>
    <n v="2551500"/>
    <n v="322465.86000000034"/>
    <n v="283519.42464527232"/>
    <n v="24762.287272727273"/>
    <n v="106174.11764705883"/>
    <n v="2643489.9695650577"/>
    <n v="3626.1865151784054"/>
    <n v="-91989.969565057661"/>
  </r>
  <r>
    <x v="148"/>
    <s v="FILPO X30 K"/>
    <x v="2"/>
    <s v="B30"/>
    <n v="89479.74"/>
    <n v="100017"/>
    <x v="72"/>
    <n v="12885082.560000001"/>
    <n v="14402448"/>
    <n v="1517365.4399999995"/>
    <n v="81431.961035221175"/>
    <n v="24762.287272727273"/>
    <n v="0"/>
    <n v="12991276.808307949"/>
    <n v="90217.200057694092"/>
    <n v="1411171.1916920505"/>
  </r>
  <r>
    <x v="149"/>
    <s v="FINCUC TUBO X 90 GR"/>
    <x v="5"/>
    <s v="UND"/>
    <n v="5200"/>
    <n v="7200"/>
    <x v="0"/>
    <n v="0"/>
    <n v="0"/>
    <n v="0"/>
    <n v="81431.961035221175"/>
    <n v="24762.287272727273"/>
    <n v="0"/>
    <n v="111394.24830794845"/>
    <n v="111394.24830794845"/>
    <n v="-111394.24830794845"/>
  </r>
  <r>
    <x v="150"/>
    <s v="FITORAZ X 500GR"/>
    <x v="6"/>
    <s v="LB"/>
    <n v="23076.06"/>
    <n v="27866.666666666668"/>
    <x v="36"/>
    <n v="669205.74"/>
    <n v="808133.33333333337"/>
    <n v="138927.59333333338"/>
    <n v="81431.961035221175"/>
    <n v="24762.287272727273"/>
    <n v="0"/>
    <n v="775399.98830794834"/>
    <n v="26737.930631308562"/>
    <n v="32733.345025385031"/>
  </r>
  <r>
    <x v="151"/>
    <s v="FLORESCENCIA  KL"/>
    <x v="1"/>
    <s v="KL"/>
    <n v="9200"/>
    <n v="10266.666666666666"/>
    <x v="73"/>
    <n v="552000"/>
    <n v="616000"/>
    <n v="64000"/>
    <n v="81431.961035221175"/>
    <n v="24762.287272727273"/>
    <n v="0"/>
    <n v="658194.24830794835"/>
    <n v="10969.904138465807"/>
    <n v="-42194.24830794835"/>
  </r>
  <r>
    <x v="152"/>
    <s v="FLOXCELIN ORAL X 10 ML"/>
    <x v="5"/>
    <s v="TRR"/>
    <n v="6000"/>
    <n v="6000"/>
    <x v="0"/>
    <n v="0"/>
    <n v="0"/>
    <n v="0"/>
    <n v="81431.961035221175"/>
    <n v="24762.287272727273"/>
    <n v="0"/>
    <n v="112194.24830794845"/>
    <n v="112194.24830794845"/>
    <n v="-112194.24830794845"/>
  </r>
  <r>
    <x v="153"/>
    <s v="FOLITOP AMONIKUALIUM x KL"/>
    <x v="1"/>
    <s v="KL"/>
    <n v="41000"/>
    <n v="55466.666666666664"/>
    <x v="50"/>
    <n v="533000"/>
    <n v="721066.66666666663"/>
    <n v="188066.66666666663"/>
    <n v="81431.961035221175"/>
    <n v="24762.287272727273"/>
    <n v="0"/>
    <n v="639194.24830794835"/>
    <n v="49168.788331380645"/>
    <n v="81872.418358718278"/>
  </r>
  <r>
    <x v="154"/>
    <s v="FOLITOP AMINO PHOSZINC x KL"/>
    <x v="1"/>
    <s v="KL"/>
    <n v="41000"/>
    <n v="64333.333333333336"/>
    <x v="48"/>
    <n v="1640000"/>
    <n v="2573333.3333333335"/>
    <n v="933333.33333333349"/>
    <n v="81431.961035221175"/>
    <n v="24762.287272727273"/>
    <n v="0"/>
    <n v="1746194.2483079485"/>
    <n v="43654.856207698715"/>
    <n v="827139.08502538502"/>
  </r>
  <r>
    <x v="155"/>
    <s v="FORUM 500 X 120GR"/>
    <x v="6"/>
    <s v="SOB"/>
    <n v="13386"/>
    <n v="16500"/>
    <x v="49"/>
    <n v="107088"/>
    <n v="132000"/>
    <n v="24912"/>
    <n v="81431.961035221175"/>
    <n v="24762.287272727273"/>
    <n v="0"/>
    <n v="213282.24830794844"/>
    <n v="26660.281038493555"/>
    <n v="-81282.248307948437"/>
  </r>
  <r>
    <x v="156"/>
    <s v="FUMIGADORA ASIA PRESION FERCON"/>
    <x v="3"/>
    <s v="UND"/>
    <n v="16458.75"/>
    <n v="18500"/>
    <x v="28"/>
    <n v="115211.25"/>
    <n v="129500"/>
    <n v="14288.75"/>
    <n v="81431.961035221175"/>
    <n v="24762.287272727273"/>
    <n v="0"/>
    <n v="221405.49830794844"/>
    <n v="31629.356901135492"/>
    <n v="-91905.498307948437"/>
  </r>
  <r>
    <x v="157"/>
    <s v="RC-920EMPX LLAVE ALIADA"/>
    <x v="3"/>
    <s v="UND"/>
    <n v="37500"/>
    <n v="37250"/>
    <x v="18"/>
    <n v="75000"/>
    <n v="74500"/>
    <n v="-500"/>
    <n v="81431.961035221175"/>
    <n v="24762.287272727273"/>
    <n v="0"/>
    <n v="181194.24830794844"/>
    <n v="90597.124153974219"/>
    <n v="-106694.24830794844"/>
  </r>
  <r>
    <x v="158"/>
    <s v="ROYAL CONDOR CLASICA X 20LTS"/>
    <x v="3"/>
    <s v="UND"/>
    <n v="332000"/>
    <n v="361000"/>
    <x v="13"/>
    <n v="996000"/>
    <n v="1083000"/>
    <n v="87000"/>
    <n v="81431.961035221175"/>
    <n v="24762.287272727273"/>
    <n v="0"/>
    <n v="1102194.2483079485"/>
    <n v="367398.08276931616"/>
    <n v="-19194.248307948466"/>
  </r>
  <r>
    <x v="159"/>
    <s v="GLIFOSATO x POMA"/>
    <x v="10"/>
    <s v="POMA"/>
    <n v="260500"/>
    <n v="342600"/>
    <x v="13"/>
    <n v="781500"/>
    <n v="1027800"/>
    <n v="246300"/>
    <n v="81431.961035221175"/>
    <n v="24762.287272727273"/>
    <n v="0"/>
    <n v="887694.24830794835"/>
    <n v="295898.0827693161"/>
    <n v="140105.75169205165"/>
  </r>
  <r>
    <x v="160"/>
    <s v="GANAPEN 5&quot;"/>
    <x v="5"/>
    <s v="FRS"/>
    <n v="33247"/>
    <n v="38600"/>
    <x v="18"/>
    <n v="66494"/>
    <n v="77200"/>
    <n v="10706"/>
    <n v="81431.961035221175"/>
    <n v="24762.287272727273"/>
    <n v="0"/>
    <n v="172688.24830794844"/>
    <n v="86344.124153974219"/>
    <n v="-95488.248307948437"/>
  </r>
  <r>
    <x v="161"/>
    <s v="GANAPEN 7.5&quot;"/>
    <x v="5"/>
    <s v="FRS"/>
    <n v="40262"/>
    <n v="46300"/>
    <x v="13"/>
    <n v="120786"/>
    <n v="138900"/>
    <n v="18114"/>
    <n v="81431.961035221175"/>
    <n v="24762.287272727273"/>
    <n v="0"/>
    <n v="226980.24830794844"/>
    <n v="75660.082769316141"/>
    <n v="-88080.248307948437"/>
  </r>
  <r>
    <x v="162"/>
    <s v="GEMINIS X 125GR"/>
    <x v="6"/>
    <s v="SOB"/>
    <n v="27300"/>
    <n v="30000"/>
    <x v="12"/>
    <n v="382200"/>
    <n v="420000"/>
    <n v="37800"/>
    <n v="81431.961035221175"/>
    <n v="24762.287272727273"/>
    <n v="0"/>
    <n v="488394.24830794847"/>
    <n v="34885.30345056775"/>
    <n v="-68394.248307948466"/>
  </r>
  <r>
    <x v="163"/>
    <s v="GLIFOSOL LITRO"/>
    <x v="10"/>
    <s v="LT"/>
    <n v="34500"/>
    <n v="38866.666666666664"/>
    <x v="74"/>
    <n v="9280500"/>
    <n v="10455133.333333332"/>
    <n v="1174633.3333333321"/>
    <n v="81431.961035221175"/>
    <n v="24762.287272727273"/>
    <n v="0"/>
    <n v="9386694.2483079489"/>
    <n v="34894.774157278618"/>
    <n v="1068439.0850253832"/>
  </r>
  <r>
    <x v="164"/>
    <s v="GLIFOSOL X GALON"/>
    <x v="10"/>
    <s v="GL"/>
    <n v="137300"/>
    <n v="150550"/>
    <x v="75"/>
    <n v="10297500"/>
    <n v="11291250"/>
    <n v="993750"/>
    <n v="81431.961035221175"/>
    <n v="24762.287272727273"/>
    <n v="0"/>
    <n v="10403694.248307949"/>
    <n v="138715.92331077266"/>
    <n v="887555.75169205107"/>
  </r>
  <r>
    <x v="165"/>
    <s v="GLIFOSOL POMA X 20 LTS"/>
    <x v="10"/>
    <s v="PM"/>
    <n v="680500"/>
    <n v="713333.33333333337"/>
    <x v="31"/>
    <n v="6124500"/>
    <n v="6420000"/>
    <n v="295500"/>
    <n v="81431.961035221175"/>
    <n v="24762.287272727273"/>
    <n v="0"/>
    <n v="6230694.248307948"/>
    <n v="692299.36092310539"/>
    <n v="189305.751692052"/>
  </r>
  <r>
    <x v="166"/>
    <s v="GRAMOXONE GALON"/>
    <x v="10"/>
    <s v="GL"/>
    <n v="98988"/>
    <n v="111333.33333333333"/>
    <x v="15"/>
    <n v="593928"/>
    <n v="668000"/>
    <n v="74072"/>
    <n v="81431.961035221175"/>
    <n v="24762.287272727273"/>
    <n v="0"/>
    <n v="700122.24830794835"/>
    <n v="116687.04138465806"/>
    <n v="-32122.24830794835"/>
  </r>
  <r>
    <x v="167"/>
    <s v="GRAMOXONE LITRO"/>
    <x v="10"/>
    <s v="LT"/>
    <n v="26422"/>
    <n v="31583.333333333332"/>
    <x v="12"/>
    <n v="369908"/>
    <n v="442166.66666666663"/>
    <n v="72258.666666666628"/>
    <n v="81431.961035221175"/>
    <n v="24762.287272727273"/>
    <n v="0"/>
    <n v="476102.24830794847"/>
    <n v="34007.30345056775"/>
    <n v="-33935.581641281839"/>
  </r>
  <r>
    <x v="168"/>
    <s v="GRAPA X KL PUMA"/>
    <x v="9"/>
    <s v="CJ"/>
    <n v="9778.23"/>
    <n v="10833.333333333334"/>
    <x v="76"/>
    <n v="674697.87"/>
    <n v="747500"/>
    <n v="72802.13"/>
    <n v="81431.961035221175"/>
    <n v="24762.287272727273"/>
    <n v="0"/>
    <n v="780892.11830794846"/>
    <n v="11317.27707692679"/>
    <n v="-33392.118307948462"/>
  </r>
  <r>
    <x v="169"/>
    <s v="ACEITE SINTE 2T PINTA"/>
    <x v="9"/>
    <s v="UND"/>
    <n v="12000"/>
    <n v="16000"/>
    <x v="0"/>
    <n v="0"/>
    <n v="0"/>
    <n v="0"/>
    <n v="81431.961035221175"/>
    <n v="24762.287272727273"/>
    <n v="0"/>
    <n v="118194.24830794845"/>
    <n v="118194.24830794845"/>
    <n v="-118194.24830794845"/>
  </r>
  <r>
    <x v="170"/>
    <s v="GUSANTROL X 60GR"/>
    <x v="5"/>
    <s v="TRR"/>
    <n v="7466"/>
    <n v="8500"/>
    <x v="28"/>
    <n v="52262"/>
    <n v="59500"/>
    <n v="7238"/>
    <n v="81431.961035221175"/>
    <n v="24762.287272727273"/>
    <n v="0"/>
    <n v="158456.24830794844"/>
    <n v="22636.606901135492"/>
    <n v="-98956.248307948437"/>
  </r>
  <r>
    <x v="171"/>
    <s v="HARINA DE MAIZ X KILO"/>
    <x v="2"/>
    <s v="KL"/>
    <n v="1749.6121000000001"/>
    <n v="2083.3333333333335"/>
    <x v="77"/>
    <n v="2136276.3741000001"/>
    <n v="2543750"/>
    <n v="407473.62589999987"/>
    <n v="81431.961035221175"/>
    <n v="24762.287272727273"/>
    <n v="0"/>
    <n v="2242470.6224079486"/>
    <n v="1836.5852763373862"/>
    <n v="301279.3775920514"/>
  </r>
  <r>
    <x v="172"/>
    <s v="HIERBABUENA"/>
    <x v="11"/>
    <s v="SOBRE"/>
    <n v="2420"/>
    <n v="3383.3333333333335"/>
    <x v="26"/>
    <n v="12100"/>
    <n v="16916.666666666668"/>
    <n v="4816.6666666666679"/>
    <n v="81431.961035221175"/>
    <n v="24762.287272727273"/>
    <n v="0"/>
    <n v="118294.24830794845"/>
    <n v="23658.849661589691"/>
    <n v="-101377.58164128178"/>
  </r>
  <r>
    <x v="173"/>
    <s v="HIERRO DEXTRAN ERMA x 20 ML"/>
    <x v="5"/>
    <s v="ML"/>
    <n v="11333"/>
    <n v="14200"/>
    <x v="15"/>
    <n v="67998"/>
    <n v="85200"/>
    <n v="17202"/>
    <n v="81431.961035221175"/>
    <n v="24762.287272727273"/>
    <n v="0"/>
    <n v="174192.24830794844"/>
    <n v="29032.041384658074"/>
    <n v="-88992.248307948437"/>
  </r>
  <r>
    <x v="174"/>
    <s v="HILO P.P. X 1500 MTS"/>
    <x v="9"/>
    <s v="UND"/>
    <n v="9855.58"/>
    <n v="12733.333333333334"/>
    <x v="25"/>
    <n v="206967.18"/>
    <n v="267400"/>
    <n v="60432.820000000007"/>
    <n v="81431.961035221175"/>
    <n v="24762.287272727273"/>
    <n v="0"/>
    <n v="313161.42830794846"/>
    <n v="14912.448967045164"/>
    <n v="-45761.428307948459"/>
  </r>
  <r>
    <x v="175"/>
    <s v="HILO P.P. X 750 MTS"/>
    <x v="9"/>
    <s v="UND"/>
    <n v="13400.59"/>
    <n v="15000"/>
    <x v="78"/>
    <n v="603026.55000000005"/>
    <n v="675000"/>
    <n v="71973.449999999953"/>
    <n v="81431.961035221175"/>
    <n v="24762.287272727273"/>
    <n v="0"/>
    <n v="709220.7983079484"/>
    <n v="15760.462184621076"/>
    <n v="-34220.798307948397"/>
  </r>
  <r>
    <x v="176"/>
    <s v="HORMIX X 500GR"/>
    <x v="1"/>
    <s v="LB"/>
    <n v="14700"/>
    <n v="18500"/>
    <x v="3"/>
    <n v="147000"/>
    <n v="185000"/>
    <n v="38000"/>
    <n v="81431.961035221175"/>
    <n v="24762.287272727273"/>
    <n v="0"/>
    <n v="253194.24830794844"/>
    <n v="25319.424830794844"/>
    <n v="-68194.248307948437"/>
  </r>
  <r>
    <x v="177"/>
    <s v="IMPACTO X 100 ML"/>
    <x v="5"/>
    <s v="FRS"/>
    <n v="39528"/>
    <n v="45200"/>
    <x v="13"/>
    <n v="118584"/>
    <n v="135600"/>
    <n v="17016"/>
    <n v="81431.961035221175"/>
    <n v="24762.287272727273"/>
    <n v="0"/>
    <n v="224778.24830794844"/>
    <n v="74926.082769316141"/>
    <n v="-89178.248307948437"/>
  </r>
  <r>
    <x v="178"/>
    <s v="IMPACTO X 25CC"/>
    <x v="5"/>
    <s v="FCO"/>
    <n v="12423"/>
    <n v="13600"/>
    <x v="9"/>
    <n v="198768"/>
    <n v="217600"/>
    <n v="18832"/>
    <n v="81431.961035221175"/>
    <n v="24762.287272727273"/>
    <n v="0"/>
    <n v="304962.24830794847"/>
    <n v="19060.140519246779"/>
    <n v="-87362.248307948466"/>
  </r>
  <r>
    <x v="179"/>
    <s v="IMPULSOR ULTRA 120 ( 65 KMS)"/>
    <x v="12"/>
    <s v="UND"/>
    <n v="179640.1152"/>
    <n v="230000"/>
    <x v="18"/>
    <n v="359280.2304"/>
    <n v="460000"/>
    <n v="100719.7696"/>
    <n v="81431.961035221175"/>
    <n v="24762.287272727273"/>
    <n v="0"/>
    <n v="465474.47870794847"/>
    <n v="232737.23935397423"/>
    <n v="-5474.4787079484668"/>
  </r>
  <r>
    <x v="180"/>
    <s v="INTREPID 2F X 100 CC"/>
    <x v="4"/>
    <s v="UND"/>
    <n v="20427"/>
    <n v="24833.333333333332"/>
    <x v="3"/>
    <n v="204270"/>
    <n v="248333.33333333331"/>
    <n v="44063.333333333314"/>
    <n v="81431.961035221175"/>
    <n v="24762.287272727273"/>
    <n v="0"/>
    <n v="310464.24830794847"/>
    <n v="31046.424830794847"/>
    <n v="-62130.914974615152"/>
  </r>
  <r>
    <x v="181"/>
    <s v="INTREPID 2F X LITRO"/>
    <x v="4"/>
    <s v="LT"/>
    <n v="181625.71"/>
    <n v="208833.33333333334"/>
    <x v="18"/>
    <n v="363251.42"/>
    <n v="417666.66666666669"/>
    <n v="54415.246666666702"/>
    <n v="81431.961035221175"/>
    <n v="24762.287272727273"/>
    <n v="0"/>
    <n v="469445.66830794845"/>
    <n v="234722.83415397423"/>
    <n v="-51779.001641281764"/>
  </r>
  <r>
    <x v="182"/>
    <s v="JABON ASUNTOL SABILA X 90GR"/>
    <x v="5"/>
    <s v="UND"/>
    <n v="8250"/>
    <n v="9300"/>
    <x v="0"/>
    <n v="0"/>
    <n v="0"/>
    <n v="0"/>
    <n v="81431.961035221175"/>
    <n v="24762.287272727273"/>
    <n v="0"/>
    <n v="114444.24830794845"/>
    <n v="114444.24830794845"/>
    <n v="-114444.24830794845"/>
  </r>
  <r>
    <x v="183"/>
    <s v="JABON ASUNTOL X 90GR"/>
    <x v="5"/>
    <s v="UND"/>
    <n v="8618"/>
    <n v="10000"/>
    <x v="79"/>
    <n v="448136"/>
    <n v="520000"/>
    <n v="71864"/>
    <n v="81431.961035221175"/>
    <n v="24762.287272727273"/>
    <n v="0"/>
    <n v="554330.24830794835"/>
    <n v="10660.197082845161"/>
    <n v="-34330.24830794835"/>
  </r>
  <r>
    <x v="184"/>
    <s v="JABON FRECUENCE"/>
    <x v="5"/>
    <s v="UND"/>
    <n v="5593"/>
    <n v="6800"/>
    <x v="17"/>
    <n v="5593"/>
    <n v="6800"/>
    <n v="1207"/>
    <n v="81431.961035221175"/>
    <n v="24762.287272727273"/>
    <n v="0"/>
    <n v="111787.24830794845"/>
    <n v="111787.24830794845"/>
    <n v="-104987.24830794845"/>
  </r>
  <r>
    <x v="185"/>
    <s v="JERINGA DESECH. X 10 CC"/>
    <x v="7"/>
    <s v="UND"/>
    <n v="452.2"/>
    <n v="550"/>
    <x v="80"/>
    <n v="34819.4"/>
    <n v="42350"/>
    <n v="7530.5999999999985"/>
    <n v="81431.961035221175"/>
    <n v="24762.287272727273"/>
    <n v="0"/>
    <n v="141013.64830794843"/>
    <n v="1831.3460819214083"/>
    <n v="-98663.648307948431"/>
  </r>
  <r>
    <x v="186"/>
    <s v="JERINGA DESECH. X 3 CC"/>
    <x v="7"/>
    <s v="UND"/>
    <n v="248.42"/>
    <n v="450"/>
    <x v="81"/>
    <n v="46454.54"/>
    <n v="84150"/>
    <n v="37695.46"/>
    <n v="81431.961035221175"/>
    <n v="24762.287272727273"/>
    <n v="0"/>
    <n v="152648.78830794845"/>
    <n v="816.30368079116818"/>
    <n v="-68498.788307948445"/>
  </r>
  <r>
    <x v="187"/>
    <s v="JERINGA DESECH. X 5CC"/>
    <x v="8"/>
    <s v="UND"/>
    <n v="368.9"/>
    <n v="500"/>
    <x v="82"/>
    <n v="18445"/>
    <n v="25000"/>
    <n v="6555"/>
    <n v="81431.961035221175"/>
    <n v="24762.287272727273"/>
    <n v="0"/>
    <n v="124639.24830794845"/>
    <n v="2492.7849661589689"/>
    <n v="-99639.248307948452"/>
  </r>
  <r>
    <x v="188"/>
    <s v="TERMOMETRO DE MAXIMA Y MINIMA"/>
    <x v="7"/>
    <s v="UND"/>
    <n v="23566"/>
    <n v="30000"/>
    <x v="0"/>
    <n v="0"/>
    <n v="0"/>
    <n v="0"/>
    <n v="81431.961035221175"/>
    <n v="24762.287272727273"/>
    <n v="0"/>
    <n v="129760.24830794845"/>
    <n v="129760.24830794845"/>
    <n v="-129760.24830794845"/>
  </r>
  <r>
    <x v="189"/>
    <s v="KAVITEX 20/20 X 20CC"/>
    <x v="5"/>
    <s v="CC"/>
    <n v="12361.6"/>
    <n v="14516.666666666666"/>
    <x v="31"/>
    <n v="111254.40000000001"/>
    <n v="130650"/>
    <n v="19395.599999999991"/>
    <n v="81431.961035221175"/>
    <n v="24762.287272727273"/>
    <n v="0"/>
    <n v="217448.64830794846"/>
    <n v="24160.960923105384"/>
    <n v="-86798.648307948461"/>
  </r>
  <r>
    <x v="190"/>
    <s v="KCL MANUCHAR x 50 KL"/>
    <x v="0"/>
    <s v="BT50"/>
    <n v="220000"/>
    <n v="244000"/>
    <x v="83"/>
    <n v="3960000"/>
    <n v="4392000"/>
    <n v="432000"/>
    <n v="81431.961035221175"/>
    <n v="24762.287272727273"/>
    <n v="0"/>
    <n v="4066194.2483079485"/>
    <n v="225899.68046155269"/>
    <n v="325805.75169205153"/>
  </r>
  <r>
    <x v="191"/>
    <s v="KCL X KILO"/>
    <x v="0"/>
    <s v="KL"/>
    <n v="3060"/>
    <n v="4600"/>
    <x v="84"/>
    <n v="388620"/>
    <n v="584200"/>
    <n v="195580"/>
    <n v="283519.42464527232"/>
    <n v="24762.287272727273"/>
    <n v="106174.11764705883"/>
    <n v="803075.82956505835"/>
    <n v="6323.4317288587272"/>
    <n v="-218875.82956505835"/>
  </r>
  <r>
    <x v="192"/>
    <s v="KETOCONAZOL 200 MG X TAB 10"/>
    <x v="5"/>
    <s v="TAB"/>
    <n v="1000"/>
    <n v="1600"/>
    <x v="15"/>
    <n v="6000"/>
    <n v="9600"/>
    <n v="3600"/>
    <n v="81431.961035221175"/>
    <n v="24762.287272727273"/>
    <n v="0"/>
    <n v="112194.24830794845"/>
    <n v="18699.041384658074"/>
    <n v="-102594.24830794845"/>
  </r>
  <r>
    <x v="193"/>
    <s v="RC-K8X KIT EMBOLO"/>
    <x v="3"/>
    <s v="UND"/>
    <n v="3200"/>
    <n v="3700"/>
    <x v="9"/>
    <n v="51200"/>
    <n v="59200"/>
    <n v="8000"/>
    <n v="81431.961035221175"/>
    <n v="24762.287272727273"/>
    <n v="0"/>
    <n v="157394.24830794844"/>
    <n v="9837.1405192467773"/>
    <n v="-98194.248307948437"/>
  </r>
  <r>
    <x v="194"/>
    <s v="RC-K6X KIT EMPAQUE LLAVE STEEL PLAST."/>
    <x v="3"/>
    <s v="UND"/>
    <n v="5265.75"/>
    <n v="7200"/>
    <x v="35"/>
    <n v="21063"/>
    <n v="28800"/>
    <n v="7737"/>
    <n v="81431.961035221175"/>
    <n v="24762.287272727273"/>
    <n v="0"/>
    <n v="127257.24830794845"/>
    <n v="31814.312076987113"/>
    <n v="-98457.248307948452"/>
  </r>
  <r>
    <x v="195"/>
    <s v="RC-K2X KIT EMPAQUES"/>
    <x v="3"/>
    <s v="UND"/>
    <n v="3500"/>
    <n v="4800"/>
    <x v="26"/>
    <n v="17500"/>
    <n v="24000"/>
    <n v="6500"/>
    <n v="81431.961035221175"/>
    <n v="24762.287272727273"/>
    <n v="0"/>
    <n v="123694.24830794845"/>
    <n v="24738.849661589691"/>
    <n v="-99694.248307948452"/>
  </r>
  <r>
    <x v="196"/>
    <s v="RC-K812X KIT PIN Y ARANDELA VARILLA"/>
    <x v="3"/>
    <s v="UND"/>
    <n v="1250"/>
    <n v="1700"/>
    <x v="18"/>
    <n v="2500"/>
    <n v="3400"/>
    <n v="900"/>
    <n v="81431.961035221175"/>
    <n v="24762.287272727273"/>
    <n v="0"/>
    <n v="108694.24830794845"/>
    <n v="54347.124153974226"/>
    <n v="-105294.24830794845"/>
  </r>
  <r>
    <x v="197"/>
    <s v="KLERAT X 20GR SOBRE"/>
    <x v="5"/>
    <s v="SOB"/>
    <n v="3822"/>
    <n v="4600"/>
    <x v="85"/>
    <n v="584766"/>
    <n v="703800"/>
    <n v="119034"/>
    <n v="81431.961035221175"/>
    <n v="24762.287272727273"/>
    <n v="0"/>
    <n v="690960.24830794835"/>
    <n v="4516.0800543003161"/>
    <n v="12839.75169205165"/>
  </r>
  <r>
    <x v="198"/>
    <s v="LANNATE X 135GR"/>
    <x v="4"/>
    <s v="SOB"/>
    <n v="12444"/>
    <n v="17200"/>
    <x v="47"/>
    <n v="634644"/>
    <n v="877200"/>
    <n v="242556"/>
    <n v="81431.961035221175"/>
    <n v="24762.287272727273"/>
    <n v="0"/>
    <n v="740838.24830794835"/>
    <n v="14526.240162900947"/>
    <n v="136361.75169205165"/>
  </r>
  <r>
    <x v="199"/>
    <s v="LANNATE X LITRO"/>
    <x v="4"/>
    <s v="LT"/>
    <n v="39611.89"/>
    <n v="45666.666666666664"/>
    <x v="21"/>
    <n v="475342.68"/>
    <n v="548000"/>
    <n v="72657.320000000007"/>
    <n v="81431.961035221175"/>
    <n v="24762.287272727273"/>
    <n v="0"/>
    <n v="581536.9283079484"/>
    <n v="48461.410692329031"/>
    <n v="-33536.928307948401"/>
  </r>
  <r>
    <x v="200"/>
    <s v="RC-346EX-INX LANZA CAPRI EMSABLADA INOXIDABLE"/>
    <x v="3"/>
    <s v="UND"/>
    <n v="17300"/>
    <n v="19800"/>
    <x v="39"/>
    <n v="415200"/>
    <n v="475200"/>
    <n v="60000"/>
    <n v="81431.961035221175"/>
    <n v="24762.287272727273"/>
    <n v="0"/>
    <n v="521394.24830794847"/>
    <n v="21724.760346164519"/>
    <n v="-46194.248307948466"/>
  </r>
  <r>
    <x v="201"/>
    <s v="LATIGO X 250c.c"/>
    <x v="4"/>
    <s v="FRS"/>
    <n v="19000"/>
    <n v="23000"/>
    <x v="50"/>
    <n v="247000"/>
    <n v="299000"/>
    <n v="52000"/>
    <n v="81431.961035221175"/>
    <n v="24762.287272727273"/>
    <n v="0"/>
    <n v="353194.24830794847"/>
    <n v="27168.788331380652"/>
    <n v="-54194.248307948466"/>
  </r>
  <r>
    <x v="202"/>
    <s v="LATIGO X LITRO"/>
    <x v="4"/>
    <s v="LT"/>
    <n v="70000"/>
    <n v="82000"/>
    <x v="13"/>
    <n v="210000"/>
    <n v="246000"/>
    <n v="36000"/>
    <n v="81431.961035221175"/>
    <n v="24762.287272727273"/>
    <n v="0"/>
    <n v="316194.24830794847"/>
    <n v="105398.08276931616"/>
    <n v="-70194.248307948466"/>
  </r>
  <r>
    <x v="203"/>
    <s v="LECHUGA GRANDES LAGOS BATAVIA x 454 GR"/>
    <x v="11"/>
    <s v="LATA"/>
    <n v="90200"/>
    <n v="113100"/>
    <x v="0"/>
    <n v="0"/>
    <n v="0"/>
    <n v="0"/>
    <n v="81431.961035221175"/>
    <n v="24762.287272727273"/>
    <n v="0"/>
    <n v="196394.24830794844"/>
    <n v="196394.24830794844"/>
    <n v="-196394.24830794844"/>
  </r>
  <r>
    <x v="204"/>
    <s v="SANDIA"/>
    <x v="11"/>
    <s v="SOB"/>
    <n v="2200"/>
    <n v="2600"/>
    <x v="28"/>
    <n v="15400"/>
    <n v="18200"/>
    <n v="2800"/>
    <n v="81431.961035221175"/>
    <n v="24762.287272727273"/>
    <n v="0"/>
    <n v="121594.24830794845"/>
    <n v="17370.606901135492"/>
    <n v="-103394.24830794845"/>
  </r>
  <r>
    <x v="205"/>
    <s v="LIMA BELLOTA 8&quot;"/>
    <x v="9"/>
    <s v="UND"/>
    <n v="7461.0144"/>
    <n v="9000"/>
    <x v="51"/>
    <n v="186525.36"/>
    <n v="225000"/>
    <n v="38474.640000000014"/>
    <n v="81431.961035221175"/>
    <n v="24762.287272727273"/>
    <n v="0"/>
    <n v="292719.60830794845"/>
    <n v="11708.784332317939"/>
    <n v="-67719.608307948452"/>
  </r>
  <r>
    <x v="206"/>
    <s v="LIMA NICHOLSON"/>
    <x v="9"/>
    <s v="UND"/>
    <n v="6466.2219999999998"/>
    <n v="8000"/>
    <x v="40"/>
    <n v="232783.992"/>
    <n v="288000"/>
    <n v="55216.008000000002"/>
    <n v="81431.961035221175"/>
    <n v="24762.287272727273"/>
    <n v="0"/>
    <n v="338978.24030794849"/>
    <n v="9416.0622307763479"/>
    <n v="-50978.240307948494"/>
  </r>
  <r>
    <x v="207"/>
    <s v="RC- 920EX LLAVE CLASICA"/>
    <x v="3"/>
    <s v="UND"/>
    <n v="11000.36"/>
    <n v="17500"/>
    <x v="0"/>
    <n v="0"/>
    <n v="0"/>
    <n v="0"/>
    <n v="81431.961035221175"/>
    <n v="24762.287272727273"/>
    <n v="0"/>
    <n v="117194.60830794845"/>
    <n v="117194.60830794845"/>
    <n v="-117194.60830794845"/>
  </r>
  <r>
    <x v="208"/>
    <s v="FS-302 LLAVE DE PASO MACHO 1/4"/>
    <x v="3"/>
    <s v="UND"/>
    <n v="6873.44"/>
    <n v="7500"/>
    <x v="13"/>
    <n v="20620.32"/>
    <n v="22500"/>
    <n v="1879.6800000000003"/>
    <n v="81431.961035221175"/>
    <n v="24762.287272727273"/>
    <n v="0"/>
    <n v="126814.56830794846"/>
    <n v="42271.522769316151"/>
    <n v="-104314.56830794846"/>
  </r>
  <r>
    <x v="209"/>
    <s v="LLAVE PARA TENSORES"/>
    <x v="12"/>
    <s v="UND"/>
    <n v="3451"/>
    <n v="4500"/>
    <x v="26"/>
    <n v="17255"/>
    <n v="22500"/>
    <n v="5245"/>
    <n v="81431.961035221175"/>
    <n v="24762.287272727273"/>
    <n v="0"/>
    <n v="123449.24830794845"/>
    <n v="24689.849661589691"/>
    <n v="-100949.24830794845"/>
  </r>
  <r>
    <x v="210"/>
    <s v="LORSBAN X 250CC"/>
    <x v="4"/>
    <s v="FRS"/>
    <n v="13402"/>
    <n v="15800"/>
    <x v="86"/>
    <n v="1943290"/>
    <n v="2291000"/>
    <n v="347710"/>
    <n v="81431.961035221175"/>
    <n v="24762.287272727273"/>
    <n v="0"/>
    <n v="2049484.2483079485"/>
    <n v="14134.374126261713"/>
    <n v="241515.75169205153"/>
  </r>
  <r>
    <x v="211"/>
    <s v="LORSBAN X KILO"/>
    <x v="4"/>
    <s v="KL"/>
    <n v="7300"/>
    <n v="8500"/>
    <x v="87"/>
    <n v="1219100"/>
    <n v="1419500"/>
    <n v="200400"/>
    <n v="81431.961035221175"/>
    <n v="24762.287272727273"/>
    <n v="0"/>
    <n v="1325294.2483079485"/>
    <n v="7935.8937024428051"/>
    <n v="94205.751692051534"/>
  </r>
  <r>
    <x v="212"/>
    <s v="LORSBAN X LITRO"/>
    <x v="4"/>
    <s v="LT"/>
    <n v="48454"/>
    <n v="57250"/>
    <x v="82"/>
    <n v="2422700"/>
    <n v="2862500"/>
    <n v="439800"/>
    <n v="81431.961035221175"/>
    <n v="24762.287272727273"/>
    <n v="0"/>
    <n v="2528894.2483079485"/>
    <n v="50577.88496615897"/>
    <n v="333605.75169205153"/>
  </r>
  <r>
    <x v="213"/>
    <s v="MACHETE AGUILA CORNETA 16&quot;"/>
    <x v="9"/>
    <s v="UND"/>
    <n v="16855.650000000001"/>
    <n v="19500"/>
    <x v="26"/>
    <n v="84278.25"/>
    <n v="97500"/>
    <n v="13221.75"/>
    <n v="81431.961035221175"/>
    <n v="24762.287272727273"/>
    <n v="0"/>
    <n v="190472.49830794844"/>
    <n v="38094.499661589689"/>
    <n v="-92972.498307948437"/>
  </r>
  <r>
    <x v="214"/>
    <s v="MACHETE AGUILA CORNETA 20&quot;"/>
    <x v="9"/>
    <s v="UND"/>
    <n v="16855.650000000001"/>
    <n v="19350"/>
    <x v="35"/>
    <n v="67422.600000000006"/>
    <n v="77400"/>
    <n v="9977.3999999999942"/>
    <n v="81431.961035221175"/>
    <n v="24762.287272727273"/>
    <n v="0"/>
    <n v="173616.84830794844"/>
    <n v="43404.212076987111"/>
    <n v="-96216.848307948443"/>
  </r>
  <r>
    <x v="215"/>
    <s v="MACOLLAMIENTO DESPEGUE X LITRO"/>
    <x v="1"/>
    <s v="LT"/>
    <n v="28500"/>
    <n v="33000"/>
    <x v="79"/>
    <n v="1482000"/>
    <n v="1716000"/>
    <n v="234000"/>
    <n v="81431.961035221175"/>
    <n v="24762.287272727273"/>
    <n v="0"/>
    <n v="1588194.2483079485"/>
    <n v="30542.197082845163"/>
    <n v="127805.75169205153"/>
  </r>
  <r>
    <x v="216"/>
    <s v="MAGESTIC X 200GR"/>
    <x v="4"/>
    <s v="SOB"/>
    <n v="19500"/>
    <n v="25000"/>
    <x v="36"/>
    <n v="565500"/>
    <n v="725000"/>
    <n v="159500"/>
    <n v="81431.961035221175"/>
    <n v="24762.287272727273"/>
    <n v="0"/>
    <n v="671694.24830794835"/>
    <n v="23161.870631308564"/>
    <n v="53305.75169205165"/>
  </r>
  <r>
    <x v="217"/>
    <s v="MAIZ AMA. ICA V-305 KILO (SEMILLA)"/>
    <x v="11"/>
    <s v="KL"/>
    <n v="6200"/>
    <n v="7750"/>
    <x v="88"/>
    <n v="1258600"/>
    <n v="1573250"/>
    <n v="314650"/>
    <n v="81431.961035221175"/>
    <n v="24762.287272727273"/>
    <n v="0"/>
    <n v="1364794.2483079485"/>
    <n v="6723.1243759012241"/>
    <n v="208455.75169205153"/>
  </r>
  <r>
    <x v="218"/>
    <s v="MALATHION 57% X LITRO"/>
    <x v="4"/>
    <s v="LT"/>
    <n v="37500"/>
    <n v="42500"/>
    <x v="15"/>
    <n v="225000"/>
    <n v="255000"/>
    <n v="30000"/>
    <n v="81431.961035221175"/>
    <n v="24762.287272727273"/>
    <n v="0"/>
    <n v="331194.24830794847"/>
    <n v="55199.041384658078"/>
    <n v="-76194.248307948466"/>
  </r>
  <r>
    <x v="219"/>
    <s v="MALLA GALLINERO PLASTICA 1.8MT X 50M"/>
    <x v="9"/>
    <s v="UND"/>
    <n v="56346.5"/>
    <n v="72416.666666666672"/>
    <x v="21"/>
    <n v="676158"/>
    <n v="869000"/>
    <n v="192842"/>
    <n v="81431.961035221175"/>
    <n v="24762.287272727273"/>
    <n v="0"/>
    <n v="782352.24830794835"/>
    <n v="65196.020692329032"/>
    <n v="86647.75169205165"/>
  </r>
  <r>
    <x v="220"/>
    <s v="MAMITOLINA X 20 GR"/>
    <x v="5"/>
    <s v="TRR"/>
    <n v="6139"/>
    <n v="7200"/>
    <x v="35"/>
    <n v="24556"/>
    <n v="28800"/>
    <n v="4244"/>
    <n v="81431.961035221175"/>
    <n v="24762.287272727273"/>
    <n v="0"/>
    <n v="130750.24830794845"/>
    <n v="32687.562076987113"/>
    <n v="-101950.24830794845"/>
  </r>
  <r>
    <x v="221"/>
    <s v="RA-305EX MANGUERA SALIDA CAMARA ALIADA"/>
    <x v="3"/>
    <s v="UND"/>
    <n v="8200"/>
    <n v="9500"/>
    <x v="18"/>
    <n v="16400"/>
    <n v="19000"/>
    <n v="2600"/>
    <n v="81431.961035221175"/>
    <n v="24762.287272727273"/>
    <n v="0"/>
    <n v="122594.24830794845"/>
    <n v="61297.124153974226"/>
    <n v="-103594.24830794845"/>
  </r>
  <r>
    <x v="222"/>
    <s v="RC-305X MANGUERA SALIDA CAMARA CLASICA"/>
    <x v="3"/>
    <s v="UND"/>
    <n v="14900"/>
    <n v="16800"/>
    <x v="50"/>
    <n v="193700"/>
    <n v="218400"/>
    <n v="24700"/>
    <n v="81431.961035221175"/>
    <n v="24762.287272727273"/>
    <n v="0"/>
    <n v="299894.24830794847"/>
    <n v="23068.788331380652"/>
    <n v="-81494.248307948466"/>
  </r>
  <r>
    <x v="223"/>
    <s v="SOGA AMARILLA 3 MM 1/8"/>
    <x v="9"/>
    <s v="MT"/>
    <n v="100"/>
    <n v="200"/>
    <x v="89"/>
    <n v="61000"/>
    <n v="122000"/>
    <n v="61000"/>
    <n v="81431.961035221175"/>
    <n v="24762.287272727273"/>
    <n v="0"/>
    <n v="167194.24830794844"/>
    <n v="274.08893165237447"/>
    <n v="-45194.248307948437"/>
  </r>
  <r>
    <x v="224"/>
    <s v="MANZATE X 1 KG"/>
    <x v="6"/>
    <s v="KL"/>
    <n v="19400"/>
    <n v="24500"/>
    <x v="90"/>
    <n v="853600"/>
    <n v="1078000"/>
    <n v="224400"/>
    <n v="81431.961035221175"/>
    <n v="24762.287272727273"/>
    <n v="0"/>
    <n v="959794.24830794835"/>
    <n v="21813.505643362463"/>
    <n v="118205.75169205165"/>
  </r>
  <r>
    <x v="225"/>
    <s v="MARAX TABLETA"/>
    <x v="1"/>
    <s v="TB"/>
    <n v="6551.82"/>
    <n v="7900"/>
    <x v="91"/>
    <n v="766562.94"/>
    <n v="924300"/>
    <n v="157737.06000000006"/>
    <n v="81431.961035221175"/>
    <n v="24762.287272727273"/>
    <n v="0"/>
    <n v="872757.18830794829"/>
    <n v="7459.463147931182"/>
    <n v="51542.811692051706"/>
  </r>
  <r>
    <x v="226"/>
    <s v="MASTITIS TEST C.M.T. X 500ML"/>
    <x v="5"/>
    <s v="FRS"/>
    <n v="16125"/>
    <n v="21600"/>
    <x v="0"/>
    <n v="0"/>
    <n v="0"/>
    <n v="0"/>
    <n v="81431.961035221175"/>
    <n v="24762.287272727273"/>
    <n v="0"/>
    <n v="122319.24830794845"/>
    <n v="122319.24830794845"/>
    <n v="-122319.24830794845"/>
  </r>
  <r>
    <x v="227"/>
    <s v="MATABABOSA X 300GR"/>
    <x v="4"/>
    <s v="LB"/>
    <n v="8500"/>
    <n v="9800"/>
    <x v="37"/>
    <n v="127500"/>
    <n v="147000"/>
    <n v="19500"/>
    <n v="81431.961035221175"/>
    <n v="24762.287272727273"/>
    <n v="0"/>
    <n v="233694.24830794844"/>
    <n v="15579.616553863229"/>
    <n v="-86694.248307948437"/>
  </r>
  <r>
    <x v="228"/>
    <s v="MERTEC 500SC X 100 CC"/>
    <x v="6"/>
    <s v="FRS"/>
    <n v="32987"/>
    <n v="37750"/>
    <x v="3"/>
    <n v="329870"/>
    <n v="377500"/>
    <n v="47630"/>
    <n v="81431.961035221175"/>
    <n v="24762.287272727273"/>
    <n v="0"/>
    <n v="436064.24830794847"/>
    <n v="43606.424830794844"/>
    <n v="-58564.248307948466"/>
  </r>
  <r>
    <x v="229"/>
    <s v="MICROCOMPLETOX 46 KG"/>
    <x v="1"/>
    <s v="B46"/>
    <n v="81000"/>
    <n v="92000"/>
    <x v="0"/>
    <n v="0"/>
    <n v="0"/>
    <n v="0"/>
    <n v="81431.961035221175"/>
    <n v="24762.287272727273"/>
    <n v="0"/>
    <n v="187194.24830794844"/>
    <n v="187194.24830794844"/>
    <n v="-187194.24830794844"/>
  </r>
  <r>
    <x v="230"/>
    <s v="MIEL DE PURGA  X 30KG"/>
    <x v="2"/>
    <s v="BT30"/>
    <n v="35500"/>
    <n v="38083.333333333336"/>
    <x v="92"/>
    <n v="5538000"/>
    <n v="5941000"/>
    <n v="403000"/>
    <n v="81431.961035221175"/>
    <n v="24762.287272727273"/>
    <n v="0"/>
    <n v="5644194.248307948"/>
    <n v="36180.732360948386"/>
    <n v="296805.751692052"/>
  </r>
  <r>
    <x v="231"/>
    <s v="MIEL DE PURGA TARRO"/>
    <x v="2"/>
    <s v="TRR"/>
    <n v="7800"/>
    <n v="8683.3333333333339"/>
    <x v="84"/>
    <n v="990600"/>
    <n v="1102783.3333333335"/>
    <n v="112183.33333333349"/>
    <n v="81431.961035221175"/>
    <n v="24762.287272727273"/>
    <n v="0"/>
    <n v="1096794.2483079485"/>
    <n v="8636.1751835271534"/>
    <n v="5989.0850253850222"/>
  </r>
  <r>
    <x v="232"/>
    <s v="BANDEJA PRUEBA DE MASTITIS"/>
    <x v="7"/>
    <s v="UND"/>
    <n v="5712"/>
    <n v="7000"/>
    <x v="0"/>
    <n v="0"/>
    <n v="0"/>
    <n v="0"/>
    <n v="81431.961035221175"/>
    <n v="24762.287272727273"/>
    <n v="0"/>
    <n v="111906.24830794845"/>
    <n v="111906.24830794845"/>
    <n v="-111906.24830794845"/>
  </r>
  <r>
    <x v="233"/>
    <s v="MILBEKNOCK X 100 ML"/>
    <x v="4"/>
    <s v="UND"/>
    <n v="40082"/>
    <n v="45200"/>
    <x v="35"/>
    <n v="160328"/>
    <n v="180800"/>
    <n v="20472"/>
    <n v="81431.961035221175"/>
    <n v="24762.287272727273"/>
    <n v="0"/>
    <n v="266522.24830794847"/>
    <n v="66630.562076987117"/>
    <n v="-85722.248307948466"/>
  </r>
  <r>
    <x v="234"/>
    <s v="MINAVIAR X 25GR"/>
    <x v="5"/>
    <s v="SOB"/>
    <n v="3540.5"/>
    <n v="4466.666666666667"/>
    <x v="45"/>
    <n v="95593.5"/>
    <n v="120600.00000000001"/>
    <n v="25006.500000000015"/>
    <n v="81431.961035221175"/>
    <n v="24762.287272727273"/>
    <n v="0"/>
    <n v="201787.74830794844"/>
    <n v="7473.6203077017935"/>
    <n v="-81187.748307948423"/>
  </r>
  <r>
    <x v="235"/>
    <s v="MININO X LIBRA"/>
    <x v="2"/>
    <s v="LB"/>
    <n v="3794.7473"/>
    <n v="4500"/>
    <x v="25"/>
    <n v="79689.693299999999"/>
    <n v="94500"/>
    <n v="14810.306700000001"/>
    <n v="81431.961035221175"/>
    <n v="24762.287272727273"/>
    <n v="0"/>
    <n v="185883.94160794842"/>
    <n v="8851.6162670451631"/>
    <n v="-91383.941607948422"/>
  </r>
  <r>
    <x v="236"/>
    <s v="MIRAGE X 100 CC"/>
    <x v="6"/>
    <s v="FRS"/>
    <n v="21802"/>
    <n v="26000"/>
    <x v="15"/>
    <n v="130812"/>
    <n v="156000"/>
    <n v="25188"/>
    <n v="81431.961035221175"/>
    <n v="24762.287272727273"/>
    <n v="0"/>
    <n v="237006.24830794844"/>
    <n v="39501.04138465807"/>
    <n v="-81006.248307948437"/>
  </r>
  <r>
    <x v="237"/>
    <s v="MIRRINGO X KILO"/>
    <x v="2"/>
    <s v="KL"/>
    <n v="7134.8680999999997"/>
    <n v="7833.333333333333"/>
    <x v="93"/>
    <n v="1569670.9819999998"/>
    <n v="1723333.3333333333"/>
    <n v="153662.35133333341"/>
    <n v="81431.961035221175"/>
    <n v="24762.287272727273"/>
    <n v="0"/>
    <n v="1675865.2303079483"/>
    <n v="7617.5692286724925"/>
    <n v="47468.103025384946"/>
  </r>
  <r>
    <x v="238"/>
    <s v="MIRRINGO X LIBRA"/>
    <x v="2"/>
    <s v="LB"/>
    <n v="3717.1338999999998"/>
    <n v="4700"/>
    <x v="94"/>
    <n v="226745.1679"/>
    <n v="286700"/>
    <n v="59954.8321"/>
    <n v="81431.961035221175"/>
    <n v="24762.287272727273"/>
    <n v="0"/>
    <n v="332939.41620794847"/>
    <n v="5458.0232165237458"/>
    <n v="-46239.416207948467"/>
  </r>
  <r>
    <x v="239"/>
    <s v="MIXEL TOP LITRO"/>
    <x v="1"/>
    <s v="LT"/>
    <n v="18500"/>
    <n v="24000"/>
    <x v="25"/>
    <n v="388500"/>
    <n v="504000"/>
    <n v="115500"/>
    <n v="81431.961035221175"/>
    <n v="24762.287272727273"/>
    <n v="0"/>
    <n v="494694.24830794847"/>
    <n v="23556.868967045164"/>
    <n v="9305.7516920515336"/>
  </r>
  <r>
    <x v="240"/>
    <s v="MOGOLLA X 40 KILOS"/>
    <x v="2"/>
    <s v="B40"/>
    <n v="65000.001499999998"/>
    <n v="70000"/>
    <x v="95"/>
    <n v="1202500.0277499999"/>
    <n v="1295000"/>
    <n v="92499.972250000108"/>
    <n v="81431.961035221175"/>
    <n v="24762.287272727273"/>
    <n v="0"/>
    <n v="1308694.2760579484"/>
    <n v="70740.231138267482"/>
    <n v="-13694.276057948358"/>
  </r>
  <r>
    <x v="241"/>
    <s v="MALLA PAJARITO x ROLLO"/>
    <x v="7"/>
    <s v="ROLLO"/>
    <n v="132944.42000000001"/>
    <n v="160416.66666666666"/>
    <x v="35"/>
    <n v="531777.68000000005"/>
    <n v="641666.66666666663"/>
    <n v="109888.98666666658"/>
    <n v="81431.961035221175"/>
    <n v="24762.287272727273"/>
    <n v="0"/>
    <n v="637971.92830794852"/>
    <n v="159492.98207698713"/>
    <n v="3694.7383587181102"/>
  </r>
  <r>
    <x v="242"/>
    <s v="MOVENTO OS X 200ML"/>
    <x v="4"/>
    <s v="FRS"/>
    <n v="100188"/>
    <n v="109333.33333333333"/>
    <x v="13"/>
    <n v="300564"/>
    <n v="328000"/>
    <n v="27436"/>
    <n v="81431.961035221175"/>
    <n v="24762.287272727273"/>
    <n v="0"/>
    <n v="406758.24830794847"/>
    <n v="135586.08276931616"/>
    <n v="-78758.248307948466"/>
  </r>
  <r>
    <x v="243"/>
    <s v="OSMOCOTE 1/2 LIBRA"/>
    <x v="0"/>
    <s v="KL"/>
    <n v="9487.5"/>
    <n v="13150"/>
    <x v="96"/>
    <n v="189750"/>
    <n v="263000"/>
    <n v="73250"/>
    <n v="81431.961035221175"/>
    <n v="24762.287272727273"/>
    <n v="0"/>
    <n v="295944.24830794847"/>
    <n v="14797.212415397424"/>
    <n v="-32944.248307948466"/>
  </r>
  <r>
    <x v="244"/>
    <s v="NITRASAM X 50 KL (NUTRIMON)"/>
    <x v="0"/>
    <s v="B50"/>
    <n v="194000"/>
    <n v="86000"/>
    <x v="0"/>
    <n v="0"/>
    <n v="0"/>
    <n v="0"/>
    <n v="81431.961035221175"/>
    <n v="24762.287272727273"/>
    <n v="0"/>
    <n v="300194.24830794847"/>
    <n v="300194.24830794847"/>
    <n v="-300194.24830794847"/>
  </r>
  <r>
    <x v="245"/>
    <s v="NITRONS CA- MAG"/>
    <x v="0"/>
    <s v="BTO"/>
    <n v="63000"/>
    <n v="75000"/>
    <x v="0"/>
    <n v="0"/>
    <n v="0"/>
    <n v="0"/>
    <n v="81431.961035221175"/>
    <n v="24762.287272727273"/>
    <n v="0"/>
    <n v="169194.24830794844"/>
    <n v="169194.24830794844"/>
    <n v="-169194.24830794844"/>
  </r>
  <r>
    <x v="246"/>
    <s v="NOVACAN CACHORROS X 2.5 ML"/>
    <x v="5"/>
    <s v="JER"/>
    <n v="3844.8"/>
    <n v="5000"/>
    <x v="96"/>
    <n v="76896"/>
    <n v="100000"/>
    <n v="23104"/>
    <n v="81431.961035221175"/>
    <n v="24762.287272727273"/>
    <n v="0"/>
    <n v="183090.24830794844"/>
    <n v="9154.5124153974211"/>
    <n v="-83090.248307948437"/>
  </r>
  <r>
    <x v="247"/>
    <s v="NUMETRIN LITRO"/>
    <x v="4"/>
    <s v="LT"/>
    <n v="29650"/>
    <n v="38000"/>
    <x v="38"/>
    <n v="978450"/>
    <n v="1254000"/>
    <n v="275550"/>
    <n v="81431.961035221175"/>
    <n v="24762.287272727273"/>
    <n v="0"/>
    <n v="1084644.2483079485"/>
    <n v="32868.007524483284"/>
    <n v="169355.75169205153"/>
  </r>
  <r>
    <x v="248"/>
    <s v="NUTRECAN CACH X 15 KL"/>
    <x v="2"/>
    <s v="B15"/>
    <n v="87250"/>
    <n v="97583.333333333328"/>
    <x v="31"/>
    <n v="785250"/>
    <n v="878250"/>
    <n v="93000"/>
    <n v="81431.961035221175"/>
    <n v="24762.287272727273"/>
    <n v="0"/>
    <n v="891444.24830794835"/>
    <n v="99049.360923105371"/>
    <n v="-13194.24830794835"/>
  </r>
  <r>
    <x v="249"/>
    <s v="NUTRECAN CACH X 500 GR"/>
    <x v="2"/>
    <s v="LB"/>
    <n v="3020"/>
    <n v="3250"/>
    <x v="97"/>
    <n v="761040"/>
    <n v="819000"/>
    <n v="57960"/>
    <n v="81431.961035221175"/>
    <n v="24762.287272727273"/>
    <n v="0"/>
    <n v="867234.24830794835"/>
    <n v="3441.4057472537634"/>
    <n v="-48234.24830794835"/>
  </r>
  <r>
    <x v="250"/>
    <s v="NUTRECAN CROQ X 800 GR"/>
    <x v="2"/>
    <s v="UND"/>
    <n v="4060"/>
    <n v="4500"/>
    <x v="98"/>
    <n v="353220"/>
    <n v="391500"/>
    <n v="38280"/>
    <n v="81431.961035221175"/>
    <n v="24762.287272727273"/>
    <n v="0"/>
    <n v="459414.24830794847"/>
    <n v="5280.6235437695223"/>
    <n v="-67914.248307948466"/>
  </r>
  <r>
    <x v="251"/>
    <s v="AGILITY PEQ VERDE x 8 KL"/>
    <x v="2"/>
    <s v="BT"/>
    <n v="125400"/>
    <n v="136500"/>
    <x v="3"/>
    <n v="1254000"/>
    <n v="1365000"/>
    <n v="111000"/>
    <n v="81431.961035221175"/>
    <n v="24762.287272727273"/>
    <n v="0"/>
    <n v="1360194.2483079485"/>
    <n v="136019.42483079486"/>
    <n v="4805.7516920515336"/>
  </r>
  <r>
    <x v="252"/>
    <s v="NUTREPOLLO X 40 KL"/>
    <x v="2"/>
    <s v="B40"/>
    <n v="113800"/>
    <n v="123766.66666666667"/>
    <x v="99"/>
    <n v="3698500"/>
    <n v="4022416.666666667"/>
    <n v="323916.66666666698"/>
    <n v="81431.961035221175"/>
    <n v="24762.287272727273"/>
    <n v="0"/>
    <n v="3804694.2483079485"/>
    <n v="117067.51533255226"/>
    <n v="217722.41835871851"/>
  </r>
  <r>
    <x v="253"/>
    <s v="NUTREPOLLO X KL"/>
    <x v="2"/>
    <s v="KL"/>
    <n v="3055"/>
    <n v="3400"/>
    <x v="100"/>
    <n v="1246440"/>
    <n v="1387200"/>
    <n v="140760"/>
    <n v="81431.961035221175"/>
    <n v="24762.287272727273"/>
    <n v="0"/>
    <n v="1352634.2483079485"/>
    <n v="3315.2800203626189"/>
    <n v="34565.751692051534"/>
  </r>
  <r>
    <x v="254"/>
    <s v="NUTRISS POLLO/V KILO"/>
    <x v="2"/>
    <s v="KL"/>
    <n v="5237.2057999999997"/>
    <n v="5966.666666666667"/>
    <x v="51"/>
    <n v="130930.14499999999"/>
    <n v="149166.66666666669"/>
    <n v="18236.521666666697"/>
    <n v="81431.961035221175"/>
    <n v="24762.287272727273"/>
    <n v="0"/>
    <n v="237124.39330794843"/>
    <n v="9484.9757323179365"/>
    <n v="-87957.726641281741"/>
  </r>
  <r>
    <x v="255"/>
    <s v="NUTRISS CACH X KILO"/>
    <x v="2"/>
    <s v="KL"/>
    <n v="6787.3759"/>
    <n v="7650"/>
    <x v="101"/>
    <n v="475116.31300000002"/>
    <n v="535500"/>
    <n v="60383.686999999976"/>
    <n v="81431.961035221175"/>
    <n v="24762.287272727273"/>
    <n v="0"/>
    <n v="581310.56130794843"/>
    <n v="8304.4365901135498"/>
    <n v="-45810.561307948432"/>
  </r>
  <r>
    <x v="256"/>
    <s v="NUTRISS CARNE x 30 KL"/>
    <x v="2"/>
    <s v="BTO"/>
    <n v="132352.92000000001"/>
    <n v="148166.66666666666"/>
    <x v="28"/>
    <n v="926470.44000000006"/>
    <n v="1037166.6666666666"/>
    <n v="110696.22666666657"/>
    <n v="81431.961035221175"/>
    <n v="24762.287272727273"/>
    <n v="0"/>
    <n v="1032664.6883079485"/>
    <n v="147523.52690113551"/>
    <n v="4501.9783587181009"/>
  </r>
  <r>
    <x v="257"/>
    <s v="ORTHENE X 200GR"/>
    <x v="4"/>
    <s v="SOB"/>
    <n v="21290.1"/>
    <n v="29000"/>
    <x v="14"/>
    <n v="1128375.2999999998"/>
    <n v="1537000"/>
    <n v="408624.70000000019"/>
    <n v="81431.961035221175"/>
    <n v="24762.287272727273"/>
    <n v="0"/>
    <n v="1234569.5483079483"/>
    <n v="23293.765062414117"/>
    <n v="302430.45169205172"/>
  </r>
  <r>
    <x v="258"/>
    <s v="ORTHOCIDE X 500GR"/>
    <x v="6"/>
    <s v="LB"/>
    <n v="22350"/>
    <n v="26500"/>
    <x v="50"/>
    <n v="290550"/>
    <n v="344500"/>
    <n v="53950"/>
    <n v="81431.961035221175"/>
    <n v="24762.287272727273"/>
    <n v="0"/>
    <n v="396744.24830794847"/>
    <n v="30518.788331380652"/>
    <n v="-52244.248307948466"/>
  </r>
  <r>
    <x v="259"/>
    <s v="OXICLORURO DE COBRE KILO (OXICRON)"/>
    <x v="6"/>
    <s v="KL"/>
    <n v="9898"/>
    <n v="11500"/>
    <x v="21"/>
    <n v="118776"/>
    <n v="138000"/>
    <n v="19224"/>
    <n v="81431.961035221175"/>
    <n v="24762.287272727273"/>
    <n v="0"/>
    <n v="224970.24830794844"/>
    <n v="18747.520692329035"/>
    <n v="-86970.248307948437"/>
  </r>
  <r>
    <x v="260"/>
    <s v="OXITETRACICLINA 50 MK X 500CC"/>
    <x v="5"/>
    <s v="FRS"/>
    <n v="34353"/>
    <n v="38433.333333333336"/>
    <x v="35"/>
    <n v="137412"/>
    <n v="153733.33333333334"/>
    <n v="16321.333333333343"/>
    <n v="81431.961035221175"/>
    <n v="24762.287272727273"/>
    <n v="0"/>
    <n v="243606.24830794844"/>
    <n v="60901.562076987109"/>
    <n v="-89872.914974615094"/>
  </r>
  <r>
    <x v="261"/>
    <s v="OXITETRACICLINA 50 MK X 50CC"/>
    <x v="5"/>
    <s v="FRS"/>
    <n v="8229"/>
    <n v="9600"/>
    <x v="25"/>
    <n v="172809"/>
    <n v="201600"/>
    <n v="28791"/>
    <n v="81431.961035221175"/>
    <n v="24762.287272727273"/>
    <n v="0"/>
    <n v="279003.24830794847"/>
    <n v="13285.868967045166"/>
    <n v="-77403.248307948466"/>
  </r>
  <r>
    <x v="262"/>
    <s v="PALA REDONDA N 2"/>
    <x v="7"/>
    <s v="UND"/>
    <n v="15666.335999999999"/>
    <n v="18500"/>
    <x v="13"/>
    <n v="46999.008000000002"/>
    <n v="55500"/>
    <n v="8500.9919999999984"/>
    <n v="81431.961035221175"/>
    <n v="24762.287272727273"/>
    <n v="0"/>
    <n v="153193.25630794844"/>
    <n v="51064.418769316144"/>
    <n v="-97693.256307948439"/>
  </r>
  <r>
    <x v="263"/>
    <s v="PALA DRAGA BELLOTA"/>
    <x v="9"/>
    <s v="UND"/>
    <n v="47073.599999999999"/>
    <n v="54500"/>
    <x v="35"/>
    <n v="188294.39999999999"/>
    <n v="218000"/>
    <n v="29705.600000000006"/>
    <n v="81431.961035221175"/>
    <n v="24762.287272727273"/>
    <n v="0"/>
    <n v="294488.64830794843"/>
    <n v="73622.162076987108"/>
    <n v="-76488.648307948431"/>
  </r>
  <r>
    <x v="264"/>
    <s v="PALA REDONDA #4 COLLINS"/>
    <x v="9"/>
    <s v="UND"/>
    <n v="17841.599999999999"/>
    <n v="20500"/>
    <x v="17"/>
    <n v="17841.599999999999"/>
    <n v="20500"/>
    <n v="2658.4000000000015"/>
    <n v="81431.961035221175"/>
    <n v="24762.287272727273"/>
    <n v="0"/>
    <n v="124035.84830794846"/>
    <n v="124035.84830794846"/>
    <n v="-103535.84830794846"/>
  </r>
  <r>
    <x v="265"/>
    <s v="PALIN BANANERO ANGOSTO"/>
    <x v="9"/>
    <s v="UND"/>
    <n v="16245.936"/>
    <n v="20200"/>
    <x v="13"/>
    <n v="48737.807999999997"/>
    <n v="60600"/>
    <n v="11862.192000000003"/>
    <n v="81431.961035221175"/>
    <n v="24762.287272727273"/>
    <n v="0"/>
    <n v="154932.05630794843"/>
    <n v="51644.018769316142"/>
    <n v="-94332.056307948427"/>
  </r>
  <r>
    <x v="266"/>
    <s v="PALIN BELLOTA 5505-H"/>
    <x v="9"/>
    <s v="UND"/>
    <n v="14522.255999999999"/>
    <n v="19366.666666666668"/>
    <x v="3"/>
    <n v="145222.56"/>
    <n v="193666.66666666669"/>
    <n v="48444.106666666688"/>
    <n v="81431.961035221175"/>
    <n v="24762.287272727273"/>
    <n v="0"/>
    <n v="251416.80830794843"/>
    <n v="25141.680830794845"/>
    <n v="-57750.141641281749"/>
  </r>
  <r>
    <x v="267"/>
    <s v="NOVACAN ADT x 10 ML"/>
    <x v="5"/>
    <s v="JER"/>
    <n v="7339.2"/>
    <n v="9600"/>
    <x v="31"/>
    <n v="66052.800000000003"/>
    <n v="86400"/>
    <n v="20347.199999999997"/>
    <n v="81431.961035221175"/>
    <n v="24762.287272727273"/>
    <n v="0"/>
    <n v="172247.04830794843"/>
    <n v="19138.560923105382"/>
    <n v="-85847.048307948426"/>
  </r>
  <r>
    <x v="268"/>
    <s v="SINRAT X 20gr"/>
    <x v="5"/>
    <s v="UNIDAD"/>
    <n v="2099"/>
    <n v="3300"/>
    <x v="0"/>
    <n v="0"/>
    <n v="0"/>
    <n v="0"/>
    <n v="81431.961035221175"/>
    <n v="24762.287272727273"/>
    <n v="0"/>
    <n v="108293.24830794845"/>
    <n v="108293.24830794845"/>
    <n v="-108293.24830794845"/>
  </r>
  <r>
    <x v="269"/>
    <s v="Q-IDA CAN ADULTO x 30 KL"/>
    <x v="2"/>
    <s v="BULTO"/>
    <n v="99100"/>
    <n v="106700"/>
    <x v="102"/>
    <n v="3765800"/>
    <n v="4054600"/>
    <n v="288800"/>
    <n v="81431.961035221175"/>
    <n v="24762.287272727273"/>
    <n v="0"/>
    <n v="3871994.2483079485"/>
    <n v="101894.58548178812"/>
    <n v="182605.75169205153"/>
  </r>
  <r>
    <x v="270"/>
    <s v="COLLAR BOLFO PERROS"/>
    <x v="5"/>
    <s v="KL"/>
    <n v="22777"/>
    <n v="28900"/>
    <x v="0"/>
    <n v="0"/>
    <n v="0"/>
    <n v="0"/>
    <n v="81431.961035221175"/>
    <n v="24762.287272727273"/>
    <n v="0"/>
    <n v="128971.24830794845"/>
    <n v="128971.24830794845"/>
    <n v="-128971.24830794845"/>
  </r>
  <r>
    <x v="271"/>
    <s v="PEGAL  X LT"/>
    <x v="1"/>
    <s v="LT"/>
    <n v="18326"/>
    <n v="23000"/>
    <x v="50"/>
    <n v="238238"/>
    <n v="299000"/>
    <n v="60762"/>
    <n v="81431.961035221175"/>
    <n v="24762.287272727273"/>
    <n v="0"/>
    <n v="344432.24830794847"/>
    <n v="26494.788331380652"/>
    <n v="-45432.248307948466"/>
  </r>
  <r>
    <x v="272"/>
    <s v="PEINILLA AGUILA CORNETA 20&quot;"/>
    <x v="9"/>
    <s v="UND"/>
    <n v="14308"/>
    <n v="16500"/>
    <x v="0"/>
    <n v="0"/>
    <n v="0"/>
    <n v="0"/>
    <n v="81431.961035221175"/>
    <n v="24762.287272727273"/>
    <n v="0"/>
    <n v="120502.24830794845"/>
    <n v="120502.24830794845"/>
    <n v="-120502.24830794845"/>
  </r>
  <r>
    <x v="273"/>
    <s v="OREGANO SGA"/>
    <x v="11"/>
    <s v="SOBRE"/>
    <n v="2420"/>
    <n v="2800"/>
    <x v="26"/>
    <n v="12100"/>
    <n v="14000"/>
    <n v="1900"/>
    <n v="81431.961035221175"/>
    <n v="24762.287272727273"/>
    <n v="0"/>
    <n v="118294.24830794845"/>
    <n v="23658.849661589691"/>
    <n v="-104294.24830794845"/>
  </r>
  <r>
    <x v="274"/>
    <s v="PEREJIL LISO STAND II SGA"/>
    <x v="11"/>
    <s v="SOBRE"/>
    <n v="2230"/>
    <n v="2650"/>
    <x v="49"/>
    <n v="17840"/>
    <n v="21200"/>
    <n v="3360"/>
    <n v="81431.961035221175"/>
    <n v="24762.287272727273"/>
    <n v="0"/>
    <n v="124034.24830794845"/>
    <n v="15504.281038493556"/>
    <n v="-102834.24830794845"/>
  </r>
  <r>
    <x v="275"/>
    <s v="PEZOSAN X 30GR"/>
    <x v="5"/>
    <s v="FRS"/>
    <n v="13954"/>
    <n v="19000"/>
    <x v="18"/>
    <n v="27908"/>
    <n v="38000"/>
    <n v="10092"/>
    <n v="81431.961035221175"/>
    <n v="24762.287272727273"/>
    <n v="0"/>
    <n v="134102.24830794844"/>
    <n v="67051.124153974219"/>
    <n v="-96102.248307948437"/>
  </r>
  <r>
    <x v="276"/>
    <s v="PLATO ATRAPA MOSCA BOLSA X 2"/>
    <x v="5"/>
    <s v="UND"/>
    <n v="2058"/>
    <n v="2500"/>
    <x v="0"/>
    <n v="0"/>
    <n v="0"/>
    <n v="0"/>
    <n v="81431.961035221175"/>
    <n v="24762.287272727273"/>
    <n v="0"/>
    <n v="108252.24830794845"/>
    <n v="108252.24830794845"/>
    <n v="-108252.24830794845"/>
  </r>
  <r>
    <x v="277"/>
    <s v="POLIQUEL MULTI LITRO"/>
    <x v="1"/>
    <s v="LT"/>
    <n v="15310"/>
    <n v="20000"/>
    <x v="17"/>
    <n v="15310"/>
    <n v="20000"/>
    <n v="4690"/>
    <n v="81431.961035221175"/>
    <n v="24762.287272727273"/>
    <n v="0"/>
    <n v="121504.24830794845"/>
    <n v="121504.24830794845"/>
    <n v="-101504.24830794845"/>
  </r>
  <r>
    <x v="278"/>
    <s v="PORCINO SOBRE X 5GR"/>
    <x v="5"/>
    <s v="SOB"/>
    <n v="2438.9074000000001"/>
    <n v="3000"/>
    <x v="103"/>
    <n v="334130.3138"/>
    <n v="411000"/>
    <n v="76869.686199999996"/>
    <n v="81431.961035221175"/>
    <n v="24762.287272727273"/>
    <n v="0"/>
    <n v="440324.56210794847"/>
    <n v="3214.047898598164"/>
    <n v="-29324.56210794847"/>
  </r>
  <r>
    <x v="279"/>
    <s v="PORTA BOQUILLA BRONCE ECONOMICO (G)"/>
    <x v="3"/>
    <s v="UND"/>
    <n v="3808"/>
    <n v="4800"/>
    <x v="18"/>
    <n v="7616"/>
    <n v="9600"/>
    <n v="1984"/>
    <n v="81431.961035221175"/>
    <n v="24762.287272727273"/>
    <n v="0"/>
    <n v="113810.24830794845"/>
    <n v="56905.124153974226"/>
    <n v="-104210.24830794845"/>
  </r>
  <r>
    <x v="280"/>
    <s v="PROFENOCRON X LITRO"/>
    <x v="4"/>
    <s v="LT"/>
    <n v="48791"/>
    <n v="56200"/>
    <x v="35"/>
    <n v="195164"/>
    <n v="224800"/>
    <n v="29636"/>
    <n v="81431.961035221175"/>
    <n v="24762.287272727273"/>
    <n v="0"/>
    <n v="301358.24830794847"/>
    <n v="75339.562076987117"/>
    <n v="-76558.248307948466"/>
  </r>
  <r>
    <x v="281"/>
    <s v="PUNTILLA 1 1/2"/>
    <x v="9"/>
    <s v="CJ"/>
    <n v="2237"/>
    <n v="4400"/>
    <x v="13"/>
    <n v="6711"/>
    <n v="13200"/>
    <n v="6489"/>
    <n v="81431.961035221175"/>
    <n v="24762.287272727273"/>
    <n v="0"/>
    <n v="112905.24830794845"/>
    <n v="37635.082769316148"/>
    <n v="-99705.248307948452"/>
  </r>
  <r>
    <x v="282"/>
    <s v="PUNTILLA 2 PULG x 400 GR"/>
    <x v="9"/>
    <s v="CJ"/>
    <n v="3518.83"/>
    <n v="5100"/>
    <x v="67"/>
    <n v="66857.77"/>
    <n v="96900"/>
    <n v="30042.229999999996"/>
    <n v="81431.961035221175"/>
    <n v="24762.287272727273"/>
    <n v="0"/>
    <n v="173052.01830794846"/>
    <n v="9108.0009635762344"/>
    <n v="-76152.018307948456"/>
  </r>
  <r>
    <x v="283"/>
    <s v="PUNTILLA 3 1/2"/>
    <x v="9"/>
    <s v="CJ"/>
    <n v="2000"/>
    <n v="2000"/>
    <x v="0"/>
    <n v="0"/>
    <n v="0"/>
    <n v="0"/>
    <n v="81431.961035221175"/>
    <n v="24762.287272727273"/>
    <n v="0"/>
    <n v="108194.24830794845"/>
    <n v="108194.24830794845"/>
    <n v="-108194.24830794845"/>
  </r>
  <r>
    <x v="284"/>
    <s v="PUNTILLA 3 x 400 GR"/>
    <x v="9"/>
    <s v="CJ"/>
    <n v="3518.83"/>
    <n v="5200"/>
    <x v="12"/>
    <n v="49263.619999999995"/>
    <n v="72800"/>
    <n v="23536.380000000005"/>
    <n v="81431.961035221175"/>
    <n v="24762.287272727273"/>
    <n v="0"/>
    <n v="155457.86830794843"/>
    <n v="11104.133450567746"/>
    <n v="-82657.868307948433"/>
  </r>
  <r>
    <x v="285"/>
    <s v="PUNTILLA 5&quot;"/>
    <x v="9"/>
    <s v="CJ"/>
    <n v="3500"/>
    <n v="3500"/>
    <x v="17"/>
    <n v="3500"/>
    <n v="3500"/>
    <n v="0"/>
    <n v="81431.961035221175"/>
    <n v="24762.287272727273"/>
    <n v="0"/>
    <n v="109694.24830794845"/>
    <n v="109694.24830794845"/>
    <n v="-106194.24830794845"/>
  </r>
  <r>
    <x v="286"/>
    <s v="PYRINEX 4EC X LITRO"/>
    <x v="4"/>
    <s v="LT"/>
    <n v="39819"/>
    <n v="47000"/>
    <x v="3"/>
    <n v="398190"/>
    <n v="470000"/>
    <n v="71810"/>
    <n v="81431.961035221175"/>
    <n v="24762.287272727273"/>
    <n v="0"/>
    <n v="504384.24830794847"/>
    <n v="50438.424830794844"/>
    <n v="-34384.248307948466"/>
  </r>
  <r>
    <x v="287"/>
    <s v="QUINOCALF 10% ORAL X 10 ML"/>
    <x v="5"/>
    <s v="TRR"/>
    <n v="5506.6124"/>
    <n v="7500"/>
    <x v="15"/>
    <n v="33039.674400000004"/>
    <n v="45000"/>
    <n v="11960.325599999996"/>
    <n v="81431.961035221175"/>
    <n v="24762.287272727273"/>
    <n v="0"/>
    <n v="139233.92270794846"/>
    <n v="23205.653784658076"/>
    <n v="-94233.922707948455"/>
  </r>
  <r>
    <x v="288"/>
    <s v="QUINOCALF TABLETA"/>
    <x v="5"/>
    <s v="TB"/>
    <n v="213.4"/>
    <n v="350"/>
    <x v="104"/>
    <n v="59111.8"/>
    <n v="96950"/>
    <n v="37838.199999999997"/>
    <n v="81431.961035221175"/>
    <n v="24762.287272727273"/>
    <n v="0"/>
    <n v="165306.04830794843"/>
    <n v="596.77273757382102"/>
    <n v="-68356.048307948426"/>
  </r>
  <r>
    <x v="289"/>
    <s v="R CACH. X KILO"/>
    <x v="2"/>
    <s v="KL"/>
    <n v="4280.6216000000004"/>
    <n v="5033.333333333333"/>
    <x v="105"/>
    <n v="346730.34960000002"/>
    <n v="407700"/>
    <n v="60969.650399999984"/>
    <n v="81431.961035221175"/>
    <n v="24762.287272727273"/>
    <n v="0"/>
    <n v="452924.59790794848"/>
    <n v="5591.6617025672649"/>
    <n v="-45224.597907948482"/>
  </r>
  <r>
    <x v="290"/>
    <s v="R CACHORRO X 15 K"/>
    <x v="2"/>
    <s v="BT15"/>
    <n v="65479.89"/>
    <n v="71666.666666666672"/>
    <x v="51"/>
    <n v="1636997.25"/>
    <n v="1791666.6666666667"/>
    <n v="154669.41666666674"/>
    <n v="81431.961035221175"/>
    <n v="24762.287272727273"/>
    <n v="0"/>
    <n v="1743191.4983079485"/>
    <n v="69727.65993231794"/>
    <n v="48475.168358718278"/>
  </r>
  <r>
    <x v="291"/>
    <s v="R CACHORROS X 30K"/>
    <x v="2"/>
    <s v="B30"/>
    <n v="118657.66499999999"/>
    <n v="131250"/>
    <x v="67"/>
    <n v="2254495.6349999998"/>
    <n v="2493750"/>
    <n v="239254.36500000022"/>
    <n v="81431.961035221175"/>
    <n v="24762.287272727273"/>
    <n v="0"/>
    <n v="2360689.8833079482"/>
    <n v="124246.83596357622"/>
    <n v="133060.11669205176"/>
  </r>
  <r>
    <x v="292"/>
    <s v="R CROQUETAS X 30 KL"/>
    <x v="2"/>
    <s v="BT30"/>
    <n v="104082.1425"/>
    <n v="116733.33333333333"/>
    <x v="106"/>
    <n v="15508239.2325"/>
    <n v="17393266.666666664"/>
    <n v="1885027.4341666643"/>
    <n v="81431.961035221175"/>
    <n v="24762.287272727273"/>
    <n v="0"/>
    <n v="15614433.480807949"/>
    <n v="104794.85557589227"/>
    <n v="1778833.1858587153"/>
  </r>
  <r>
    <x v="293"/>
    <s v="RC-122EX RACOR BOMBA ROYAL"/>
    <x v="3"/>
    <s v="UND"/>
    <n v="5569.2"/>
    <n v="6733.333333333333"/>
    <x v="26"/>
    <n v="27846"/>
    <n v="33666.666666666664"/>
    <n v="5820.6666666666642"/>
    <n v="81431.961035221175"/>
    <n v="24762.287272727273"/>
    <n v="0"/>
    <n v="134040.24830794844"/>
    <n v="26808.049661589688"/>
    <n v="-100373.58164128178"/>
  </r>
  <r>
    <x v="294"/>
    <s v="RACUMIN POLVO X 100GR"/>
    <x v="5"/>
    <s v="UND"/>
    <n v="7235"/>
    <n v="10700"/>
    <x v="49"/>
    <n v="57880"/>
    <n v="85600"/>
    <n v="27720"/>
    <n v="81431.961035221175"/>
    <n v="24762.287272727273"/>
    <n v="0"/>
    <n v="164074.24830794844"/>
    <n v="20509.281038493555"/>
    <n v="-78474.248307948437"/>
  </r>
  <r>
    <x v="295"/>
    <s v="MICROCOMPLETO x KL"/>
    <x v="0"/>
    <s v="KL"/>
    <n v="2500"/>
    <n v="3000"/>
    <x v="0"/>
    <n v="0"/>
    <n v="0"/>
    <n v="0"/>
    <n v="81431.961035221175"/>
    <n v="24762.287272727273"/>
    <n v="0"/>
    <n v="108694.24830794845"/>
    <n v="108694.24830794845"/>
    <n v="-108694.24830794845"/>
  </r>
  <r>
    <x v="296"/>
    <s v="CUPRA GL x LT"/>
    <x v="1"/>
    <s v="LT"/>
    <n v="69230.769199999995"/>
    <n v="92000"/>
    <x v="107"/>
    <n v="3392307.6908"/>
    <n v="4508000"/>
    <n v="1115692.3092"/>
    <n v="81431.961035221175"/>
    <n v="24762.287272727273"/>
    <n v="0"/>
    <n v="3498501.9391079484"/>
    <n v="71397.998757305075"/>
    <n v="1009498.0608920516"/>
  </r>
  <r>
    <x v="297"/>
    <s v="RAID CUCARACHAS NEGRO"/>
    <x v="5"/>
    <s v="FRS"/>
    <n v="9550"/>
    <n v="10800"/>
    <x v="17"/>
    <n v="9550"/>
    <n v="10800"/>
    <n v="1250"/>
    <n v="81431.961035221175"/>
    <n v="24762.287272727273"/>
    <n v="0"/>
    <n v="115744.24830794845"/>
    <n v="115744.24830794845"/>
    <n v="-104944.24830794845"/>
  </r>
  <r>
    <x v="298"/>
    <s v="RAIZAL KILO"/>
    <x v="1"/>
    <s v="KL"/>
    <n v="32691"/>
    <n v="38500"/>
    <x v="15"/>
    <n v="196146"/>
    <n v="231000"/>
    <n v="34854"/>
    <n v="81431.961035221175"/>
    <n v="24762.287272727273"/>
    <n v="0"/>
    <n v="302340.24830794847"/>
    <n v="50390.041384658078"/>
    <n v="-71340.248307948466"/>
  </r>
  <r>
    <x v="299"/>
    <s v="REBROTE X 10K KILOS"/>
    <x v="1"/>
    <s v="B10"/>
    <n v="116900"/>
    <n v="132000"/>
    <x v="31"/>
    <n v="1052100"/>
    <n v="1188000"/>
    <n v="135900"/>
    <n v="81431.961035221175"/>
    <n v="24762.287272727273"/>
    <n v="0"/>
    <n v="1158294.2483079485"/>
    <n v="128699.36092310539"/>
    <n v="29705.751692051534"/>
  </r>
  <r>
    <x v="300"/>
    <s v="REBROTE X KILO"/>
    <x v="1"/>
    <s v="KL"/>
    <n v="18600"/>
    <n v="21333.333333333332"/>
    <x v="108"/>
    <n v="781200"/>
    <n v="896000"/>
    <n v="114800"/>
    <n v="81431.961035221175"/>
    <n v="24762.287272727273"/>
    <n v="0"/>
    <n v="887394.24830794835"/>
    <n v="21128.434483522578"/>
    <n v="8605.75169205165"/>
  </r>
  <r>
    <x v="301"/>
    <s v="REMOLACHA SAENZ FETY x 12 GR"/>
    <x v="11"/>
    <s v="SOBRE"/>
    <n v="2230"/>
    <n v="2666.6666666666665"/>
    <x v="26"/>
    <n v="11150"/>
    <n v="13333.333333333332"/>
    <n v="2183.3333333333321"/>
    <n v="81431.961035221175"/>
    <n v="24762.287272727273"/>
    <n v="0"/>
    <n v="117344.24830794845"/>
    <n v="23468.849661589691"/>
    <n v="-104010.91497461512"/>
  </r>
  <r>
    <x v="302"/>
    <s v="REPOLLO BOLA VERDE STAND II SGA"/>
    <x v="11"/>
    <s v="SOBRE"/>
    <n v="2230"/>
    <n v="2716.6666666666665"/>
    <x v="67"/>
    <n v="42370"/>
    <n v="51616.666666666664"/>
    <n v="9246.6666666666642"/>
    <n v="81431.961035221175"/>
    <n v="24762.287272727273"/>
    <n v="0"/>
    <n v="148564.24830794844"/>
    <n v="7819.1709635762336"/>
    <n v="-96947.58164128178"/>
  </r>
  <r>
    <x v="303"/>
    <s v="REVUS 250EC X 125CC"/>
    <x v="6"/>
    <s v="FRS"/>
    <n v="21002"/>
    <n v="25000"/>
    <x v="13"/>
    <n v="63006"/>
    <n v="75000"/>
    <n v="11994"/>
    <n v="81431.961035221175"/>
    <n v="24762.287272727273"/>
    <n v="0"/>
    <n v="169200.24830794844"/>
    <n v="56400.082769316148"/>
    <n v="-94200.248307948437"/>
  </r>
  <r>
    <x v="304"/>
    <s v="RIDOMIL GOLD 68 X 375GR"/>
    <x v="6"/>
    <s v="SOB"/>
    <n v="26320"/>
    <n v="30300"/>
    <x v="12"/>
    <n v="368480"/>
    <n v="424200"/>
    <n v="55720"/>
    <n v="81431.961035221175"/>
    <n v="24762.287272727273"/>
    <n v="0"/>
    <n v="474674.24830794847"/>
    <n v="33905.30345056775"/>
    <n v="-50474.248307948466"/>
  </r>
  <r>
    <x v="305"/>
    <s v="RILEXINE 200NP JERINGA"/>
    <x v="5"/>
    <s v="CJ"/>
    <n v="5579"/>
    <n v="8500"/>
    <x v="31"/>
    <n v="50211"/>
    <n v="76500"/>
    <n v="26289"/>
    <n v="81431.961035221175"/>
    <n v="24762.287272727273"/>
    <n v="0"/>
    <n v="156405.24830794844"/>
    <n v="17378.360923105382"/>
    <n v="-79905.248307948437"/>
  </r>
  <r>
    <x v="306"/>
    <s v="RINTAL SB X 7.5GR"/>
    <x v="5"/>
    <s v="SOB"/>
    <n v="5007"/>
    <n v="6000"/>
    <x v="0"/>
    <n v="0"/>
    <n v="0"/>
    <n v="0"/>
    <n v="81431.961035221175"/>
    <n v="24762.287272727273"/>
    <n v="0"/>
    <n v="111201.24830794845"/>
    <n v="111201.24830794845"/>
    <n v="-111201.24830794845"/>
  </r>
  <r>
    <x v="307"/>
    <s v="ROMADE COJIN X 20CC"/>
    <x v="5"/>
    <s v="COJ"/>
    <n v="1660"/>
    <n v="2000"/>
    <x v="109"/>
    <n v="119520"/>
    <n v="144000"/>
    <n v="24480"/>
    <n v="81431.961035221175"/>
    <n v="24762.287272727273"/>
    <n v="0"/>
    <n v="225714.24830794844"/>
    <n v="3134.9201153881727"/>
    <n v="-81714.248307948437"/>
  </r>
  <r>
    <x v="308"/>
    <s v="RONDEL PUPPY X 2 ML"/>
    <x v="5"/>
    <s v="JER"/>
    <n v="4240"/>
    <n v="8000"/>
    <x v="44"/>
    <n v="72080"/>
    <n v="136000"/>
    <n v="63920"/>
    <n v="81431.961035221175"/>
    <n v="24762.287272727273"/>
    <n v="0"/>
    <n v="178274.24830794844"/>
    <n v="10486.720488702849"/>
    <n v="-42274.248307948437"/>
  </r>
  <r>
    <x v="309"/>
    <s v="RONDEL PUPPY x 5 ML"/>
    <x v="5"/>
    <s v="ML"/>
    <n v="4799"/>
    <n v="8000"/>
    <x v="18"/>
    <n v="9598"/>
    <n v="16000"/>
    <n v="6402"/>
    <n v="81431.961035221175"/>
    <n v="24762.287272727273"/>
    <n v="0"/>
    <n v="115792.24830794845"/>
    <n v="57896.124153974226"/>
    <n v="-99792.248307948452"/>
  </r>
  <r>
    <x v="310"/>
    <s v="RONDEL X 10 ADULTO ML"/>
    <x v="5"/>
    <s v="JER"/>
    <n v="8765"/>
    <n v="11000"/>
    <x v="15"/>
    <n v="52590"/>
    <n v="66000"/>
    <n v="13410"/>
    <n v="81431.961035221175"/>
    <n v="24762.287272727273"/>
    <n v="0"/>
    <n v="158784.24830794844"/>
    <n v="26464.041384658074"/>
    <n v="-92784.248307948437"/>
  </r>
  <r>
    <x v="311"/>
    <s v="ROUND UP X GALON"/>
    <x v="10"/>
    <s v="GL"/>
    <n v="143874.51999999999"/>
    <n v="158283.33333333334"/>
    <x v="26"/>
    <n v="719372.6"/>
    <n v="791416.66666666674"/>
    <n v="72044.066666666768"/>
    <n v="81431.961035221175"/>
    <n v="24762.287272727273"/>
    <n v="0"/>
    <n v="825566.84830794844"/>
    <n v="165113.36966158968"/>
    <n v="-34150.181641281699"/>
  </r>
  <r>
    <x v="312"/>
    <s v="ROUND UP X LITRO"/>
    <x v="10"/>
    <s v="LT"/>
    <n v="38400"/>
    <n v="45766.666666666664"/>
    <x v="76"/>
    <n v="2649600"/>
    <n v="3157900"/>
    <n v="508300"/>
    <n v="81431.961035221175"/>
    <n v="24762.287272727273"/>
    <n v="0"/>
    <n v="2755794.2483079485"/>
    <n v="39939.047076926792"/>
    <n v="402105.75169205153"/>
  </r>
  <r>
    <x v="313"/>
    <s v="AWAKE x 250 ML"/>
    <x v="4"/>
    <s v="FRS"/>
    <n v="28000"/>
    <n v="32000"/>
    <x v="49"/>
    <n v="224000"/>
    <n v="256000"/>
    <n v="32000"/>
    <n v="81431.961035221175"/>
    <n v="24762.287272727273"/>
    <n v="0"/>
    <n v="330194.24830794847"/>
    <n v="41274.281038493558"/>
    <n v="-74194.248307948466"/>
  </r>
  <r>
    <x v="314"/>
    <s v="ROZAR X 15 GR"/>
    <x v="10"/>
    <s v="FRS"/>
    <n v="3781"/>
    <n v="5183.333333333333"/>
    <x v="110"/>
    <n v="593617"/>
    <n v="813783.33333333326"/>
    <n v="220166.33333333326"/>
    <n v="81431.961035221175"/>
    <n v="24762.287272727273"/>
    <n v="0"/>
    <n v="699811.24830794835"/>
    <n v="4457.3964860378874"/>
    <n v="113972.08502538491"/>
  </r>
  <r>
    <x v="315"/>
    <s v="NEEMAZAL FRS"/>
    <x v="4"/>
    <s v="FRS"/>
    <n v="11305"/>
    <n v="15500"/>
    <x v="17"/>
    <n v="11305"/>
    <n v="15500"/>
    <n v="4195"/>
    <n v="81431.961035221175"/>
    <n v="24762.287272727273"/>
    <n v="0"/>
    <n v="117499.24830794845"/>
    <n v="117499.24830794845"/>
    <n v="-101999.24830794845"/>
  </r>
  <r>
    <x v="316"/>
    <s v="SCORE 250 SC X 100ML"/>
    <x v="6"/>
    <s v="FRS"/>
    <n v="22488"/>
    <n v="25750"/>
    <x v="49"/>
    <n v="179904"/>
    <n v="206000"/>
    <n v="26096"/>
    <n v="81431.961035221175"/>
    <n v="24762.287272727273"/>
    <n v="0"/>
    <n v="286098.24830794847"/>
    <n v="35762.281038493558"/>
    <n v="-80098.248307948466"/>
  </r>
  <r>
    <x v="317"/>
    <s v="SCORE 250EC X250 CC"/>
    <x v="6"/>
    <s v="FRS"/>
    <n v="51827"/>
    <n v="58500"/>
    <x v="15"/>
    <n v="310962"/>
    <n v="351000"/>
    <n v="40038"/>
    <n v="81431.961035221175"/>
    <n v="24762.287272727273"/>
    <n v="0"/>
    <n v="417156.24830794847"/>
    <n v="69526.041384658078"/>
    <n v="-66156.248307948466"/>
  </r>
  <r>
    <x v="318"/>
    <s v="CILANTRO LONG x 454 GR"/>
    <x v="11"/>
    <s v="UND"/>
    <n v="17000"/>
    <n v="20250"/>
    <x v="12"/>
    <n v="238000"/>
    <n v="283500"/>
    <n v="45500"/>
    <n v="81431.961035221175"/>
    <n v="24762.287272727273"/>
    <n v="0"/>
    <n v="344194.24830794847"/>
    <n v="24585.303450567746"/>
    <n v="-60694.248307948466"/>
  </r>
  <r>
    <x v="319"/>
    <s v="SKEL 250EC X 100CC"/>
    <x v="6"/>
    <s v="FRS"/>
    <n v="15500"/>
    <n v="17500"/>
    <x v="49"/>
    <n v="124000"/>
    <n v="140000"/>
    <n v="16000"/>
    <n v="81431.961035221175"/>
    <n v="24762.287272727273"/>
    <n v="0"/>
    <n v="230194.24830794844"/>
    <n v="28774.281038493555"/>
    <n v="-90194.248307948437"/>
  </r>
  <r>
    <x v="320"/>
    <s v="SOLLA CAMPEON DORADO X 40 KL"/>
    <x v="2"/>
    <s v="B40"/>
    <n v="106100"/>
    <n v="113533.33333333333"/>
    <x v="7"/>
    <n v="1167100"/>
    <n v="1248866.6666666665"/>
    <n v="81766.666666666511"/>
    <n v="81431.961035221175"/>
    <n v="24762.287272727273"/>
    <n v="0"/>
    <n v="1273294.2483079485"/>
    <n v="115754.02257344987"/>
    <n v="-24427.581641281955"/>
  </r>
  <r>
    <x v="321"/>
    <s v="SKEL EC  X LITRO"/>
    <x v="6"/>
    <s v="LT"/>
    <n v="106500"/>
    <n v="122833.33333333333"/>
    <x v="26"/>
    <n v="532500"/>
    <n v="614166.66666666663"/>
    <n v="81666.666666666628"/>
    <n v="81431.961035221175"/>
    <n v="24762.287272727273"/>
    <n v="0"/>
    <n v="638694.24830794835"/>
    <n v="127738.84966158967"/>
    <n v="-24527.581641281722"/>
  </r>
  <r>
    <x v="322"/>
    <s v="STREPTOLAND SOBRE X 20GR"/>
    <x v="5"/>
    <s v="SOB"/>
    <n v="7423"/>
    <n v="8900"/>
    <x v="23"/>
    <n v="163306"/>
    <n v="195800"/>
    <n v="32494"/>
    <n v="81431.961035221175"/>
    <n v="24762.287272727273"/>
    <n v="0"/>
    <n v="269500.24830794847"/>
    <n v="12250.01128672493"/>
    <n v="-73700.248307948466"/>
  </r>
  <r>
    <x v="323"/>
    <s v="SAM X BULTO X 50K"/>
    <x v="0"/>
    <s v="B50"/>
    <n v="115000"/>
    <n v="124916.66666666667"/>
    <x v="111"/>
    <n v="9430000"/>
    <n v="10243166.666666668"/>
    <n v="813166.66666666791"/>
    <n v="81431.961035221175"/>
    <n v="24762.287272727273"/>
    <n v="0"/>
    <n v="9536194.2483079489"/>
    <n v="116295.05180863352"/>
    <n v="706972.41835871898"/>
  </r>
  <r>
    <x v="324"/>
    <s v="TAPA EMBOLO MITTO"/>
    <x v="3"/>
    <s v="UND"/>
    <n v="4403"/>
    <n v="5400"/>
    <x v="17"/>
    <n v="4403"/>
    <n v="5400"/>
    <n v="997"/>
    <n v="81431.961035221175"/>
    <n v="24762.287272727273"/>
    <n v="0"/>
    <n v="110597.24830794845"/>
    <n v="110597.24830794845"/>
    <n v="-105197.24830794845"/>
  </r>
  <r>
    <x v="325"/>
    <s v="TAPON ESFERA RC (O)"/>
    <x v="3"/>
    <s v="UND"/>
    <n v="4000"/>
    <n v="4000"/>
    <x v="0"/>
    <n v="0"/>
    <n v="0"/>
    <n v="0"/>
    <n v="81431.961035221175"/>
    <n v="24762.287272727273"/>
    <n v="0"/>
    <n v="110194.24830794845"/>
    <n v="110194.24830794845"/>
    <n v="-110194.24830794845"/>
  </r>
  <r>
    <x v="326"/>
    <s v="RC-920ENX LLAVE CLASICA NUEVA"/>
    <x v="3"/>
    <s v="FRS"/>
    <n v="15500"/>
    <n v="20750"/>
    <x v="96"/>
    <n v="310000"/>
    <n v="415000"/>
    <n v="105000"/>
    <n v="81431.961035221175"/>
    <n v="24762.287272727273"/>
    <n v="0"/>
    <n v="416194.24830794847"/>
    <n v="20809.712415397422"/>
    <n v="-1194.2483079484664"/>
  </r>
  <r>
    <x v="327"/>
    <s v="TELA VERDE"/>
    <x v="7"/>
    <s v="MT"/>
    <n v="2000"/>
    <n v="2800"/>
    <x v="112"/>
    <n v="570000"/>
    <n v="798000"/>
    <n v="228000"/>
    <n v="81431.961035221175"/>
    <n v="24762.287272727273"/>
    <n v="0"/>
    <n v="676194.24830794835"/>
    <n v="2372.6113975717485"/>
    <n v="121805.75169205165"/>
  </r>
  <r>
    <x v="328"/>
    <s v="TILOSIN CAPSULA.250Mg"/>
    <x v="5"/>
    <s v="UND"/>
    <n v="376"/>
    <n v="600"/>
    <x v="73"/>
    <n v="22560"/>
    <n v="36000"/>
    <n v="13440"/>
    <n v="81431.961035221175"/>
    <n v="24762.287272727273"/>
    <n v="0"/>
    <n v="128754.24830794845"/>
    <n v="2145.9041384658076"/>
    <n v="-92754.248307948452"/>
  </r>
  <r>
    <x v="329"/>
    <s v="TODO EN UNO X KILO"/>
    <x v="1"/>
    <s v="KL"/>
    <n v="6700"/>
    <n v="8000"/>
    <x v="26"/>
    <n v="33500"/>
    <n v="40000"/>
    <n v="6500"/>
    <n v="81431.961035221175"/>
    <n v="24762.287272727273"/>
    <n v="0"/>
    <n v="139694.24830794844"/>
    <n v="27938.849661589687"/>
    <n v="-99694.248307948437"/>
  </r>
  <r>
    <x v="330"/>
    <s v="TOMATE SANTA CLARA X STAND II"/>
    <x v="11"/>
    <s v="SOBRE"/>
    <n v="2230"/>
    <n v="2733.3333333333335"/>
    <x v="7"/>
    <n v="24530"/>
    <n v="30066.666666666668"/>
    <n v="5536.6666666666679"/>
    <n v="81431.961035221175"/>
    <n v="24762.287272727273"/>
    <n v="0"/>
    <n v="130724.24830794845"/>
    <n v="11884.02257344986"/>
    <n v="-100657.58164128178"/>
  </r>
  <r>
    <x v="331"/>
    <s v="TORNILLO TRANCA ESFERA RC (G)"/>
    <x v="3"/>
    <s v="UND"/>
    <n v="1700"/>
    <n v="1700"/>
    <x v="17"/>
    <n v="1700"/>
    <n v="1700"/>
    <n v="0"/>
    <n v="81431.961035221175"/>
    <n v="24762.287272727273"/>
    <n v="0"/>
    <n v="107894.24830794845"/>
    <n v="107894.24830794845"/>
    <n v="-106194.24830794845"/>
  </r>
  <r>
    <x v="332"/>
    <s v="TRIADAMIN X LT"/>
    <x v="1"/>
    <s v="LT"/>
    <n v="43100"/>
    <n v="48500"/>
    <x v="9"/>
    <n v="689600"/>
    <n v="776000"/>
    <n v="86400"/>
    <n v="81431.961035221175"/>
    <n v="24762.287272727273"/>
    <n v="0"/>
    <n v="795794.24830794835"/>
    <n v="49737.140519246772"/>
    <n v="-19794.24830794835"/>
  </r>
  <r>
    <x v="333"/>
    <s v="TRIGARD SB X 6GR"/>
    <x v="4"/>
    <s v="SOB"/>
    <n v="9215"/>
    <n v="10500"/>
    <x v="26"/>
    <n v="46075"/>
    <n v="52500"/>
    <n v="6425"/>
    <n v="81431.961035221175"/>
    <n v="24762.287272727273"/>
    <n v="0"/>
    <n v="152269.24830794844"/>
    <n v="30453.849661589687"/>
    <n v="-99769.248307948437"/>
  </r>
  <r>
    <x v="334"/>
    <s v="TRIMEDIAZINA INY. X 10ML"/>
    <x v="5"/>
    <s v="FRS"/>
    <n v="7980.4544999999998"/>
    <n v="13450"/>
    <x v="3"/>
    <n v="79804.544999999998"/>
    <n v="134500"/>
    <n v="54695.455000000002"/>
    <n v="81431.961035221175"/>
    <n v="24762.287272727273"/>
    <n v="0"/>
    <n v="185998.79330794842"/>
    <n v="18599.879330794844"/>
    <n v="-51498.793307948421"/>
  </r>
  <r>
    <x v="335"/>
    <s v="TRIMEDIAZINA INY. X 50CC"/>
    <x v="5"/>
    <s v="FRS"/>
    <n v="25506"/>
    <n v="33900"/>
    <x v="26"/>
    <n v="127530"/>
    <n v="169500"/>
    <n v="41970"/>
    <n v="81431.961035221175"/>
    <n v="24762.287272727273"/>
    <n v="0"/>
    <n v="233724.24830794844"/>
    <n v="46744.849661589687"/>
    <n v="-64224.248307948437"/>
  </r>
  <r>
    <x v="336"/>
    <s v="TRIVIA X 400GR"/>
    <x v="6"/>
    <s v="SOB"/>
    <n v="24226.62"/>
    <n v="32250"/>
    <x v="45"/>
    <n v="654118.74"/>
    <n v="870750"/>
    <n v="216631.26"/>
    <n v="81431.961035221175"/>
    <n v="24762.287272727273"/>
    <n v="0"/>
    <n v="760312.98830794834"/>
    <n v="28159.740307701792"/>
    <n v="110437.01169205166"/>
  </r>
  <r>
    <x v="337"/>
    <s v="RC-931X TUBO LLAVE DE PASO STEEL PLAST"/>
    <x v="3"/>
    <s v="UND"/>
    <n v="3117.8"/>
    <n v="4000"/>
    <x v="0"/>
    <n v="0"/>
    <n v="0"/>
    <n v="0"/>
    <n v="81431.961035221175"/>
    <n v="24762.287272727273"/>
    <n v="0"/>
    <n v="109312.04830794845"/>
    <n v="109312.04830794845"/>
    <n v="-109312.04830794845"/>
  </r>
  <r>
    <x v="338"/>
    <s v="UREA X KILO"/>
    <x v="0"/>
    <s v="KL"/>
    <n v="4580.54"/>
    <n v="5700"/>
    <x v="113"/>
    <n v="1786410.6"/>
    <n v="2223000"/>
    <n v="436589.39999999991"/>
    <n v="283519.42464527232"/>
    <n v="24762.287272727273"/>
    <n v="106174.11764705883"/>
    <n v="2200866.4295650586"/>
    <n v="5643.2472552950221"/>
    <n v="22133.570434941445"/>
  </r>
  <r>
    <x v="339"/>
    <s v="VACOL POMADA X 390GR"/>
    <x v="5"/>
    <s v="TRR"/>
    <n v="29294"/>
    <n v="37550"/>
    <x v="18"/>
    <n v="58588"/>
    <n v="75100"/>
    <n v="16512"/>
    <n v="81431.961035221175"/>
    <n v="24762.287272727273"/>
    <n v="0"/>
    <n v="164782.24830794844"/>
    <n v="82391.124153974219"/>
    <n v="-89682.248307948437"/>
  </r>
  <r>
    <x v="340"/>
    <s v="VACOL POMADA X 60GR"/>
    <x v="5"/>
    <s v="TRR"/>
    <n v="8130"/>
    <n v="9500"/>
    <x v="3"/>
    <n v="81300"/>
    <n v="95000"/>
    <n v="13700"/>
    <n v="81431.961035221175"/>
    <n v="24762.287272727273"/>
    <n v="0"/>
    <n v="187494.24830794844"/>
    <n v="18749.424830794844"/>
    <n v="-92494.248307948437"/>
  </r>
  <r>
    <x v="341"/>
    <s v="VASO SELLADOR PEZONES"/>
    <x v="7"/>
    <s v="UND"/>
    <n v="15232"/>
    <n v="18200"/>
    <x v="17"/>
    <n v="15232"/>
    <n v="18200"/>
    <n v="2968"/>
    <n v="81431.961035221175"/>
    <n v="24762.287272727273"/>
    <n v="0"/>
    <n v="121426.24830794845"/>
    <n v="121426.24830794845"/>
    <n v="-103226.24830794845"/>
  </r>
  <r>
    <x v="342"/>
    <s v="VERDADERO 600WG X 50GR"/>
    <x v="6"/>
    <s v="SOB"/>
    <n v="24850"/>
    <n v="33500"/>
    <x v="114"/>
    <n v="1640100"/>
    <n v="2211000"/>
    <n v="570900"/>
    <n v="81431.961035221175"/>
    <n v="24762.287272727273"/>
    <n v="0"/>
    <n v="1746294.2483079485"/>
    <n v="26459.003762241642"/>
    <n v="464705.75169205153"/>
  </r>
  <r>
    <x v="343"/>
    <s v="VERMICERDOS SB X 5GR"/>
    <x v="5"/>
    <s v="SOB"/>
    <n v="1745.37"/>
    <n v="2500"/>
    <x v="0"/>
    <n v="0"/>
    <n v="0"/>
    <n v="0"/>
    <n v="81431.961035221175"/>
    <n v="24762.287272727273"/>
    <n v="0"/>
    <n v="107939.61830794845"/>
    <n v="107939.61830794845"/>
    <n v="-107939.61830794845"/>
  </r>
  <r>
    <x v="344"/>
    <s v="VERTIMEC X 100 CC"/>
    <x v="4"/>
    <s v="FRS"/>
    <n v="23429"/>
    <n v="28500"/>
    <x v="21"/>
    <n v="281148"/>
    <n v="342000"/>
    <n v="60852"/>
    <n v="81431.961035221175"/>
    <n v="24762.287272727273"/>
    <n v="0"/>
    <n v="387342.24830794847"/>
    <n v="32278.520692329039"/>
    <n v="-45342.248307948466"/>
  </r>
  <r>
    <x v="345"/>
    <s v="VERTIMEC X 250 CC"/>
    <x v="4"/>
    <s v="FRS"/>
    <n v="57674"/>
    <n v="65000"/>
    <x v="13"/>
    <n v="173022"/>
    <n v="195000"/>
    <n v="21978"/>
    <n v="81431.961035221175"/>
    <n v="24762.287272727273"/>
    <n v="0"/>
    <n v="279216.24830794847"/>
    <n v="93072.082769316155"/>
    <n v="-84216.248307948466"/>
  </r>
  <r>
    <x v="346"/>
    <s v="VIMEC TOP X 100ML PROMO"/>
    <x v="5"/>
    <s v="FRS"/>
    <n v="33645"/>
    <n v="43000"/>
    <x v="3"/>
    <n v="336450"/>
    <n v="430000"/>
    <n v="93550"/>
    <n v="81431.961035221175"/>
    <n v="24762.287272727273"/>
    <n v="0"/>
    <n v="442644.24830794847"/>
    <n v="44264.424830794844"/>
    <n v="-12644.248307948466"/>
  </r>
  <r>
    <x v="347"/>
    <s v="VIMEC TOP X 10CC"/>
    <x v="5"/>
    <s v="FRS"/>
    <n v="7401"/>
    <n v="8500"/>
    <x v="15"/>
    <n v="44406"/>
    <n v="51000"/>
    <n v="6594"/>
    <n v="81431.961035221175"/>
    <n v="24762.287272727273"/>
    <n v="0"/>
    <n v="150600.24830794844"/>
    <n v="25100.041384658074"/>
    <n v="-99600.248307948437"/>
  </r>
  <r>
    <x v="348"/>
    <s v="VIMEC TOP X 500ML"/>
    <x v="5"/>
    <s v="FRS"/>
    <n v="142726"/>
    <n v="190000"/>
    <x v="13"/>
    <n v="428178"/>
    <n v="570000"/>
    <n v="141822"/>
    <n v="81431.961035221175"/>
    <n v="24762.287272727273"/>
    <n v="0"/>
    <n v="534372.24830794847"/>
    <n v="178124.08276931616"/>
    <n v="35627.751692051534"/>
  </r>
  <r>
    <x v="349"/>
    <s v="VIMEC TOP X 50 ML"/>
    <x v="5"/>
    <s v="FRS"/>
    <n v="19284"/>
    <n v="23000"/>
    <x v="49"/>
    <n v="154272"/>
    <n v="184000"/>
    <n v="29728"/>
    <n v="81431.961035221175"/>
    <n v="24762.287272727273"/>
    <n v="0"/>
    <n v="260466.24830794844"/>
    <n v="32558.281038493555"/>
    <n v="-76466.248307948437"/>
  </r>
  <r>
    <x v="350"/>
    <s v="VITACELL X 120ML"/>
    <x v="5"/>
    <s v="FRS"/>
    <n v="14634"/>
    <n v="16500"/>
    <x v="0"/>
    <n v="0"/>
    <n v="0"/>
    <n v="0"/>
    <n v="81431.961035221175"/>
    <n v="24762.287272727273"/>
    <n v="0"/>
    <n v="120828.24830794845"/>
    <n v="120828.24830794845"/>
    <n v="-120828.24830794845"/>
  </r>
  <r>
    <x v="351"/>
    <s v="VITAPIO SOBRE X 10GR"/>
    <x v="5"/>
    <s v="SOB"/>
    <n v="8556.5625"/>
    <n v="9833.3333333333339"/>
    <x v="50"/>
    <n v="111235.3125"/>
    <n v="127833.33333333334"/>
    <n v="16598.020833333343"/>
    <n v="81431.961035221175"/>
    <n v="24762.287272727273"/>
    <n v="0"/>
    <n v="217429.56080794844"/>
    <n v="16725.350831380649"/>
    <n v="-89596.227474615094"/>
  </r>
  <r>
    <x v="352"/>
    <s v="YARA NITROMAG X 50KILOS"/>
    <x v="0"/>
    <s v="B50"/>
    <n v="192000"/>
    <n v="200000"/>
    <x v="3"/>
    <n v="1920000"/>
    <n v="2000000"/>
    <n v="80000"/>
    <n v="81431.961035221175"/>
    <n v="24762.287272727273"/>
    <n v="0"/>
    <n v="2026194.2483079485"/>
    <n v="202619.42483079486"/>
    <n v="-26194.248307948466"/>
  </r>
  <r>
    <x v="353"/>
    <s v="YARA LIVA NITRABOR X 25KILOS"/>
    <x v="0"/>
    <s v="B50"/>
    <n v="111000"/>
    <n v="116583.33333333333"/>
    <x v="102"/>
    <n v="4218000"/>
    <n v="4430166.666666666"/>
    <n v="212166.66666666605"/>
    <n v="81431.961035221175"/>
    <n v="24762.287272727273"/>
    <n v="0"/>
    <n v="4324194.248307948"/>
    <n v="113794.5854817881"/>
    <n v="105972.41835871805"/>
  </r>
  <r>
    <x v="354"/>
    <s v="YARA MILA INTEGRADOR X 50 KILOS"/>
    <x v="0"/>
    <s v="B50"/>
    <n v="230000"/>
    <n v="240500"/>
    <x v="25"/>
    <n v="4830000"/>
    <n v="5050500"/>
    <n v="220500"/>
    <n v="81431.961035221175"/>
    <n v="24762.287272727273"/>
    <n v="0"/>
    <n v="4936194.248307948"/>
    <n v="235056.86896704516"/>
    <n v="114305.751692052"/>
  </r>
  <r>
    <x v="355"/>
    <s v="YODO HATO BACT X 60 ML"/>
    <x v="5"/>
    <s v="UND"/>
    <n v="4702"/>
    <n v="5750"/>
    <x v="50"/>
    <n v="61126"/>
    <n v="74750"/>
    <n v="13624"/>
    <n v="81431.961035221175"/>
    <n v="24762.287272727273"/>
    <n v="0"/>
    <n v="167320.24830794844"/>
    <n v="12870.788331380649"/>
    <n v="-92570.248307948437"/>
  </r>
  <r>
    <x v="356"/>
    <s v="YODO HATOBACT X 120ML"/>
    <x v="5"/>
    <s v="FRS"/>
    <n v="5699"/>
    <n v="7500"/>
    <x v="35"/>
    <n v="22796"/>
    <n v="30000"/>
    <n v="7204"/>
    <n v="81431.961035221175"/>
    <n v="24762.287272727273"/>
    <n v="0"/>
    <n v="128990.24830794845"/>
    <n v="32247.562076987113"/>
    <n v="-98990.248307948452"/>
  </r>
  <r>
    <x v="357"/>
    <s v="ZAPALLO B X 5GR"/>
    <x v="11"/>
    <s v="UND"/>
    <n v="2230"/>
    <n v="3200"/>
    <x v="35"/>
    <n v="8920"/>
    <n v="12800"/>
    <n v="3880"/>
    <n v="81431.961035221175"/>
    <n v="24762.287272727273"/>
    <n v="0"/>
    <n v="115114.24830794845"/>
    <n v="28778.562076987113"/>
    <n v="-102314.24830794845"/>
  </r>
  <r>
    <x v="358"/>
    <s v="R CROQUETAS X 2 KILOS"/>
    <x v="2"/>
    <s v="KL"/>
    <n v="7648.6305000000002"/>
    <n v="8666.6666666666661"/>
    <x v="65"/>
    <n v="1315564.446"/>
    <n v="1490666.6666666665"/>
    <n v="175102.22066666652"/>
    <n v="81431.961035221175"/>
    <n v="24762.287272727273"/>
    <n v="0"/>
    <n v="1421758.6943079485"/>
    <n v="8266.038920395049"/>
    <n v="68907.972358718049"/>
  </r>
  <r>
    <x v="359"/>
    <s v="ACELGA x 25 GR FERCON"/>
    <x v="11"/>
    <s v="SOB"/>
    <n v="3510"/>
    <n v="3600"/>
    <x v="115"/>
    <n v="108810"/>
    <n v="111600"/>
    <n v="2790"/>
    <n v="81431.961035221175"/>
    <n v="24762.287272727273"/>
    <n v="0"/>
    <n v="215004.24830794844"/>
    <n v="6935.620913159627"/>
    <n v="-103404.24830794844"/>
  </r>
  <r>
    <x v="360"/>
    <s v="CEBOLLA CABEZONA x 1 GR GERM"/>
    <x v="11"/>
    <s v="UND"/>
    <n v="600"/>
    <n v="800"/>
    <x v="25"/>
    <n v="12600"/>
    <n v="16800"/>
    <n v="4200"/>
    <n v="81431.961035221175"/>
    <n v="24762.287272727273"/>
    <n v="0"/>
    <n v="118794.24830794845"/>
    <n v="5656.868967045164"/>
    <n v="-101994.24830794845"/>
  </r>
  <r>
    <x v="361"/>
    <s v="PEREJIL LISO GERM x 20 GR"/>
    <x v="11"/>
    <s v="UND"/>
    <n v="2500"/>
    <n v="3200"/>
    <x v="31"/>
    <n v="22500"/>
    <n v="28800"/>
    <n v="6300"/>
    <n v="81431.961035221175"/>
    <n v="24762.287272727273"/>
    <n v="0"/>
    <n v="128694.24830794845"/>
    <n v="14299.360923105383"/>
    <n v="-99894.248307948452"/>
  </r>
  <r>
    <x v="362"/>
    <s v="ZANAHORIA CHANTENAY FERCON"/>
    <x v="11"/>
    <s v="SOB"/>
    <n v="1360"/>
    <n v="2733.3333333333335"/>
    <x v="96"/>
    <n v="27200"/>
    <n v="54666.666666666672"/>
    <n v="27466.666666666672"/>
    <n v="81431.961035221175"/>
    <n v="24762.287272727273"/>
    <n v="0"/>
    <n v="133394.24830794844"/>
    <n v="6669.7124153974219"/>
    <n v="-78727.581641281766"/>
  </r>
  <r>
    <x v="363"/>
    <s v="ZANAHORIA STAND II SGA"/>
    <x v="11"/>
    <s v="UND"/>
    <n v="2230"/>
    <n v="2866.6666666666665"/>
    <x v="116"/>
    <n v="82510"/>
    <n v="106066.66666666666"/>
    <n v="23556.666666666657"/>
    <n v="81431.961035221175"/>
    <n v="24762.287272727273"/>
    <n v="0"/>
    <n v="188704.24830794844"/>
    <n v="5100.1148191337415"/>
    <n v="-82637.58164128178"/>
  </r>
  <r>
    <x v="364"/>
    <s v="CILANTRO SG-300 RESIS X LIBRA SGA"/>
    <x v="11"/>
    <s v="LB"/>
    <n v="15300"/>
    <n v="18000"/>
    <x v="18"/>
    <n v="30600"/>
    <n v="36000"/>
    <n v="5400"/>
    <n v="81431.961035221175"/>
    <n v="24762.287272727273"/>
    <n v="0"/>
    <n v="136794.24830794844"/>
    <n v="68397.124153974219"/>
    <n v="-100794.24830794844"/>
  </r>
  <r>
    <x v="365"/>
    <s v="HABICHUELA LAGO AZUL X 25 GR SGA"/>
    <x v="11"/>
    <s v="kl"/>
    <n v="2200"/>
    <n v="3066.6666666666665"/>
    <x v="30"/>
    <n v="66000"/>
    <n v="92000"/>
    <n v="26000"/>
    <n v="81431.961035221175"/>
    <n v="24762.287272727273"/>
    <n v="0"/>
    <n v="172194.24830794844"/>
    <n v="5739.8082769316143"/>
    <n v="-80194.248307948437"/>
  </r>
  <r>
    <x v="366"/>
    <s v="FRIJOL CARGAMANTO  BEJUCO x 1 KL"/>
    <x v="11"/>
    <s v="KL"/>
    <n v="15000"/>
    <n v="27900"/>
    <x v="45"/>
    <n v="405000"/>
    <n v="753300"/>
    <n v="348300"/>
    <n v="81431.961035221175"/>
    <n v="24762.287272727273"/>
    <n v="0"/>
    <n v="511194.24830794847"/>
    <n v="18933.120307701796"/>
    <n v="242105.75169205153"/>
  </r>
  <r>
    <x v="367"/>
    <s v="HILO X 3000 MTS"/>
    <x v="9"/>
    <s v="UND"/>
    <n v="9758"/>
    <n v="14000"/>
    <x v="52"/>
    <n v="341530"/>
    <n v="490000"/>
    <n v="148470"/>
    <n v="81431.961035221175"/>
    <n v="24762.287272727273"/>
    <n v="0"/>
    <n v="447724.24830794847"/>
    <n v="12792.1213802271"/>
    <n v="42275.751692051534"/>
  </r>
  <r>
    <x v="368"/>
    <s v="HILO ATATODO"/>
    <x v="9"/>
    <s v="UND"/>
    <n v="2915.5"/>
    <n v="3466.6666666666665"/>
    <x v="117"/>
    <n v="134113"/>
    <n v="159466.66666666666"/>
    <n v="25353.666666666657"/>
    <n v="81431.961035221175"/>
    <n v="24762.287272727273"/>
    <n v="0"/>
    <n v="240307.24830794844"/>
    <n v="5224.0706153901838"/>
    <n v="-80840.58164128178"/>
  </r>
  <r>
    <x v="369"/>
    <s v="F CERDO LEVANTE POR KILO"/>
    <x v="2"/>
    <s v="KILO"/>
    <n v="2353.8000000000002"/>
    <n v="2700"/>
    <x v="118"/>
    <n v="1885393.8"/>
    <n v="2162700"/>
    <n v="277306.19999999995"/>
    <n v="283519.42464527232"/>
    <n v="24762.287272727273"/>
    <n v="106174.11764705883"/>
    <n v="2299849.6295650583"/>
    <n v="2871.2230081960779"/>
    <n v="-137149.62956505828"/>
  </r>
  <r>
    <x v="370"/>
    <s v="F CERDO ENGORDE 65 X KILO"/>
    <x v="2"/>
    <s v="UND"/>
    <n v="1949"/>
    <n v="2400"/>
    <x v="119"/>
    <n v="1031021"/>
    <n v="1269600"/>
    <n v="238579"/>
    <n v="283519.42464527232"/>
    <n v="24762.287272727273"/>
    <n v="106174.11764705883"/>
    <n v="1445476.8295650585"/>
    <n v="2732.4703772496377"/>
    <n v="-175876.82956505846"/>
  </r>
  <r>
    <x v="371"/>
    <s v="COMPLEMIL X50ML"/>
    <x v="5"/>
    <s v="B50"/>
    <n v="23038.857100000001"/>
    <n v="27600"/>
    <x v="15"/>
    <n v="138233.14260000002"/>
    <n v="165600"/>
    <n v="27366.857399999979"/>
    <n v="81431.961035221175"/>
    <n v="24762.287272727273"/>
    <n v="0"/>
    <n v="244427.39090794846"/>
    <n v="40737.898484658079"/>
    <n v="-78827.390907948458"/>
  </r>
  <r>
    <x v="372"/>
    <s v="TORDON 101 X  LITRO"/>
    <x v="10"/>
    <s v="LT"/>
    <n v="31969"/>
    <n v="36200"/>
    <x v="49"/>
    <n v="255752"/>
    <n v="289600"/>
    <n v="33848"/>
    <n v="81431.961035221175"/>
    <n v="24762.287272727273"/>
    <n v="0"/>
    <n v="361946.24830794847"/>
    <n v="45243.281038493558"/>
    <n v="-72346.248307948466"/>
  </r>
  <r>
    <x v="373"/>
    <s v="RALLY EC 100 CC"/>
    <x v="6"/>
    <s v="SOB"/>
    <n v="18718.5"/>
    <n v="21000"/>
    <x v="35"/>
    <n v="74874"/>
    <n v="84000"/>
    <n v="9126"/>
    <n v="81431.961035221175"/>
    <n v="24762.287272727273"/>
    <n v="0"/>
    <n v="181068.24830794844"/>
    <n v="45267.062076987109"/>
    <n v="-97068.248307948437"/>
  </r>
  <r>
    <x v="374"/>
    <s v="NUTRECAN ADULTO X 15 KILOS"/>
    <x v="2"/>
    <s v="KL"/>
    <n v="73100"/>
    <n v="79383.333333333328"/>
    <x v="44"/>
    <n v="1242700"/>
    <n v="1349516.6666666665"/>
    <n v="106816.66666666651"/>
    <n v="81431.961035221175"/>
    <n v="24762.287272727273"/>
    <n v="0"/>
    <n v="1348894.2483079485"/>
    <n v="79346.720488702849"/>
    <n v="622.41835871804506"/>
  </r>
  <r>
    <x v="375"/>
    <s v="NUTRECAN ADULTO X 25 KILOS CROQ"/>
    <x v="2"/>
    <s v="kl"/>
    <n v="121700"/>
    <n v="130466.66666666667"/>
    <x v="49"/>
    <n v="973600"/>
    <n v="1043733.3333333334"/>
    <n v="70133.333333333372"/>
    <n v="81431.961035221175"/>
    <n v="24762.287272727273"/>
    <n v="0"/>
    <n v="1079794.2483079485"/>
    <n v="134974.28103849356"/>
    <n v="-36060.914974615094"/>
  </r>
  <r>
    <x v="376"/>
    <s v="F CERDO PRE INICIO X KILO"/>
    <x v="2"/>
    <s v="UND"/>
    <n v="4187"/>
    <n v="4800"/>
    <x v="120"/>
    <n v="1561751"/>
    <n v="1790400"/>
    <n v="228649"/>
    <n v="283519.42464527232"/>
    <n v="24762.287272727273"/>
    <n v="0"/>
    <n v="1870032.7119179997"/>
    <n v="5013.4925252493285"/>
    <n v="-79632.711917999666"/>
  </r>
  <r>
    <x v="377"/>
    <s v="F RENTALECHE PASTILLA"/>
    <x v="2"/>
    <s v="BTO"/>
    <n v="52327.8"/>
    <n v="60783.333333333336"/>
    <x v="0"/>
    <n v="0"/>
    <n v="0"/>
    <n v="0"/>
    <n v="81431.961035221175"/>
    <n v="24762.287272727273"/>
    <n v="0"/>
    <n v="158522.04830794843"/>
    <n v="158522.04830794843"/>
    <n v="-158522.04830794843"/>
  </r>
  <r>
    <x v="378"/>
    <s v="PARAQUAT  X LITRO"/>
    <x v="10"/>
    <s v="LT"/>
    <n v="24700"/>
    <n v="28600"/>
    <x v="21"/>
    <n v="296400"/>
    <n v="343200"/>
    <n v="46800"/>
    <n v="81431.961035221175"/>
    <n v="24762.287272727273"/>
    <n v="0"/>
    <n v="402594.24830794847"/>
    <n v="33549.520692329039"/>
    <n v="-59394.248307948466"/>
  </r>
  <r>
    <x v="379"/>
    <s v="ABONISSA BT"/>
    <x v="0"/>
    <s v="KL"/>
    <n v="13000"/>
    <n v="15383"/>
    <x v="121"/>
    <n v="3484000"/>
    <n v="4122644"/>
    <n v="638644"/>
    <n v="81431.961035221175"/>
    <n v="24762.287272727273"/>
    <n v="0"/>
    <n v="3590194.2483079485"/>
    <n v="13396.247195178912"/>
    <n v="532449.75169205153"/>
  </r>
  <r>
    <x v="380"/>
    <s v="AGROTIN LITRO"/>
    <x v="1"/>
    <s v="LT"/>
    <n v="20494.9892"/>
    <n v="25433.333333333332"/>
    <x v="23"/>
    <n v="450889.76240000001"/>
    <n v="559533.33333333326"/>
    <n v="108643.57093333325"/>
    <n v="81431.961035221175"/>
    <n v="24762.287272727273"/>
    <n v="0"/>
    <n v="557084.01070794847"/>
    <n v="25322.00048672493"/>
    <n v="2449.3226253847824"/>
  </r>
  <r>
    <x v="381"/>
    <s v="ENGEO 247SC X 100 CC"/>
    <x v="4"/>
    <s v="FRS"/>
    <n v="19629"/>
    <n v="24466.666666666668"/>
    <x v="28"/>
    <n v="137403"/>
    <n v="171266.66666666669"/>
    <n v="33863.666666666686"/>
    <n v="81431.961035221175"/>
    <n v="24762.287272727273"/>
    <n v="0"/>
    <n v="243597.24830794844"/>
    <n v="34799.606901135492"/>
    <n v="-72330.581641281751"/>
  </r>
  <r>
    <x v="382"/>
    <s v="TIJERA PODADORA NUMERO 9"/>
    <x v="9"/>
    <s v="UND"/>
    <n v="19572.335999999999"/>
    <n v="23000"/>
    <x v="18"/>
    <n v="39144.671999999999"/>
    <n v="46000"/>
    <n v="6855.3280000000013"/>
    <n v="81431.961035221175"/>
    <n v="24762.287272727273"/>
    <n v="0"/>
    <n v="145338.92030794843"/>
    <n v="72669.460153974214"/>
    <n v="-99338.920307948429"/>
  </r>
  <r>
    <x v="383"/>
    <s v="MALLA CUADRADA X MTS"/>
    <x v="9"/>
    <s v="MTS"/>
    <n v="6200"/>
    <n v="7500"/>
    <x v="122"/>
    <n v="1339200"/>
    <n v="1620000"/>
    <n v="280800"/>
    <n v="81431.961035221175"/>
    <n v="24762.287272727273"/>
    <n v="0"/>
    <n v="1445394.2483079485"/>
    <n v="6691.6400384627241"/>
    <n v="174605.75169205153"/>
  </r>
  <r>
    <x v="384"/>
    <s v="SHAMPO CON AMOR ARBOL DE TE x SOBRE"/>
    <x v="5"/>
    <s v="UND"/>
    <n v="2642"/>
    <n v="4000"/>
    <x v="49"/>
    <n v="21136"/>
    <n v="32000"/>
    <n v="10864"/>
    <n v="81431.961035221175"/>
    <n v="24762.287272727273"/>
    <n v="0"/>
    <n v="127330.24830794845"/>
    <n v="15916.281038493556"/>
    <n v="-95330.248307948452"/>
  </r>
  <r>
    <x v="385"/>
    <s v="ESPECIFICO SHERING X 470ML"/>
    <x v="5"/>
    <s v="ML"/>
    <n v="13560"/>
    <n v="16700"/>
    <x v="49"/>
    <n v="108480"/>
    <n v="133600"/>
    <n v="25120"/>
    <n v="81431.961035221175"/>
    <n v="24762.287272727273"/>
    <n v="0"/>
    <n v="214674.24830794844"/>
    <n v="26834.281038493555"/>
    <n v="-81074.248307948437"/>
  </r>
  <r>
    <x v="386"/>
    <s v="SELLADOR IXER X LT"/>
    <x v="5"/>
    <s v="LT"/>
    <n v="20604"/>
    <n v="27000"/>
    <x v="49"/>
    <n v="164832"/>
    <n v="216000"/>
    <n v="51168"/>
    <n v="81431.961035221175"/>
    <n v="24762.287272727273"/>
    <n v="0"/>
    <n v="271026.24830794847"/>
    <n v="33878.281038493558"/>
    <n v="-55026.248307948466"/>
  </r>
  <r>
    <x v="387"/>
    <s v="SHAMPOO CANAMOR ANTIPULGAS x 30 ML"/>
    <x v="5"/>
    <s v="ML"/>
    <n v="2841"/>
    <n v="4000"/>
    <x v="9"/>
    <n v="45456"/>
    <n v="64000"/>
    <n v="18544"/>
    <n v="81431.961035221175"/>
    <n v="24762.287272727273"/>
    <n v="0"/>
    <n v="151650.24830794844"/>
    <n v="9478.1405192467773"/>
    <n v="-87650.248307948437"/>
  </r>
  <r>
    <x v="388"/>
    <s v="HEMAVET B12 X 100 ML"/>
    <x v="5"/>
    <s v="ML"/>
    <n v="17258"/>
    <n v="20300"/>
    <x v="28"/>
    <n v="120806"/>
    <n v="142100"/>
    <n v="21294"/>
    <n v="81431.961035221175"/>
    <n v="24762.287272727273"/>
    <n v="0"/>
    <n v="227000.24830794844"/>
    <n v="32428.606901135492"/>
    <n v="-84900.248307948437"/>
  </r>
  <r>
    <x v="389"/>
    <s v="F PONEDORA x BTO"/>
    <x v="2"/>
    <s v="BULTO"/>
    <n v="87664"/>
    <n v="100283.33333333333"/>
    <x v="123"/>
    <n v="23932272"/>
    <n v="27377350"/>
    <n v="3445078"/>
    <n v="81431.961035221175"/>
    <n v="24762.287272727273"/>
    <n v="0"/>
    <n v="24038466.248307951"/>
    <n v="88052.98992054195"/>
    <n v="3338883.7516920492"/>
  </r>
  <r>
    <x v="390"/>
    <s v="HARINA DE MAIZ X BULTO"/>
    <x v="2"/>
    <s v="BT"/>
    <n v="70000"/>
    <n v="75750"/>
    <x v="124"/>
    <n v="14875000"/>
    <n v="16096875"/>
    <n v="1221875"/>
    <n v="81431.961035221175"/>
    <n v="24762.287272727273"/>
    <n v="0"/>
    <n v="14981194.248307949"/>
    <n v="70499.737639096231"/>
    <n v="1115680.7516920511"/>
  </r>
  <r>
    <x v="391"/>
    <s v="ALBENDAVEM 25% x LT SERVINSUMOS"/>
    <x v="5"/>
    <s v="LT"/>
    <n v="105501"/>
    <n v="136500"/>
    <x v="18"/>
    <n v="211002"/>
    <n v="273000"/>
    <n v="61998"/>
    <n v="81431.961035221175"/>
    <n v="24762.287272727273"/>
    <n v="0"/>
    <n v="317196.24830794847"/>
    <n v="158598.12415397423"/>
    <n v="-44196.248307948466"/>
  </r>
  <r>
    <x v="392"/>
    <s v="ANTRACOL X 400GR"/>
    <x v="6"/>
    <s v="BLS"/>
    <n v="20868.939999999999"/>
    <n v="26200"/>
    <x v="51"/>
    <n v="521723.49999999994"/>
    <n v="655000"/>
    <n v="133276.50000000006"/>
    <n v="81431.961035221175"/>
    <n v="24762.287272727273"/>
    <n v="0"/>
    <n v="627917.74830794835"/>
    <n v="25116.709932317935"/>
    <n v="27082.25169205165"/>
  </r>
  <r>
    <x v="393"/>
    <s v="MACHETE AGUILA CORNETA  # 18"/>
    <x v="9"/>
    <s v="UND"/>
    <n v="14308"/>
    <n v="16500"/>
    <x v="17"/>
    <n v="14308"/>
    <n v="16500"/>
    <n v="2192"/>
    <n v="81431.961035221175"/>
    <n v="24762.287272727273"/>
    <n v="0"/>
    <n v="120502.24830794845"/>
    <n v="120502.24830794845"/>
    <n v="-104002.24830794845"/>
  </r>
  <r>
    <x v="394"/>
    <s v="NUTRISS CARNE x 1 KL"/>
    <x v="2"/>
    <s v="KL"/>
    <n v="5237.2057999999997"/>
    <n v="6050"/>
    <x v="107"/>
    <n v="256623.08419999998"/>
    <n v="296450"/>
    <n v="39826.915800000017"/>
    <n v="81431.961035221175"/>
    <n v="24762.287272727273"/>
    <n v="0"/>
    <n v="362817.33250794845"/>
    <n v="7404.4353573050703"/>
    <n v="-66367.332507948449"/>
  </r>
  <r>
    <x v="395"/>
    <s v="F CORCEL PAST X 40 KL"/>
    <x v="2"/>
    <s v="KL"/>
    <n v="75699.75"/>
    <n v="89733.333333333328"/>
    <x v="125"/>
    <n v="5071883.25"/>
    <n v="6012133.333333333"/>
    <n v="940250.08333333302"/>
    <n v="81431.961035221175"/>
    <n v="24762.287272727273"/>
    <n v="0"/>
    <n v="5178077.498307948"/>
    <n v="77284.738780715648"/>
    <n v="834055.83502538502"/>
  </r>
  <r>
    <x v="396"/>
    <s v="F MOJARRA CREC. 40%  X 40KL"/>
    <x v="2"/>
    <s v="BTO 40"/>
    <n v="172941.3"/>
    <n v="197050"/>
    <x v="126"/>
    <n v="778235.85"/>
    <n v="886725"/>
    <n v="108489.15000000002"/>
    <n v="81431.961035221175"/>
    <n v="24762.287272727273"/>
    <n v="0"/>
    <n v="884430.09830794844"/>
    <n v="196540.02184621076"/>
    <n v="2294.9016920515569"/>
  </r>
  <r>
    <x v="397"/>
    <s v="NUTRISS CACH X 15KILOS"/>
    <x v="2"/>
    <s v="KL"/>
    <n v="84842.887499999997"/>
    <n v="96433.333333333328"/>
    <x v="26"/>
    <n v="424214.4375"/>
    <n v="482166.66666666663"/>
    <n v="57952.229166666628"/>
    <n v="81431.961035221175"/>
    <n v="24762.287272727273"/>
    <n v="0"/>
    <n v="530408.68580794847"/>
    <n v="106081.7371615897"/>
    <n v="-48242.019141281839"/>
  </r>
  <r>
    <x v="398"/>
    <s v="R CACHORRO X 2 KILOS"/>
    <x v="2"/>
    <s v="KL"/>
    <n v="8553.5835000000006"/>
    <n v="10000"/>
    <x v="127"/>
    <n v="1009322.8530000001"/>
    <n v="1180000"/>
    <n v="170677.14699999988"/>
    <n v="81431.961035221175"/>
    <n v="24762.287272727273"/>
    <n v="0"/>
    <n v="1115517.1013079486"/>
    <n v="9453.5347568470224"/>
    <n v="64482.898692051414"/>
  </r>
  <r>
    <x v="399"/>
    <s v="FILPO CACHORRO X 10 KL"/>
    <x v="2"/>
    <s v="KL"/>
    <n v="36761.760000000002"/>
    <n v="41800"/>
    <x v="26"/>
    <n v="183808.80000000002"/>
    <n v="209000"/>
    <n v="25191.199999999983"/>
    <n v="81431.961035221175"/>
    <n v="24762.287272727273"/>
    <n v="0"/>
    <n v="290003.04830794845"/>
    <n v="58000.609661589689"/>
    <n v="-81003.048307948455"/>
  </r>
  <r>
    <x v="400"/>
    <s v="DACONIL 720SC X 250CC"/>
    <x v="6"/>
    <s v="ML"/>
    <n v="15031"/>
    <n v="17600"/>
    <x v="15"/>
    <n v="90186"/>
    <n v="105600"/>
    <n v="15414"/>
    <n v="81431.961035221175"/>
    <n v="24762.287272727273"/>
    <n v="0"/>
    <n v="196380.24830794844"/>
    <n v="32730.041384658074"/>
    <n v="-90780.248307948437"/>
  </r>
  <r>
    <x v="401"/>
    <s v="COGOLLE X KILO"/>
    <x v="1"/>
    <s v="KL"/>
    <n v="12745.098"/>
    <n v="15000"/>
    <x v="98"/>
    <n v="1108823.5260000001"/>
    <n v="1305000"/>
    <n v="196176.47399999993"/>
    <n v="81431.961035221175"/>
    <n v="24762.287272727273"/>
    <n v="0"/>
    <n v="1215017.7743079485"/>
    <n v="13965.721543769523"/>
    <n v="89982.225692051463"/>
  </r>
  <r>
    <x v="402"/>
    <s v="ENRAIPHOS kl"/>
    <x v="1"/>
    <s v="KL"/>
    <n v="16200"/>
    <n v="19000"/>
    <x v="14"/>
    <n v="858600"/>
    <n v="1007000"/>
    <n v="148400"/>
    <n v="81431.961035221175"/>
    <n v="24762.287272727273"/>
    <n v="0"/>
    <n v="964794.24830794835"/>
    <n v="18203.665062414118"/>
    <n v="42205.75169205165"/>
  </r>
  <r>
    <x v="403"/>
    <s v="ROYAL CONDOR ACTIVA X 20LTS"/>
    <x v="3"/>
    <s v="UND"/>
    <n v="180000"/>
    <n v="205000"/>
    <x v="15"/>
    <n v="1080000"/>
    <n v="1230000"/>
    <n v="150000"/>
    <n v="81431.961035221175"/>
    <n v="24762.287272727273"/>
    <n v="0"/>
    <n v="1186194.2483079485"/>
    <n v="197699.04138465808"/>
    <n v="43805.751692051534"/>
  </r>
  <r>
    <x v="404"/>
    <s v="DOG CHOW ADULT x 475 GR (AMARILLO)"/>
    <x v="2"/>
    <s v="KL"/>
    <n v="3999.9960000000001"/>
    <n v="4366.666666666667"/>
    <x v="83"/>
    <n v="71999.928"/>
    <n v="78600"/>
    <n v="6600.0720000000001"/>
    <n v="81431.961035221175"/>
    <n v="24762.287272727273"/>
    <n v="0"/>
    <n v="178194.17630794845"/>
    <n v="9899.6764615526918"/>
    <n v="-99594.176307948452"/>
  </r>
  <r>
    <x v="405"/>
    <s v="DOG CHOW CACH x 2 KL (MORADO)"/>
    <x v="2"/>
    <s v="KL"/>
    <n v="23599.999500000002"/>
    <n v="26200"/>
    <x v="15"/>
    <n v="141599.997"/>
    <n v="157200"/>
    <n v="15600.002999999997"/>
    <n v="81431.961035221175"/>
    <n v="24762.287272727273"/>
    <n v="0"/>
    <n v="247794.24530794844"/>
    <n v="41299.040884658076"/>
    <n v="-90594.24530794844"/>
  </r>
  <r>
    <x v="406"/>
    <s v="DOG CHOW ADULT (ROJO) X 8KL"/>
    <x v="2"/>
    <s v="KL"/>
    <n v="74700.002999999997"/>
    <n v="81633.333333333328"/>
    <x v="15"/>
    <n v="448200.01799999998"/>
    <n v="489800"/>
    <n v="41599.982000000018"/>
    <n v="81431.961035221175"/>
    <n v="24762.287272727273"/>
    <n v="0"/>
    <n v="554394.26630794839"/>
    <n v="92399.04438465806"/>
    <n v="-64594.26630794839"/>
  </r>
  <r>
    <x v="407"/>
    <s v="DOG CHOW ADULT  X 8KL (AMARILLO)"/>
    <x v="2"/>
    <s v="UND"/>
    <n v="77999.995500000005"/>
    <n v="74766.666666666672"/>
    <x v="26"/>
    <n v="389999.97750000004"/>
    <n v="373833.33333333337"/>
    <n v="-16166.644166666665"/>
    <n v="81431.961035221175"/>
    <n v="24762.287272727273"/>
    <n v="0"/>
    <n v="496194.2258079485"/>
    <n v="99238.845161589707"/>
    <n v="-122360.89247461513"/>
  </r>
  <r>
    <x v="408"/>
    <s v="CUCHILLA GUADAÑA LIVIANA"/>
    <x v="7"/>
    <s v="UND"/>
    <n v="8345.232"/>
    <n v="9800"/>
    <x v="39"/>
    <n v="200285.568"/>
    <n v="235200"/>
    <n v="34914.432000000001"/>
    <n v="81431.961035221175"/>
    <n v="24762.287272727273"/>
    <n v="0"/>
    <n v="306479.81630794849"/>
    <n v="12769.992346164521"/>
    <n v="-71279.816307948495"/>
  </r>
  <r>
    <x v="409"/>
    <s v="DOG CHOW CACH x 1KL (MORADO)"/>
    <x v="2"/>
    <s v="KL"/>
    <n v="12100.0005"/>
    <n v="13383.333333333334"/>
    <x v="13"/>
    <n v="36300.001499999998"/>
    <n v="40150"/>
    <n v="3849.9985000000015"/>
    <n v="81431.961035221175"/>
    <n v="24762.287272727273"/>
    <n v="0"/>
    <n v="142494.24980794845"/>
    <n v="47498.08326931615"/>
    <n v="-102344.24980794845"/>
  </r>
  <r>
    <x v="410"/>
    <s v="DOG CHOW CACH.  X 8KL (MORADO)"/>
    <x v="2"/>
    <s v="KL"/>
    <n v="82100.004000000001"/>
    <n v="88000"/>
    <x v="13"/>
    <n v="246300.01199999999"/>
    <n v="264000"/>
    <n v="17699.988000000012"/>
    <n v="81431.961035221175"/>
    <n v="24762.287272727273"/>
    <n v="0"/>
    <n v="352494.26030794845"/>
    <n v="117498.08676931616"/>
    <n v="-88494.260307948454"/>
  </r>
  <r>
    <x v="411"/>
    <s v="DOG CHOW CACH R/PEQ X 475GR (MORADO)"/>
    <x v="2"/>
    <s v="GR"/>
    <n v="3700.0005000000001"/>
    <n v="4533.333333333333"/>
    <x v="32"/>
    <n v="151700.02050000001"/>
    <n v="185866.66666666666"/>
    <n v="34166.646166666644"/>
    <n v="81431.961035221175"/>
    <n v="24762.287272727273"/>
    <n v="0"/>
    <n v="257894.26880794845"/>
    <n v="6290.1041172670357"/>
    <n v="-72027.602141281794"/>
  </r>
  <r>
    <x v="412"/>
    <s v="DOG CHOW CACHORRO X 8 KL (VERDE)"/>
    <x v="2"/>
    <s v="KL"/>
    <n v="72899.998500000002"/>
    <n v="82000"/>
    <x v="18"/>
    <n v="145799.997"/>
    <n v="164000"/>
    <n v="18200.002999999997"/>
    <n v="81431.961035221175"/>
    <n v="24762.287272727273"/>
    <n v="0"/>
    <n v="251994.24530794844"/>
    <n v="125997.12265397422"/>
    <n v="-87994.24530794844"/>
  </r>
  <r>
    <x v="413"/>
    <s v="R CROQUETAS X 1 KILO"/>
    <x v="2"/>
    <s v="KL"/>
    <n v="3942.4690999999998"/>
    <n v="4450"/>
    <x v="74"/>
    <n v="1060524.1879"/>
    <n v="1197050"/>
    <n v="136525.81209999998"/>
    <n v="81431.961035221175"/>
    <n v="24762.287272727273"/>
    <n v="0"/>
    <n v="1166718.4362079485"/>
    <n v="4337.2432572786192"/>
    <n v="30331.563792051515"/>
  </r>
  <r>
    <x v="414"/>
    <s v="MIRRINGO X 8 KILOS"/>
    <x v="2"/>
    <s v="B8"/>
    <n v="54225.097500000003"/>
    <n v="59633.333333333336"/>
    <x v="32"/>
    <n v="2223228.9975000001"/>
    <n v="2444966.666666667"/>
    <n v="221737.66916666692"/>
    <n v="81431.961035221175"/>
    <n v="24762.287272727273"/>
    <n v="0"/>
    <n v="2329423.2458079485"/>
    <n v="56815.201117267039"/>
    <n v="115543.42085871845"/>
  </r>
  <r>
    <x v="415"/>
    <s v="R CROQUETAS X 20 KILOS"/>
    <x v="2"/>
    <s v="KL"/>
    <n v="70964.145000000004"/>
    <n v="80066.666666666672"/>
    <x v="22"/>
    <n v="3051458.2350000003"/>
    <n v="3442866.666666667"/>
    <n v="391408.43166666664"/>
    <n v="81431.961035221175"/>
    <n v="24762.287272727273"/>
    <n v="0"/>
    <n v="3157652.4833079488"/>
    <n v="73433.77868158021"/>
    <n v="285214.18335871818"/>
  </r>
  <r>
    <x v="416"/>
    <s v="F POTROS BT X 40KL"/>
    <x v="2"/>
    <s v="BT"/>
    <n v="86658.6"/>
    <n v="95200"/>
    <x v="18"/>
    <n v="173317.2"/>
    <n v="190400"/>
    <n v="17082.799999999988"/>
    <n v="81431.961035221175"/>
    <n v="24762.287272727273"/>
    <n v="0"/>
    <n v="279511.44830794848"/>
    <n v="139755.72415397424"/>
    <n v="-89111.448307948478"/>
  </r>
  <r>
    <x v="417"/>
    <s v="CIROMEX BRIO X 200"/>
    <x v="4"/>
    <s v="CC"/>
    <n v="35600"/>
    <n v="40583.333333333336"/>
    <x v="49"/>
    <n v="284800"/>
    <n v="324666.66666666669"/>
    <n v="39866.666666666686"/>
    <n v="81431.961035221175"/>
    <n v="24762.287272727273"/>
    <n v="0"/>
    <n v="390994.24830794847"/>
    <n v="48874.281038493558"/>
    <n v="-66327.58164128178"/>
  </r>
  <r>
    <x v="418"/>
    <s v="SKEL 250EC X 250"/>
    <x v="6"/>
    <s v="CC"/>
    <n v="35200"/>
    <n v="40500"/>
    <x v="31"/>
    <n v="316800"/>
    <n v="364500"/>
    <n v="47700"/>
    <n v="81431.961035221175"/>
    <n v="24762.287272727273"/>
    <n v="0"/>
    <n v="422994.24830794847"/>
    <n v="46999.360923105385"/>
    <n v="-58494.248307948466"/>
  </r>
  <r>
    <x v="419"/>
    <s v="Q-DA CAT LIBRA"/>
    <x v="2"/>
    <s v="LB"/>
    <n v="3450"/>
    <n v="3833.3333333333335"/>
    <x v="128"/>
    <n v="1269600"/>
    <n v="1410666.6666666667"/>
    <n v="141066.66666666674"/>
    <n v="81431.961035221175"/>
    <n v="24762.287272727273"/>
    <n v="0"/>
    <n v="1375794.2483079485"/>
    <n v="3738.5713269237731"/>
    <n v="34872.418358718278"/>
  </r>
  <r>
    <x v="420"/>
    <s v="CABTRAC X LT"/>
    <x v="1"/>
    <s v="LT"/>
    <n v="35200"/>
    <n v="41000"/>
    <x v="0"/>
    <n v="0"/>
    <n v="0"/>
    <n v="0"/>
    <n v="81431.961035221175"/>
    <n v="24762.287272727273"/>
    <n v="0"/>
    <n v="141394.24830794844"/>
    <n v="141394.24830794844"/>
    <n v="-141394.24830794844"/>
  </r>
  <r>
    <x v="421"/>
    <s v="AGUJA DURATEK 16 x 1"/>
    <x v="8"/>
    <s v="UND"/>
    <n v="1606.5"/>
    <n v="2000"/>
    <x v="0"/>
    <n v="0"/>
    <n v="0"/>
    <n v="0"/>
    <n v="81431.961035221175"/>
    <n v="24762.287272727273"/>
    <n v="0"/>
    <n v="107800.74830794845"/>
    <n v="107800.74830794845"/>
    <n v="-107800.74830794845"/>
  </r>
  <r>
    <x v="422"/>
    <s v="AVEX X 100ML"/>
    <x v="5"/>
    <s v="UND"/>
    <n v="15377"/>
    <n v="19000"/>
    <x v="26"/>
    <n v="76885"/>
    <n v="95000"/>
    <n v="18115"/>
    <n v="81431.961035221175"/>
    <n v="24762.287272727273"/>
    <n v="0"/>
    <n v="183079.24830794844"/>
    <n v="36615.849661589687"/>
    <n v="-88079.248307948437"/>
  </r>
  <r>
    <x v="423"/>
    <s v="VITAVAX LB"/>
    <x v="6"/>
    <s v="UND"/>
    <n v="47525"/>
    <n v="54333.333333333336"/>
    <x v="26"/>
    <n v="237625"/>
    <n v="271666.66666666669"/>
    <n v="34041.666666666686"/>
    <n v="81431.961035221175"/>
    <n v="24762.287272727273"/>
    <n v="0"/>
    <n v="343819.24830794847"/>
    <n v="68763.849661589687"/>
    <n v="-72152.58164128178"/>
  </r>
  <r>
    <x v="424"/>
    <s v="PARAQUAT X 20 LT"/>
    <x v="10"/>
    <s v="LT"/>
    <n v="395000"/>
    <n v="490000"/>
    <x v="35"/>
    <n v="1580000"/>
    <n v="1960000"/>
    <n v="380000"/>
    <n v="81431.961035221175"/>
    <n v="24762.287272727273"/>
    <n v="0"/>
    <n v="1686194.2483079485"/>
    <n v="421548.56207698712"/>
    <n v="273805.75169205153"/>
  </r>
  <r>
    <x v="425"/>
    <s v="GANAPEN 10''"/>
    <x v="5"/>
    <s v="UND"/>
    <n v="46373"/>
    <n v="56300"/>
    <x v="26"/>
    <n v="231865"/>
    <n v="281500"/>
    <n v="49635"/>
    <n v="81431.961035221175"/>
    <n v="24762.287272727273"/>
    <n v="0"/>
    <n v="338059.24830794847"/>
    <n v="67611.849661589687"/>
    <n v="-56559.248307948466"/>
  </r>
  <r>
    <x v="426"/>
    <s v="ESPECIFICO SCHERING x LT"/>
    <x v="5"/>
    <s v="LT"/>
    <n v="31800"/>
    <n v="39900"/>
    <x v="13"/>
    <n v="95400"/>
    <n v="119700"/>
    <n v="24300"/>
    <n v="81431.961035221175"/>
    <n v="24762.287272727273"/>
    <n v="0"/>
    <n v="201594.24830794844"/>
    <n v="67198.082769316141"/>
    <n v="-81894.248307948437"/>
  </r>
  <r>
    <x v="427"/>
    <s v="CALCIO x 2 KL"/>
    <x v="5"/>
    <s v="KL"/>
    <n v="25067.7"/>
    <n v="28800"/>
    <x v="31"/>
    <n v="225609.30000000002"/>
    <n v="259200"/>
    <n v="33590.699999999983"/>
    <n v="81431.961035221175"/>
    <n v="24762.287272727273"/>
    <n v="0"/>
    <n v="331803.54830794845"/>
    <n v="36867.060923105382"/>
    <n v="-72603.548307948455"/>
  </r>
  <r>
    <x v="428"/>
    <s v="PIPERACINA UND"/>
    <x v="5"/>
    <s v="UND"/>
    <n v="393.29169999999999"/>
    <n v="500"/>
    <x v="129"/>
    <n v="23204.210299999999"/>
    <n v="29500"/>
    <n v="6295.7897000000012"/>
    <n v="81431.961035221175"/>
    <n v="24762.287272727273"/>
    <n v="0"/>
    <n v="129398.45860794846"/>
    <n v="2193.1942136940415"/>
    <n v="-99898.458607948458"/>
  </r>
  <r>
    <x v="429"/>
    <s v="VOLIAMFLEXI X 250"/>
    <x v="4"/>
    <s v="FRS"/>
    <n v="98194"/>
    <n v="112300"/>
    <x v="35"/>
    <n v="392776"/>
    <n v="449200"/>
    <n v="56424"/>
    <n v="81431.961035221175"/>
    <n v="24762.287272727273"/>
    <n v="0"/>
    <n v="498970.24830794847"/>
    <n v="124742.56207698712"/>
    <n v="-49770.248307948466"/>
  </r>
  <r>
    <x v="430"/>
    <s v="MAMITOLINA X 250GR"/>
    <x v="5"/>
    <s v="GR"/>
    <n v="20223"/>
    <n v="24500"/>
    <x v="18"/>
    <n v="40446"/>
    <n v="49000"/>
    <n v="8554"/>
    <n v="81431.961035221175"/>
    <n v="24762.287272727273"/>
    <n v="0"/>
    <n v="146640.24830794844"/>
    <n v="73320.124153974219"/>
    <n v="-97640.248307948437"/>
  </r>
  <r>
    <x v="431"/>
    <s v="MAMITOLINA 60GR"/>
    <x v="5"/>
    <s v="UND"/>
    <n v="9748"/>
    <n v="12000"/>
    <x v="35"/>
    <n v="38992"/>
    <n v="48000"/>
    <n v="9008"/>
    <n v="81431.961035221175"/>
    <n v="24762.287272727273"/>
    <n v="0"/>
    <n v="145186.24830794844"/>
    <n v="36296.562076987109"/>
    <n v="-97186.248307948437"/>
  </r>
  <r>
    <x v="432"/>
    <s v="LEVAMISOL X 20 ML"/>
    <x v="5"/>
    <s v="ML"/>
    <n v="8741.7999999999993"/>
    <n v="12000"/>
    <x v="17"/>
    <n v="8741.7999999999993"/>
    <n v="12000"/>
    <n v="3258.2000000000007"/>
    <n v="81431.961035221175"/>
    <n v="24762.287272727273"/>
    <n v="0"/>
    <n v="114936.04830794845"/>
    <n v="114936.04830794845"/>
    <n v="-102936.04830794845"/>
  </r>
  <r>
    <x v="433"/>
    <s v="VIMEC TOP X 250ML"/>
    <x v="5"/>
    <s v="ML"/>
    <n v="75531"/>
    <n v="89500"/>
    <x v="13"/>
    <n v="226593"/>
    <n v="268500"/>
    <n v="41907"/>
    <n v="81431.961035221175"/>
    <n v="24762.287272727273"/>
    <n v="0"/>
    <n v="332787.24830794847"/>
    <n v="110929.08276931616"/>
    <n v="-64287.248307948466"/>
  </r>
  <r>
    <x v="434"/>
    <s v="TORDON X GALON"/>
    <x v="10"/>
    <s v="GL"/>
    <n v="124174"/>
    <n v="137083.33333333334"/>
    <x v="26"/>
    <n v="620870"/>
    <n v="685416.66666666674"/>
    <n v="64546.666666666744"/>
    <n v="81431.961035221175"/>
    <n v="24762.287272727273"/>
    <n v="0"/>
    <n v="727064.24830794835"/>
    <n v="145412.84966158966"/>
    <n v="-41647.581641281606"/>
  </r>
  <r>
    <x v="435"/>
    <s v="DOG CHOW ADULTO R/ PEQUEÑAS X 1 KILO"/>
    <x v="2"/>
    <s v="KL"/>
    <n v="9000.0000999999993"/>
    <n v="10800"/>
    <x v="23"/>
    <n v="198000.00219999999"/>
    <n v="237600"/>
    <n v="39599.997800000012"/>
    <n v="81431.961035221175"/>
    <n v="24762.287272727273"/>
    <n v="0"/>
    <n v="304194.25050794845"/>
    <n v="13827.011386724929"/>
    <n v="-66594.250507948454"/>
  </r>
  <r>
    <x v="436"/>
    <s v="DOG CHOW ADULT R/PEQUEÑAS X 2KL"/>
    <x v="2"/>
    <s v="KL"/>
    <n v="22499.998500000002"/>
    <n v="24850"/>
    <x v="3"/>
    <n v="224999.98500000002"/>
    <n v="248500"/>
    <n v="23500.014999999985"/>
    <n v="81431.961035221175"/>
    <n v="24762.287272727273"/>
    <n v="0"/>
    <n v="331194.23330794851"/>
    <n v="33119.423330794853"/>
    <n v="-82694.233307948511"/>
  </r>
  <r>
    <x v="437"/>
    <s v="DOG CHOW ADULTO X 2 KILOS (ROJO)"/>
    <x v="2"/>
    <s v="KL"/>
    <n v="19799.996999999999"/>
    <n v="22933.333333333332"/>
    <x v="7"/>
    <n v="217799.967"/>
    <n v="252266.66666666666"/>
    <n v="34466.699666666653"/>
    <n v="81431.961035221175"/>
    <n v="24762.287272727273"/>
    <n v="0"/>
    <n v="323994.21530794847"/>
    <n v="29454.019573449859"/>
    <n v="-71727.548641281814"/>
  </r>
  <r>
    <x v="438"/>
    <s v="CAL AGRICOLA"/>
    <x v="0"/>
    <s v="BT"/>
    <n v="6499.9942000000001"/>
    <n v="18966.666666666668"/>
    <x v="48"/>
    <n v="259999.76800000001"/>
    <n v="758666.66666666674"/>
    <n v="498666.8986666667"/>
    <n v="81431.961035221175"/>
    <n v="24762.287272727273"/>
    <n v="0"/>
    <n v="366194.01630794845"/>
    <n v="9154.8504076987119"/>
    <n v="392472.6503587183"/>
  </r>
  <r>
    <x v="439"/>
    <s v="PROMOCALIER GOTERO"/>
    <x v="5"/>
    <s v="ML"/>
    <n v="10219.65"/>
    <n v="13000"/>
    <x v="21"/>
    <n v="122635.79999999999"/>
    <n v="156000"/>
    <n v="33364.200000000012"/>
    <n v="81431.961035221175"/>
    <n v="24762.287272727273"/>
    <n v="0"/>
    <n v="228830.04830794843"/>
    <n v="19069.170692329037"/>
    <n v="-72830.048307948426"/>
  </r>
  <r>
    <x v="440"/>
    <s v="NUMETRIN X 250ML"/>
    <x v="4"/>
    <s v="UND"/>
    <n v="10500"/>
    <n v="12800"/>
    <x v="5"/>
    <n v="504000"/>
    <n v="614400"/>
    <n v="110400"/>
    <n v="81431.961035221175"/>
    <n v="24762.287272727273"/>
    <n v="0"/>
    <n v="610194.24830794835"/>
    <n v="12712.380173082258"/>
    <n v="4205.75169205165"/>
  </r>
  <r>
    <x v="441"/>
    <s v="TAMIZ X 250"/>
    <x v="6"/>
    <s v="ML"/>
    <n v="36000"/>
    <n v="42000"/>
    <x v="28"/>
    <n v="252000"/>
    <n v="294000"/>
    <n v="42000"/>
    <n v="81431.961035221175"/>
    <n v="24762.287272727273"/>
    <n v="0"/>
    <n v="358194.24830794847"/>
    <n v="51170.606901135492"/>
    <n v="-64194.248307948466"/>
  </r>
  <r>
    <x v="442"/>
    <s v="TAMIZ X LITRO"/>
    <x v="6"/>
    <s v="LT"/>
    <n v="102500"/>
    <n v="132100"/>
    <x v="26"/>
    <n v="512500"/>
    <n v="660500"/>
    <n v="148000"/>
    <n v="81431.961035221175"/>
    <n v="24762.287272727273"/>
    <n v="0"/>
    <n v="618694.24830794835"/>
    <n v="123738.84966158967"/>
    <n v="41805.75169205165"/>
  </r>
  <r>
    <x v="443"/>
    <s v="PEREJIL CRESPO  GERMI x 3 GR"/>
    <x v="11"/>
    <s v="SOBRE"/>
    <n v="600"/>
    <n v="1800"/>
    <x v="28"/>
    <n v="4200"/>
    <n v="12600"/>
    <n v="8400"/>
    <n v="81431.961035221175"/>
    <n v="24762.287272727273"/>
    <n v="0"/>
    <n v="110394.24830794845"/>
    <n v="15770.606901135494"/>
    <n v="-97794.248307948452"/>
  </r>
  <r>
    <x v="444"/>
    <s v="CILANTRO LONG x 5 GR"/>
    <x v="11"/>
    <s v="GR"/>
    <n v="600"/>
    <n v="1650"/>
    <x v="44"/>
    <n v="10200"/>
    <n v="28050"/>
    <n v="17850"/>
    <n v="81431.961035221175"/>
    <n v="24762.287272727273"/>
    <n v="0"/>
    <n v="116394.24830794845"/>
    <n v="6846.7204887028502"/>
    <n v="-88344.248307948452"/>
  </r>
  <r>
    <x v="445"/>
    <s v="MALLA PAJARITO MTS"/>
    <x v="9"/>
    <s v="MTS"/>
    <n v="5515.3"/>
    <n v="7200"/>
    <x v="130"/>
    <n v="512922.9"/>
    <n v="669600"/>
    <n v="156677.09999999998"/>
    <n v="81431.961035221175"/>
    <n v="24762.287272727273"/>
    <n v="0"/>
    <n v="619117.14830794849"/>
    <n v="6657.1736377198758"/>
    <n v="50482.85169205151"/>
  </r>
  <r>
    <x v="446"/>
    <s v="RC-H-02 PANTALLA HERBICIDA"/>
    <x v="3"/>
    <s v="UND"/>
    <n v="19699.999899999999"/>
    <n v="24900"/>
    <x v="13"/>
    <n v="59099.9997"/>
    <n v="74700"/>
    <n v="15600.0003"/>
    <n v="81431.961035221175"/>
    <n v="24762.287272727273"/>
    <n v="0"/>
    <n v="165294.24800794842"/>
    <n v="55098.082669316143"/>
    <n v="-90594.248007948423"/>
  </r>
  <r>
    <x v="447"/>
    <s v="CONFIDOR X 100CC"/>
    <x v="4"/>
    <s v="ML"/>
    <n v="14536"/>
    <n v="17000"/>
    <x v="17"/>
    <n v="14536"/>
    <n v="17000"/>
    <n v="2464"/>
    <n v="81431.961035221175"/>
    <n v="24762.287272727273"/>
    <n v="0"/>
    <n v="120730.24830794845"/>
    <n v="120730.24830794845"/>
    <n v="-103730.24830794845"/>
  </r>
  <r>
    <x v="448"/>
    <s v="PROGIBB SOBRE"/>
    <x v="1"/>
    <s v="SOB"/>
    <n v="10200"/>
    <n v="12200"/>
    <x v="131"/>
    <n v="550800"/>
    <n v="658800"/>
    <n v="108000"/>
    <n v="81431.961035221175"/>
    <n v="24762.287272727273"/>
    <n v="0"/>
    <n v="656994.24830794835"/>
    <n v="12166.560153850894"/>
    <n v="1805.75169205165"/>
  </r>
  <r>
    <x v="449"/>
    <s v="CALMAFOS X 500ML"/>
    <x v="5"/>
    <s v="ML"/>
    <n v="31715"/>
    <n v="38000"/>
    <x v="116"/>
    <n v="1173455"/>
    <n v="1406000"/>
    <n v="232545"/>
    <n v="81431.961035221175"/>
    <n v="24762.287272727273"/>
    <n v="0"/>
    <n v="1279649.2483079485"/>
    <n v="34585.114819133742"/>
    <n v="126350.75169205153"/>
  </r>
  <r>
    <x v="450"/>
    <s v="F CODORNICES X 40KL"/>
    <x v="2"/>
    <s v="BT"/>
    <n v="100403.1"/>
    <n v="116916.66666666667"/>
    <x v="17"/>
    <n v="100403.1"/>
    <n v="116916.66666666667"/>
    <n v="16513.566666666666"/>
    <n v="81431.961035221175"/>
    <n v="24762.287272727273"/>
    <n v="0"/>
    <n v="206597.34830794844"/>
    <n v="206597.34830794844"/>
    <n v="-89680.681641281772"/>
  </r>
  <r>
    <x v="451"/>
    <s v="F CAMPO LECHE HNA X 40KL"/>
    <x v="2"/>
    <s v="KL"/>
    <n v="57951.6"/>
    <n v="65633.333333333328"/>
    <x v="132"/>
    <n v="1854451.2"/>
    <n v="2100266.6666666665"/>
    <n v="245815.46666666656"/>
    <n v="81431.961035221175"/>
    <n v="24762.287272727273"/>
    <n v="0"/>
    <n v="1960645.4483079484"/>
    <n v="61270.170259623388"/>
    <n v="139621.21835871809"/>
  </r>
  <r>
    <x v="452"/>
    <s v="SILLETA DOBLE ANILLO"/>
    <x v="9"/>
    <s v="UND"/>
    <n v="700"/>
    <n v="700"/>
    <x v="26"/>
    <n v="3500"/>
    <n v="3500"/>
    <n v="0"/>
    <n v="81431.961035221175"/>
    <n v="24762.287272727273"/>
    <n v="0"/>
    <n v="109694.24830794845"/>
    <n v="21938.849661589691"/>
    <n v="-106194.24830794845"/>
  </r>
  <r>
    <x v="453"/>
    <s v="TELA POLISOMBRA 2.10"/>
    <x v="9"/>
    <s v="MTS"/>
    <n v="6635.44"/>
    <n v="8800"/>
    <x v="52"/>
    <n v="232240.4"/>
    <n v="308000"/>
    <n v="75759.600000000006"/>
    <n v="81431.961035221175"/>
    <n v="24762.287272727273"/>
    <n v="0"/>
    <n v="338434.64830794843"/>
    <n v="9669.5613802270982"/>
    <n v="-30434.648307948431"/>
  </r>
  <r>
    <x v="454"/>
    <s v="TELA NEGRA"/>
    <x v="9"/>
    <s v="MTS"/>
    <n v="2313.9549999999999"/>
    <n v="2800"/>
    <x v="133"/>
    <n v="275360.64500000002"/>
    <n v="333200"/>
    <n v="57839.354999999981"/>
    <n v="81431.961035221175"/>
    <n v="24762.287272727273"/>
    <n v="0"/>
    <n v="381554.89330794849"/>
    <n v="3206.3436412432648"/>
    <n v="-48354.893307948485"/>
  </r>
  <r>
    <x v="455"/>
    <s v="MININO KILO"/>
    <x v="2"/>
    <s v="KL"/>
    <n v="7942.1948000000002"/>
    <n v="8850"/>
    <x v="73"/>
    <n v="476531.68800000002"/>
    <n v="531000"/>
    <n v="54468.311999999976"/>
    <n v="81431.961035221175"/>
    <n v="24762.287272727273"/>
    <n v="0"/>
    <n v="582725.93630794843"/>
    <n v="9712.0989384658078"/>
    <n v="-51725.936307948432"/>
  </r>
  <r>
    <x v="456"/>
    <s v="NUTRISS CACH X 30 KILOS"/>
    <x v="2"/>
    <s v="BTO"/>
    <n v="158823.94500000001"/>
    <n v="174250"/>
    <x v="17"/>
    <n v="158823.94500000001"/>
    <n v="174250"/>
    <n v="15426.054999999993"/>
    <n v="81431.961035221175"/>
    <n v="24762.287272727273"/>
    <n v="0"/>
    <n v="265018.19330794847"/>
    <n v="265018.19330794847"/>
    <n v="-90768.193307948473"/>
  </r>
  <r>
    <x v="457"/>
    <s v="F POLLITAS CRECIMIENTO x 40 KL"/>
    <x v="2"/>
    <s v="BT"/>
    <n v="87177.3"/>
    <n v="101150"/>
    <x v="26"/>
    <n v="435886.5"/>
    <n v="505750"/>
    <n v="69863.5"/>
    <n v="81431.961035221175"/>
    <n v="24762.287272727273"/>
    <n v="0"/>
    <n v="542080.74830794847"/>
    <n v="108416.14966158969"/>
    <n v="-36330.748307948466"/>
  </r>
  <r>
    <x v="458"/>
    <s v="BEBEDERO AUTOMATICO"/>
    <x v="7"/>
    <s v="UND"/>
    <n v="25600.05"/>
    <n v="29266.666666666668"/>
    <x v="96"/>
    <n v="512001"/>
    <n v="585333.33333333337"/>
    <n v="73332.333333333372"/>
    <n v="81431.961035221175"/>
    <n v="24762.287272727273"/>
    <n v="0"/>
    <n v="618195.24830794835"/>
    <n v="30909.762415397417"/>
    <n v="-32861.914974614978"/>
  </r>
  <r>
    <x v="459"/>
    <s v="BELT x 50 ML"/>
    <x v="4"/>
    <s v="UND"/>
    <n v="51428.34"/>
    <n v="59666.666666666664"/>
    <x v="12"/>
    <n v="719996.76"/>
    <n v="835333.33333333326"/>
    <n v="115336.57333333325"/>
    <n v="81431.961035221175"/>
    <n v="24762.287272727273"/>
    <n v="0"/>
    <n v="826191.00830794836"/>
    <n v="59013.643450567739"/>
    <n v="9142.3250253848964"/>
  </r>
  <r>
    <x v="460"/>
    <s v="NATIVO X 120ML"/>
    <x v="6"/>
    <s v="ML"/>
    <n v="18230.36"/>
    <n v="22000"/>
    <x v="96"/>
    <n v="364607.2"/>
    <n v="440000"/>
    <n v="75392.799999999988"/>
    <n v="81431.961035221175"/>
    <n v="24762.287272727273"/>
    <n v="0"/>
    <n v="470801.44830794848"/>
    <n v="23540.072415397422"/>
    <n v="-30801.448307948478"/>
  </r>
  <r>
    <x v="461"/>
    <s v="PROTEUS FRS X 200ML"/>
    <x v="4"/>
    <s v="ML"/>
    <n v="26914.080000000002"/>
    <n v="34083.333333333336"/>
    <x v="15"/>
    <n v="161484.48000000001"/>
    <n v="204500"/>
    <n v="43015.51999999999"/>
    <n v="81431.961035221175"/>
    <n v="24762.287272727273"/>
    <n v="0"/>
    <n v="267678.72830794845"/>
    <n v="44613.121384658072"/>
    <n v="-63178.728307948448"/>
  </r>
  <r>
    <x v="462"/>
    <s v="GALLINAS"/>
    <x v="13"/>
    <s v="UND"/>
    <n v="23500"/>
    <n v="26300"/>
    <x v="30"/>
    <n v="705000"/>
    <n v="789000"/>
    <n v="84000"/>
    <n v="81431.961035221175"/>
    <n v="24762.287272727273"/>
    <n v="0"/>
    <n v="811194.24830794835"/>
    <n v="27039.808276931613"/>
    <n v="-22194.24830794835"/>
  </r>
  <r>
    <x v="463"/>
    <s v="ALAMBRE PU 14.5 X 350MTS"/>
    <x v="9"/>
    <s v="BT"/>
    <n v="214916.38"/>
    <n v="238033"/>
    <x v="35"/>
    <n v="859665.52"/>
    <n v="952132"/>
    <n v="92466.479999999981"/>
    <n v="81431.961035221175"/>
    <n v="24762.287272727273"/>
    <n v="0"/>
    <n v="965859.76830794837"/>
    <n v="241464.94207698709"/>
    <n v="-13727.768307948369"/>
  </r>
  <r>
    <x v="464"/>
    <s v="ALAMBRE 16.5 X 400 MTS"/>
    <x v="9"/>
    <s v="BT"/>
    <n v="150632.57999999999"/>
    <n v="182000"/>
    <x v="26"/>
    <n v="753162.89999999991"/>
    <n v="910000"/>
    <n v="156837.10000000009"/>
    <n v="81431.961035221175"/>
    <n v="24762.287272727273"/>
    <n v="0"/>
    <n v="859357.14830794826"/>
    <n v="171871.42966158965"/>
    <n v="50642.851692051743"/>
  </r>
  <r>
    <x v="465"/>
    <s v="31-8-8-2 POTREROS MANUCHAR"/>
    <x v="0"/>
    <s v="BT"/>
    <n v="178500"/>
    <n v="206333.33333333334"/>
    <x v="37"/>
    <n v="2677500"/>
    <n v="3095000"/>
    <n v="417500"/>
    <n v="81431.961035221175"/>
    <n v="24762.287272727273"/>
    <n v="0"/>
    <n v="2783694.2483079485"/>
    <n v="185579.61655386322"/>
    <n v="311305.75169205153"/>
  </r>
  <r>
    <x v="466"/>
    <s v="25-4-24 X 50 KL YARA"/>
    <x v="0"/>
    <s v="BT"/>
    <n v="200000"/>
    <n v="209000"/>
    <x v="134"/>
    <n v="28200000"/>
    <n v="29469000"/>
    <n v="1269000"/>
    <n v="81431.961035221175"/>
    <n v="24762.287272727273"/>
    <n v="0"/>
    <n v="28306194.248307951"/>
    <n v="200753.15069721951"/>
    <n v="1162805.7516920492"/>
  </r>
  <r>
    <x v="467"/>
    <s v="17-6-18-2  x 50 KL MANUCHAR"/>
    <x v="0"/>
    <s v="BT"/>
    <n v="165000"/>
    <n v="174200"/>
    <x v="135"/>
    <n v="83655000"/>
    <n v="88319400"/>
    <n v="4664400"/>
    <n v="81431.961035221175"/>
    <n v="24762.287272727273"/>
    <n v="0"/>
    <n v="83761194.248307943"/>
    <n v="165209.45611106104"/>
    <n v="4558205.7516920567"/>
  </r>
  <r>
    <x v="468"/>
    <s v="CALFOSVIT X 50ML"/>
    <x v="5"/>
    <s v="ML"/>
    <n v="36794"/>
    <n v="40416.666666666664"/>
    <x v="26"/>
    <n v="183970"/>
    <n v="202083.33333333331"/>
    <n v="18113.333333333314"/>
    <n v="81431.961035221175"/>
    <n v="24762.287272727273"/>
    <n v="0"/>
    <n v="290164.24830794847"/>
    <n v="58032.849661589695"/>
    <n v="-88080.914974615152"/>
  </r>
  <r>
    <x v="469"/>
    <s v="FULMINADO x 20 ML"/>
    <x v="5"/>
    <s v="ML"/>
    <n v="5286"/>
    <n v="6500"/>
    <x v="15"/>
    <n v="31716"/>
    <n v="39000"/>
    <n v="7284"/>
    <n v="81431.961035221175"/>
    <n v="24762.287272727273"/>
    <n v="0"/>
    <n v="137910.24830794844"/>
    <n v="22985.041384658074"/>
    <n v="-98910.248307948437"/>
  </r>
  <r>
    <x v="470"/>
    <s v="NOVABRONCOL X 120"/>
    <x v="5"/>
    <s v="ML"/>
    <n v="9217"/>
    <n v="11000"/>
    <x v="28"/>
    <n v="64519"/>
    <n v="77000"/>
    <n v="12481"/>
    <n v="81431.961035221175"/>
    <n v="24762.287272727273"/>
    <n v="0"/>
    <n v="170713.24830794844"/>
    <n v="24387.606901135492"/>
    <n v="-93713.248307948437"/>
  </r>
  <r>
    <x v="471"/>
    <s v="TOMATE CHERRY x 5 GRM GERM"/>
    <x v="11"/>
    <s v="SOBRE"/>
    <n v="2500"/>
    <n v="3533.3333333333335"/>
    <x v="28"/>
    <n v="17500"/>
    <n v="24733.333333333336"/>
    <n v="7233.3333333333358"/>
    <n v="81431.961035221175"/>
    <n v="24762.287272727273"/>
    <n v="0"/>
    <n v="123694.24830794845"/>
    <n v="17670.606901135492"/>
    <n v="-98960.914974615123"/>
  </r>
  <r>
    <x v="472"/>
    <s v="COBRETHANE KILO"/>
    <x v="6"/>
    <s v="KL"/>
    <n v="30615"/>
    <n v="39216.666666666664"/>
    <x v="24"/>
    <n v="795990"/>
    <n v="1019633.3333333333"/>
    <n v="223643.33333333326"/>
    <n v="81431.961035221175"/>
    <n v="24762.287272727273"/>
    <n v="0"/>
    <n v="902184.24830794835"/>
    <n v="34699.394165690319"/>
    <n v="117449.08502538491"/>
  </r>
  <r>
    <x v="473"/>
    <s v="DOG CHOW CACHARRO VERDE KILO"/>
    <x v="2"/>
    <s v="KL"/>
    <n v="12100.0005"/>
    <n v="14200"/>
    <x v="26"/>
    <n v="60500.002500000002"/>
    <n v="71000"/>
    <n v="10499.997499999998"/>
    <n v="81431.961035221175"/>
    <n v="24762.287272727273"/>
    <n v="0"/>
    <n v="166694.25080794844"/>
    <n v="33338.850161589689"/>
    <n v="-95694.25080794844"/>
  </r>
  <r>
    <x v="474"/>
    <s v="DOG CHOW CACH. VERDE X 475GR"/>
    <x v="2"/>
    <s v="GR"/>
    <n v="3999.9960000000001"/>
    <n v="4466.666666666667"/>
    <x v="37"/>
    <n v="59999.94"/>
    <n v="67000"/>
    <n v="7000.0599999999977"/>
    <n v="81431.961035221175"/>
    <n v="24762.287272727273"/>
    <n v="0"/>
    <n v="166194.18830794844"/>
    <n v="11079.61255386323"/>
    <n v="-99194.18830794844"/>
  </r>
  <r>
    <x v="475"/>
    <s v="BARAKA X 250ML"/>
    <x v="4"/>
    <s v="UND"/>
    <n v="88900"/>
    <n v="102000"/>
    <x v="25"/>
    <n v="1866900"/>
    <n v="2142000"/>
    <n v="275100"/>
    <n v="81431.961035221175"/>
    <n v="24762.287272727273"/>
    <n v="0"/>
    <n v="1973094.2483079485"/>
    <n v="93956.868967045171"/>
    <n v="168905.75169205153"/>
  </r>
  <r>
    <x v="476"/>
    <s v="LEPECID FRS"/>
    <x v="5"/>
    <s v="UND"/>
    <n v="19643.0769"/>
    <n v="22800"/>
    <x v="49"/>
    <n v="157144.6152"/>
    <n v="182400"/>
    <n v="25255.3848"/>
    <n v="81431.961035221175"/>
    <n v="24762.287272727273"/>
    <n v="0"/>
    <n v="263338.86350794847"/>
    <n v="32917.357938493558"/>
    <n v="-80938.863507948467"/>
  </r>
  <r>
    <x v="477"/>
    <s v="OVILLO 750MTS"/>
    <x v="9"/>
    <s v="UND"/>
    <n v="16481.5"/>
    <n v="18733.333333333332"/>
    <x v="23"/>
    <n v="362593"/>
    <n v="412133.33333333331"/>
    <n v="49540.333333333314"/>
    <n v="81431.961035221175"/>
    <n v="24762.287272727273"/>
    <n v="0"/>
    <n v="468787.24830794847"/>
    <n v="21308.51128672493"/>
    <n v="-56653.914974615152"/>
  </r>
  <r>
    <x v="478"/>
    <s v="PRIMEC X GOTERO"/>
    <x v="5"/>
    <s v="ML"/>
    <n v="14856"/>
    <n v="17166.666666666668"/>
    <x v="49"/>
    <n v="118848"/>
    <n v="137333.33333333334"/>
    <n v="18485.333333333343"/>
    <n v="81431.961035221175"/>
    <n v="24762.287272727273"/>
    <n v="0"/>
    <n v="225042.24830794844"/>
    <n v="28130.281038493555"/>
    <n v="-87708.914974615094"/>
  </r>
  <r>
    <x v="479"/>
    <s v="TRIMEBAC GOTAS"/>
    <x v="5"/>
    <s v="ML"/>
    <n v="9757"/>
    <n v="12500"/>
    <x v="7"/>
    <n v="107327"/>
    <n v="137500"/>
    <n v="30173"/>
    <n v="81431.961035221175"/>
    <n v="24762.287272727273"/>
    <n v="0"/>
    <n v="213521.24830794844"/>
    <n v="19411.022573449856"/>
    <n v="-76021.248307948437"/>
  </r>
  <r>
    <x v="480"/>
    <s v="TERMINATOR x 120 ML"/>
    <x v="5"/>
    <s v="ML"/>
    <n v="12174"/>
    <n v="17300"/>
    <x v="0"/>
    <n v="0"/>
    <n v="0"/>
    <n v="0"/>
    <n v="81431.961035221175"/>
    <n v="24762.287272727273"/>
    <n v="0"/>
    <n v="118368.24830794845"/>
    <n v="118368.24830794845"/>
    <n v="-118368.24830794845"/>
  </r>
  <r>
    <x v="481"/>
    <s v="FENLAK x 20 ML"/>
    <x v="5"/>
    <s v="ML"/>
    <n v="5826"/>
    <n v="8000"/>
    <x v="35"/>
    <n v="23304"/>
    <n v="32000"/>
    <n v="8696"/>
    <n v="81431.961035221175"/>
    <n v="24762.287272727273"/>
    <n v="0"/>
    <n v="129498.24830794845"/>
    <n v="32374.562076987113"/>
    <n v="-97498.248307948452"/>
  </r>
  <r>
    <x v="482"/>
    <s v="NOVACAN ADULT X 5ML"/>
    <x v="5"/>
    <s v="ML"/>
    <n v="5416.8"/>
    <n v="6300"/>
    <x v="7"/>
    <n v="59584.800000000003"/>
    <n v="69300"/>
    <n v="9715.1999999999971"/>
    <n v="81431.961035221175"/>
    <n v="24762.287272727273"/>
    <n v="0"/>
    <n v="165779.04830794843"/>
    <n v="15070.822573449857"/>
    <n v="-96479.048307948426"/>
  </r>
  <r>
    <x v="483"/>
    <s v="FOSYCAL PERROS X 120ML"/>
    <x v="5"/>
    <s v="UND"/>
    <n v="16970"/>
    <n v="21000"/>
    <x v="13"/>
    <n v="50910"/>
    <n v="63000"/>
    <n v="12090"/>
    <n v="81431.961035221175"/>
    <n v="24762.287272727273"/>
    <n v="0"/>
    <n v="157104.24830794844"/>
    <n v="52368.082769316148"/>
    <n v="-94104.248307948437"/>
  </r>
  <r>
    <x v="484"/>
    <s v="ARVEJA SANTA ISABEL x 454 GR"/>
    <x v="11"/>
    <s v="LB"/>
    <n v="10030"/>
    <n v="12000"/>
    <x v="0"/>
    <n v="0"/>
    <n v="0"/>
    <n v="0"/>
    <n v="81431.961035221175"/>
    <n v="24762.287272727273"/>
    <n v="0"/>
    <n v="116224.24830794845"/>
    <n v="116224.24830794845"/>
    <n v="-116224.24830794845"/>
  </r>
  <r>
    <x v="485"/>
    <s v="FRIJOL CALIMA x KL"/>
    <x v="11"/>
    <s v="KL"/>
    <n v="13000"/>
    <n v="16500"/>
    <x v="49"/>
    <n v="104000"/>
    <n v="132000"/>
    <n v="28000"/>
    <n v="81431.961035221175"/>
    <n v="24762.287272727273"/>
    <n v="0"/>
    <n v="210194.24830794844"/>
    <n v="26274.281038493555"/>
    <n v="-78194.248307948437"/>
  </r>
  <r>
    <x v="486"/>
    <s v="BEBEDERO 5 LTS"/>
    <x v="7"/>
    <s v="UND"/>
    <n v="9699.9"/>
    <n v="11583.333333333334"/>
    <x v="36"/>
    <n v="281297.09999999998"/>
    <n v="335916.66666666669"/>
    <n v="54619.566666666709"/>
    <n v="81431.961035221175"/>
    <n v="24762.287272727273"/>
    <n v="0"/>
    <n v="387491.34830794844"/>
    <n v="13361.770631308567"/>
    <n v="-51574.681641281757"/>
  </r>
  <r>
    <x v="487"/>
    <s v="DOG CHOW ADULT V/SANAx 22 KG (ROJO)"/>
    <x v="2"/>
    <s v="UND"/>
    <n v="153199.99799999999"/>
    <n v="169000"/>
    <x v="12"/>
    <n v="2144799.9720000001"/>
    <n v="2366000"/>
    <n v="221200.02799999993"/>
    <n v="81431.961035221175"/>
    <n v="24762.287272727273"/>
    <n v="0"/>
    <n v="2250994.2203079485"/>
    <n v="160785.30145056776"/>
    <n v="115005.77969205147"/>
  </r>
  <r>
    <x v="488"/>
    <s v="MAIZ ENTERO KILO"/>
    <x v="2"/>
    <s v="KL"/>
    <n v="2291.66"/>
    <n v="2433.3333333333335"/>
    <x v="136"/>
    <n v="4012696.6599999997"/>
    <n v="4260766.666666667"/>
    <n v="248070.00666666729"/>
    <n v="81431.961035221175"/>
    <n v="24762.287272727273"/>
    <n v="0"/>
    <n v="4118890.9083079481"/>
    <n v="2352.3077717349788"/>
    <n v="141875.75835871883"/>
  </r>
  <r>
    <x v="489"/>
    <s v="MAIZ PERGAMINO  BT X 50KL"/>
    <x v="2"/>
    <s v="BT"/>
    <n v="94500"/>
    <n v="108833.33333333333"/>
    <x v="137"/>
    <n v="3921750"/>
    <n v="4516583.333333333"/>
    <n v="594833.33333333302"/>
    <n v="81431.961035221175"/>
    <n v="24762.287272727273"/>
    <n v="0"/>
    <n v="4027944.2483079485"/>
    <n v="97058.897549589121"/>
    <n v="488639.08502538456"/>
  </r>
  <r>
    <x v="490"/>
    <s v="MAIZ PARTIDO BT"/>
    <x v="2"/>
    <s v="BT"/>
    <n v="98000"/>
    <n v="117666.66666666667"/>
    <x v="138"/>
    <n v="5635000"/>
    <n v="6765833.333333334"/>
    <n v="1130833.333333334"/>
    <n v="81431.961035221175"/>
    <n v="24762.287272727273"/>
    <n v="0"/>
    <n v="5741194.248307948"/>
    <n v="99846.856492312145"/>
    <n v="1024639.085025386"/>
  </r>
  <r>
    <x v="491"/>
    <s v="F SAL UNIVERSAL 6 X 40KL"/>
    <x v="2"/>
    <s v="KL"/>
    <n v="78631.350000000006"/>
    <n v="103300"/>
    <x v="18"/>
    <n v="157262.70000000001"/>
    <n v="206600"/>
    <n v="49337.299999999988"/>
    <n v="81431.961035221175"/>
    <n v="24762.287272727273"/>
    <n v="0"/>
    <n v="263456.94830794848"/>
    <n v="131728.47415397424"/>
    <n v="-56856.948307948478"/>
  </r>
  <r>
    <x v="492"/>
    <s v="SAL SOMEX 5% MOCHILA X10KL"/>
    <x v="2"/>
    <s v="KL"/>
    <n v="34917.75"/>
    <n v="38200"/>
    <x v="9"/>
    <n v="558684"/>
    <n v="611200"/>
    <n v="52516"/>
    <n v="81431.961035221175"/>
    <n v="24762.287272727273"/>
    <n v="0"/>
    <n v="664878.24830794835"/>
    <n v="41554.890519246772"/>
    <n v="-53678.24830794835"/>
  </r>
  <r>
    <x v="493"/>
    <s v="MOGOLLA KILO"/>
    <x v="2"/>
    <s v="KL"/>
    <n v="1639.0921000000001"/>
    <n v="1983.3333333333333"/>
    <x v="139"/>
    <n v="498283.99840000004"/>
    <n v="602933.33333333326"/>
    <n v="104649.33493333322"/>
    <n v="81431.961035221175"/>
    <n v="24762.287272727273"/>
    <n v="0"/>
    <n v="604478.24670794851"/>
    <n v="1988.4152852235147"/>
    <n v="-1544.9133746152511"/>
  </r>
  <r>
    <x v="494"/>
    <s v="ESPECIFICO HATO x GALON"/>
    <x v="5"/>
    <s v="GALON"/>
    <n v="79856"/>
    <n v="87716.666666666672"/>
    <x v="15"/>
    <n v="479136"/>
    <n v="526300"/>
    <n v="47164"/>
    <n v="81431.961035221175"/>
    <n v="24762.287272727273"/>
    <n v="0"/>
    <n v="585330.24830794835"/>
    <n v="97555.041384658063"/>
    <n v="-59030.24830794835"/>
  </r>
  <r>
    <x v="495"/>
    <s v="RC-830EX PORTABOQUILLA UNIVERSAL"/>
    <x v="3"/>
    <s v="UND"/>
    <n v="2700"/>
    <n v="3200"/>
    <x v="23"/>
    <n v="59400"/>
    <n v="70400"/>
    <n v="11000"/>
    <n v="81431.961035221175"/>
    <n v="24762.287272727273"/>
    <n v="0"/>
    <n v="165594.24830794844"/>
    <n v="7527.0112867249291"/>
    <n v="-95194.248307948437"/>
  </r>
  <r>
    <x v="496"/>
    <s v="MAIZ PARTIDO KILO"/>
    <x v="2"/>
    <s v="KL"/>
    <n v="2200"/>
    <n v="2750"/>
    <x v="140"/>
    <n v="6441600"/>
    <n v="8052000"/>
    <n v="1610400"/>
    <n v="81431.961035221175"/>
    <n v="24762.287272727273"/>
    <n v="0"/>
    <n v="6547794.248307948"/>
    <n v="2236.2685274275777"/>
    <n v="1504205.751692052"/>
  </r>
  <r>
    <x v="497"/>
    <s v="VERDADERO KILO"/>
    <x v="4"/>
    <s v="KL"/>
    <n v="497000"/>
    <n v="538000"/>
    <x v="26"/>
    <n v="2485000"/>
    <n v="2690000"/>
    <n v="205000"/>
    <n v="81431.961035221175"/>
    <n v="24762.287272727273"/>
    <n v="0"/>
    <n v="2591194.2483079485"/>
    <n v="518238.84966158972"/>
    <n v="98805.751692051534"/>
  </r>
  <r>
    <x v="498"/>
    <s v="MACHETE AGUILA CORNETA 22&quot;"/>
    <x v="9"/>
    <s v="UND"/>
    <n v="14308"/>
    <n v="16500"/>
    <x v="13"/>
    <n v="42924"/>
    <n v="49500"/>
    <n v="6576"/>
    <n v="81431.961035221175"/>
    <n v="24762.287272727273"/>
    <n v="0"/>
    <n v="149118.24830794844"/>
    <n v="49706.082769316148"/>
    <n v="-99618.248307948437"/>
  </r>
  <r>
    <x v="499"/>
    <s v="GLIFOSATO 480 RAINBOW x GALON"/>
    <x v="10"/>
    <s v="GL"/>
    <n v="121250"/>
    <n v="143000"/>
    <x v="7"/>
    <n v="1333750"/>
    <n v="1573000"/>
    <n v="239250"/>
    <n v="81431.961035221175"/>
    <n v="24762.287272727273"/>
    <n v="0"/>
    <n v="1439944.2483079485"/>
    <n v="130904.02257344987"/>
    <n v="133055.75169205153"/>
  </r>
  <r>
    <x v="500"/>
    <s v="BANDEJA 72 CAV"/>
    <x v="11"/>
    <s v="SOBRE"/>
    <n v="7140"/>
    <n v="8066.666666666667"/>
    <x v="134"/>
    <n v="1006740"/>
    <n v="1137400"/>
    <n v="130660"/>
    <n v="81431.961035221175"/>
    <n v="24762.287272727273"/>
    <n v="0"/>
    <n v="1112934.2483079485"/>
    <n v="7893.1506972194929"/>
    <n v="24465.751692051534"/>
  </r>
  <r>
    <x v="501"/>
    <s v="FILL AGRO"/>
    <x v="1"/>
    <s v="KL"/>
    <n v="10738.56"/>
    <n v="12600"/>
    <x v="0"/>
    <n v="0"/>
    <n v="0"/>
    <n v="0"/>
    <n v="81431.961035221175"/>
    <n v="24762.287272727273"/>
    <n v="0"/>
    <n v="116932.80830794845"/>
    <n v="116932.80830794845"/>
    <n v="-116932.80830794845"/>
  </r>
  <r>
    <x v="502"/>
    <s v="EFISOIL HUMUS x KL"/>
    <x v="1"/>
    <s v="LT"/>
    <n v="42000"/>
    <n v="52666.666666666664"/>
    <x v="21"/>
    <n v="504000"/>
    <n v="632000"/>
    <n v="128000"/>
    <n v="81431.961035221175"/>
    <n v="24762.287272727273"/>
    <n v="0"/>
    <n v="610194.24830794835"/>
    <n v="50849.520692329032"/>
    <n v="21805.75169205165"/>
  </r>
  <r>
    <x v="503"/>
    <s v="NUTRECAN CACHORRO X 4KL"/>
    <x v="2"/>
    <s v="KL"/>
    <n v="22150.002"/>
    <n v="25583.333333333332"/>
    <x v="44"/>
    <n v="376550.03399999999"/>
    <n v="434916.66666666663"/>
    <n v="58366.632666666643"/>
    <n v="81431.961035221175"/>
    <n v="24762.287272727273"/>
    <n v="0"/>
    <n v="482744.28230794845"/>
    <n v="28396.72248870285"/>
    <n v="-47827.615641281824"/>
  </r>
  <r>
    <x v="504"/>
    <s v="COMPLEBET X 100ML"/>
    <x v="5"/>
    <s v="ML"/>
    <n v="6693"/>
    <n v="8500"/>
    <x v="0"/>
    <n v="0"/>
    <n v="0"/>
    <n v="0"/>
    <n v="81431.961035221175"/>
    <n v="24762.287272727273"/>
    <n v="0"/>
    <n v="112887.24830794845"/>
    <n v="112887.24830794845"/>
    <n v="-112887.24830794845"/>
  </r>
  <r>
    <x v="505"/>
    <s v="NEOCLORDELIN LACTANCIA"/>
    <x v="5"/>
    <s v="CJ"/>
    <n v="36485"/>
    <n v="44916.666666666664"/>
    <x v="28"/>
    <n v="255395"/>
    <n v="314416.66666666663"/>
    <n v="59021.666666666628"/>
    <n v="81431.961035221175"/>
    <n v="24762.287272727273"/>
    <n v="0"/>
    <n v="361589.24830794847"/>
    <n v="51655.606901135492"/>
    <n v="-47172.581641281839"/>
  </r>
  <r>
    <x v="506"/>
    <s v="TYLOSER X 50ML"/>
    <x v="5"/>
    <s v="FRS"/>
    <n v="21157"/>
    <n v="25500"/>
    <x v="0"/>
    <n v="0"/>
    <n v="0"/>
    <n v="0"/>
    <n v="81431.961035221175"/>
    <n v="24762.287272727273"/>
    <n v="0"/>
    <n v="127351.24830794845"/>
    <n v="127351.24830794845"/>
    <n v="-127351.24830794845"/>
  </r>
  <r>
    <x v="507"/>
    <s v="ALBENDAZOL X 500ML"/>
    <x v="5"/>
    <s v="ML"/>
    <n v="62319"/>
    <n v="69200"/>
    <x v="18"/>
    <n v="124638"/>
    <n v="138400"/>
    <n v="13762"/>
    <n v="81431.961035221175"/>
    <n v="24762.287272727273"/>
    <n v="0"/>
    <n v="230832.24830794844"/>
    <n v="115416.12415397422"/>
    <n v="-92432.248307948437"/>
  </r>
  <r>
    <x v="508"/>
    <s v="FILTRO PLAST PARA LECHE COMPLETO"/>
    <x v="7"/>
    <s v="UND"/>
    <n v="12971"/>
    <n v="15200"/>
    <x v="26"/>
    <n v="64855"/>
    <n v="76000"/>
    <n v="11145"/>
    <n v="81431.961035221175"/>
    <n v="24762.287272727273"/>
    <n v="0"/>
    <n v="171049.24830794844"/>
    <n v="34209.849661589687"/>
    <n v="-95049.248307948437"/>
  </r>
  <r>
    <x v="509"/>
    <s v="SAL SOMEX MB MOCHILA X10 KL"/>
    <x v="2"/>
    <s v="KL"/>
    <n v="20979"/>
    <n v="23516.666666666668"/>
    <x v="82"/>
    <n v="1048950"/>
    <n v="1175833.3333333335"/>
    <n v="126883.33333333349"/>
    <n v="81431.961035221175"/>
    <n v="24762.287272727273"/>
    <n v="0"/>
    <n v="1155144.2483079485"/>
    <n v="23102.88496615897"/>
    <n v="20689.085025385022"/>
  </r>
  <r>
    <x v="510"/>
    <s v="CLAVEL VARIADO"/>
    <x v="11"/>
    <s v="SOB"/>
    <n v="2800"/>
    <n v="6400"/>
    <x v="96"/>
    <n v="56000"/>
    <n v="128000"/>
    <n v="72000"/>
    <n v="81431.961035221175"/>
    <n v="24762.287272727273"/>
    <n v="0"/>
    <n v="162194.24830794844"/>
    <n v="8109.7124153974219"/>
    <n v="-34194.248307948437"/>
  </r>
  <r>
    <x v="511"/>
    <s v="REMITAL KILO"/>
    <x v="0"/>
    <s v="KL"/>
    <n v="4149"/>
    <n v="5200"/>
    <x v="117"/>
    <n v="190854"/>
    <n v="239200"/>
    <n v="48346"/>
    <n v="283519.42464527232"/>
    <n v="24762.287272727273"/>
    <n v="106174.11764705883"/>
    <n v="605309.82956505846"/>
    <n v="13158.909338370837"/>
    <n v="-366109.82956505846"/>
  </r>
  <r>
    <x v="512"/>
    <s v="COMEDERO DE 18 KILOS"/>
    <x v="7"/>
    <s v="UND"/>
    <n v="18099.900000000001"/>
    <n v="21500"/>
    <x v="67"/>
    <n v="343898.10000000003"/>
    <n v="408500"/>
    <n v="64601.899999999965"/>
    <n v="81431.961035221175"/>
    <n v="24762.287272727273"/>
    <n v="0"/>
    <n v="450092.3483079485"/>
    <n v="23689.070963576236"/>
    <n v="-41592.348307948501"/>
  </r>
  <r>
    <x v="513"/>
    <s v="TELA BLANCA"/>
    <x v="9"/>
    <s v="MTS"/>
    <n v="2313.9549999999999"/>
    <n v="2866.6666666666665"/>
    <x v="141"/>
    <n v="587744.56999999995"/>
    <n v="728133.33333333326"/>
    <n v="140388.76333333331"/>
    <n v="81431.961035221175"/>
    <n v="24762.287272727273"/>
    <n v="0"/>
    <n v="693938.81830794842"/>
    <n v="2732.0425917635766"/>
    <n v="34194.515025384841"/>
  </r>
  <r>
    <x v="514"/>
    <s v="ESTELAR LT 1280"/>
    <x v="10"/>
    <s v="LT"/>
    <n v="56509.8"/>
    <n v="66966.666666666672"/>
    <x v="35"/>
    <n v="226039.2"/>
    <n v="267866.66666666669"/>
    <n v="41827.466666666674"/>
    <n v="81431.961035221175"/>
    <n v="24762.287272727273"/>
    <n v="0"/>
    <n v="332233.44830794848"/>
    <n v="83058.36207698712"/>
    <n v="-64366.781641281792"/>
  </r>
  <r>
    <x v="515"/>
    <s v="LNZM-0.90 LANZA MOTORIZADO 90CM"/>
    <x v="3"/>
    <s v="UND"/>
    <n v="14498.96"/>
    <n v="25000"/>
    <x v="0"/>
    <n v="0"/>
    <n v="0"/>
    <n v="0"/>
    <n v="81431.961035221175"/>
    <n v="24762.287272727273"/>
    <n v="0"/>
    <n v="120693.20830794844"/>
    <n v="120693.20830794844"/>
    <n v="-120693.20830794844"/>
  </r>
  <r>
    <x v="516"/>
    <s v="BOLSA DE PLATANO"/>
    <x v="9"/>
    <s v="UND"/>
    <n v="14000"/>
    <n v="17900"/>
    <x v="96"/>
    <n v="280000"/>
    <n v="358000"/>
    <n v="78000"/>
    <n v="81431.961035221175"/>
    <n v="24762.287272727273"/>
    <n v="0"/>
    <n v="386194.24830794847"/>
    <n v="19309.712415397422"/>
    <n v="-28194.248307948466"/>
  </r>
  <r>
    <x v="517"/>
    <s v="ALAMBRE DE PUAS 16.5*200MTS"/>
    <x v="9"/>
    <s v="ROLLO"/>
    <n v="79486.05"/>
    <n v="103700"/>
    <x v="28"/>
    <n v="556402.35"/>
    <n v="725900"/>
    <n v="169497.65000000002"/>
    <n v="81431.961035221175"/>
    <n v="24762.287272727273"/>
    <n v="0"/>
    <n v="662596.59830794844"/>
    <n v="94656.656901135488"/>
    <n v="63303.401692051557"/>
  </r>
  <r>
    <x v="518"/>
    <s v="NITROPIÑERO X 20 LT"/>
    <x v="1"/>
    <s v="PMA"/>
    <n v="107400"/>
    <n v="150800"/>
    <x v="17"/>
    <n v="107400"/>
    <n v="150800"/>
    <n v="43400"/>
    <n v="81431.961035221175"/>
    <n v="24762.287272727273"/>
    <n v="0"/>
    <n v="213594.24830794844"/>
    <n v="213594.24830794844"/>
    <n v="-62794.248307948437"/>
  </r>
  <r>
    <x v="519"/>
    <s v="MALLA PLAST X MTS"/>
    <x v="9"/>
    <s v="MTS"/>
    <n v="1144.1837"/>
    <n v="1900"/>
    <x v="142"/>
    <n v="439366.54080000002"/>
    <n v="729600"/>
    <n v="290233.45919999998"/>
    <n v="81431.961035221175"/>
    <n v="24762.287272727273"/>
    <n v="0"/>
    <n v="545560.78910794843"/>
    <n v="1420.7312216352823"/>
    <n v="184039.21089205157"/>
  </r>
  <r>
    <x v="520"/>
    <s v="ALBAHACA GENOVESA"/>
    <x v="11"/>
    <s v="SOB"/>
    <n v="2480"/>
    <n v="4100"/>
    <x v="13"/>
    <n v="7440"/>
    <n v="12300"/>
    <n v="4860"/>
    <n v="81431.961035221175"/>
    <n v="24762.287272727273"/>
    <n v="0"/>
    <n v="113634.24830794845"/>
    <n v="37878.082769316148"/>
    <n v="-101334.24830794845"/>
  </r>
  <r>
    <x v="521"/>
    <s v="TIERRA MEJORADDA X 2KL"/>
    <x v="0"/>
    <s v="KL"/>
    <n v="4590"/>
    <n v="5900"/>
    <x v="50"/>
    <n v="59670"/>
    <n v="76700"/>
    <n v="17030"/>
    <n v="81431.961035221175"/>
    <n v="24762.287272727273"/>
    <n v="0"/>
    <n v="165864.24830794844"/>
    <n v="12758.788331380649"/>
    <n v="-89164.248307948437"/>
  </r>
  <r>
    <x v="522"/>
    <s v="SUSTRACOCO SUSTRATO  x KL"/>
    <x v="11"/>
    <s v="KL"/>
    <n v="5760"/>
    <n v="7000"/>
    <x v="45"/>
    <n v="155520"/>
    <n v="189000"/>
    <n v="33480"/>
    <n v="81431.961035221175"/>
    <n v="24762.287272727273"/>
    <n v="0"/>
    <n v="261714.24830794844"/>
    <n v="9693.1203077017944"/>
    <n v="-72714.248307948437"/>
  </r>
  <r>
    <x v="523"/>
    <s v="R PREMIUM CACH x 15 KL"/>
    <x v="2"/>
    <s v="BTO"/>
    <n v="81152.820000000007"/>
    <n v="91200"/>
    <x v="3"/>
    <n v="811528.20000000007"/>
    <n v="912000"/>
    <n v="100471.79999999993"/>
    <n v="81431.961035221175"/>
    <n v="24762.287272727273"/>
    <n v="0"/>
    <n v="917722.44830794854"/>
    <n v="91772.244830794851"/>
    <n v="-5722.4483079485362"/>
  </r>
  <r>
    <x v="524"/>
    <s v="CANASTA CONICA+NIDO COCO 35 CM"/>
    <x v="9"/>
    <s v="UND"/>
    <n v="25888.45"/>
    <n v="28200"/>
    <x v="17"/>
    <n v="25888.45"/>
    <n v="28200"/>
    <n v="2311.5499999999993"/>
    <n v="81431.961035221175"/>
    <n v="24762.287272727273"/>
    <n v="0"/>
    <n v="132082.69830794845"/>
    <n v="132082.69830794845"/>
    <n v="-103882.69830794845"/>
  </r>
  <r>
    <x v="525"/>
    <s v="CANASTA MEDIA LUNA CORAZON 30cm"/>
    <x v="9"/>
    <s v="UND"/>
    <n v="16279.2"/>
    <n v="18500"/>
    <x v="35"/>
    <n v="65116.800000000003"/>
    <n v="74000"/>
    <n v="8883.1999999999971"/>
    <n v="81431.961035221175"/>
    <n v="24762.287272727273"/>
    <n v="0"/>
    <n v="171311.04830794843"/>
    <n v="42827.762076987106"/>
    <n v="-97311.048307948426"/>
  </r>
  <r>
    <x v="526"/>
    <s v="CALENDULA FERCON"/>
    <x v="11"/>
    <s v="SOBRE"/>
    <n v="2480"/>
    <n v="4100"/>
    <x v="13"/>
    <n v="7440"/>
    <n v="12300"/>
    <n v="4860"/>
    <n v="81431.961035221175"/>
    <n v="24762.287272727273"/>
    <n v="0"/>
    <n v="113634.24830794845"/>
    <n v="37878.082769316148"/>
    <n v="-101334.24830794845"/>
  </r>
  <r>
    <x v="527"/>
    <s v="CAMPANILLA FLOR AZUL CIELO"/>
    <x v="11"/>
    <s v="UND"/>
    <n v="2800"/>
    <n v="3400"/>
    <x v="7"/>
    <n v="30800"/>
    <n v="37400"/>
    <n v="6600"/>
    <n v="81431.961035221175"/>
    <n v="24762.287272727273"/>
    <n v="0"/>
    <n v="136994.24830794844"/>
    <n v="12454.022573449858"/>
    <n v="-99594.248307948437"/>
  </r>
  <r>
    <x v="528"/>
    <s v="CEBOLLA CABEZONA SGA STAND I"/>
    <x v="11"/>
    <s v="LATA"/>
    <n v="1190"/>
    <n v="1966.6666666666667"/>
    <x v="28"/>
    <n v="8330"/>
    <n v="13766.666666666668"/>
    <n v="5436.6666666666679"/>
    <n v="81431.961035221175"/>
    <n v="24762.287272727273"/>
    <n v="0"/>
    <n v="114524.24830794845"/>
    <n v="16360.606901135494"/>
    <n v="-100757.58164128178"/>
  </r>
  <r>
    <x v="529"/>
    <s v="CEBOLLA RED CREOLE STAND I SGA"/>
    <x v="11"/>
    <s v="SOBRE"/>
    <n v="1190"/>
    <n v="1716.6666666666667"/>
    <x v="26"/>
    <n v="5950"/>
    <n v="8583.3333333333339"/>
    <n v="2633.3333333333339"/>
    <n v="81431.961035221175"/>
    <n v="24762.287272727273"/>
    <n v="0"/>
    <n v="112144.24830794845"/>
    <n v="22428.849661589691"/>
    <n v="-103560.91497461512"/>
  </r>
  <r>
    <x v="530"/>
    <s v="PEPINO POINSET x 3 GR"/>
    <x v="11"/>
    <s v="SOBRE"/>
    <n v="1190"/>
    <n v="1800"/>
    <x v="96"/>
    <n v="23800"/>
    <n v="36000"/>
    <n v="12200"/>
    <n v="81431.961035221175"/>
    <n v="24762.287272727273"/>
    <n v="0"/>
    <n v="129994.24830794845"/>
    <n v="6499.7124153974228"/>
    <n v="-93994.248307948452"/>
  </r>
  <r>
    <x v="531"/>
    <s v="CLAVEL ROJO FERCON"/>
    <x v="11"/>
    <s v="SOB"/>
    <n v="3325"/>
    <n v="4016.6666666666665"/>
    <x v="3"/>
    <n v="33250"/>
    <n v="40166.666666666664"/>
    <n v="6916.6666666666642"/>
    <n v="81431.961035221175"/>
    <n v="24762.287272727273"/>
    <n v="0"/>
    <n v="139444.24830794844"/>
    <n v="13944.424830794844"/>
    <n v="-99277.58164128178"/>
  </r>
  <r>
    <x v="532"/>
    <s v="FORZA PASTILLA FLORES X 25"/>
    <x v="11"/>
    <s v="UND"/>
    <n v="5310"/>
    <n v="6500"/>
    <x v="39"/>
    <n v="127440"/>
    <n v="156000"/>
    <n v="28560"/>
    <n v="81431.961035221175"/>
    <n v="24762.287272727273"/>
    <n v="0"/>
    <n v="233634.24830794844"/>
    <n v="9734.7603461645176"/>
    <n v="-77634.248307948437"/>
  </r>
  <r>
    <x v="533"/>
    <s v="FORZA PASTILLA FOLLAJE X 25UND"/>
    <x v="11"/>
    <s v="UND"/>
    <n v="5900"/>
    <n v="8000"/>
    <x v="25"/>
    <n v="123900"/>
    <n v="168000"/>
    <n v="44100"/>
    <n v="81431.961035221175"/>
    <n v="24762.287272727273"/>
    <n v="0"/>
    <n v="230094.24830794844"/>
    <n v="10956.868967045164"/>
    <n v="-62094.248307948437"/>
  </r>
  <r>
    <x v="534"/>
    <s v="GIRASOL DE FLOR GIGANTE"/>
    <x v="11"/>
    <s v="SOB"/>
    <n v="2480"/>
    <n v="4100"/>
    <x v="49"/>
    <n v="19840"/>
    <n v="32800"/>
    <n v="12960"/>
    <n v="81431.961035221175"/>
    <n v="24762.287272727273"/>
    <n v="0"/>
    <n v="126034.24830794845"/>
    <n v="15754.281038493556"/>
    <n v="-93234.248307948452"/>
  </r>
  <r>
    <x v="535"/>
    <s v="GIRASOL LORO  x 454 GR"/>
    <x v="2"/>
    <s v="SOB"/>
    <n v="3400"/>
    <n v="4000"/>
    <x v="30"/>
    <n v="102000"/>
    <n v="120000"/>
    <n v="18000"/>
    <n v="81431.961035221175"/>
    <n v="24762.287272727273"/>
    <n v="0"/>
    <n v="208194.24830794844"/>
    <n v="6939.8082769316143"/>
    <n v="-88194.248307948437"/>
  </r>
  <r>
    <x v="536"/>
    <s v="LECHUGA SIMPSON x 5 GERM"/>
    <x v="11"/>
    <s v="SOBRE"/>
    <n v="2230"/>
    <n v="2400"/>
    <x v="30"/>
    <n v="66900"/>
    <n v="72000"/>
    <n v="5100"/>
    <n v="81431.961035221175"/>
    <n v="24762.287272727273"/>
    <n v="0"/>
    <n v="173094.24830794844"/>
    <n v="5769.8082769316143"/>
    <n v="-101094.24830794844"/>
  </r>
  <r>
    <x v="537"/>
    <s v="MANZANILLA GERM"/>
    <x v="11"/>
    <s v="SOB"/>
    <n v="2420"/>
    <n v="2750"/>
    <x v="7"/>
    <n v="26620"/>
    <n v="30250"/>
    <n v="3630"/>
    <n v="81431.961035221175"/>
    <n v="24762.287272727273"/>
    <n v="0"/>
    <n v="132814.24830794844"/>
    <n v="12074.022573449858"/>
    <n v="-102564.24830794844"/>
  </r>
  <r>
    <x v="538"/>
    <s v="OREGANO x 1 GR FERCON"/>
    <x v="11"/>
    <s v="SOB"/>
    <n v="2800"/>
    <n v="3800"/>
    <x v="26"/>
    <n v="14000"/>
    <n v="19000"/>
    <n v="5000"/>
    <n v="81431.961035221175"/>
    <n v="24762.287272727273"/>
    <n v="0"/>
    <n v="120194.24830794845"/>
    <n v="24038.849661589691"/>
    <n v="-101194.24830794845"/>
  </r>
  <r>
    <x v="539"/>
    <s v="PENSAMIENTO GIG AMARILLO"/>
    <x v="11"/>
    <s v="SOB"/>
    <n v="2800"/>
    <n v="3200"/>
    <x v="26"/>
    <n v="14000"/>
    <n v="16000"/>
    <n v="2000"/>
    <n v="81431.961035221175"/>
    <n v="24762.287272727273"/>
    <n v="0"/>
    <n v="120194.24830794845"/>
    <n v="24038.849661589691"/>
    <n v="-104194.24830794845"/>
  </r>
  <r>
    <x v="540"/>
    <s v="PENSAMIENTO GIG VARIADO FERCON"/>
    <x v="11"/>
    <s v="SOB"/>
    <n v="2800"/>
    <n v="3200"/>
    <x v="13"/>
    <n v="8400"/>
    <n v="9600"/>
    <n v="1200"/>
    <n v="81431.961035221175"/>
    <n v="24762.287272727273"/>
    <n v="0"/>
    <n v="114594.24830794845"/>
    <n v="38198.082769316148"/>
    <n v="-104994.24830794845"/>
  </r>
  <r>
    <x v="541"/>
    <s v="TAPETE JAPONES FLOR ENANA"/>
    <x v="11"/>
    <s v="SOB"/>
    <n v="2800"/>
    <n v="3250"/>
    <x v="26"/>
    <n v="14000"/>
    <n v="16250"/>
    <n v="2250"/>
    <n v="81431.961035221175"/>
    <n v="24762.287272727273"/>
    <n v="0"/>
    <n v="120194.24830794845"/>
    <n v="24038.849661589691"/>
    <n v="-103944.24830794845"/>
  </r>
  <r>
    <x v="542"/>
    <s v="TOMATE SANTA CLARA SOB X 20 GR GERM"/>
    <x v="11"/>
    <s v="SOB"/>
    <n v="11800"/>
    <n v="12000"/>
    <x v="35"/>
    <n v="47200"/>
    <n v="48000"/>
    <n v="800"/>
    <n v="81431.961035221175"/>
    <n v="24762.287272727273"/>
    <n v="0"/>
    <n v="153394.24830794844"/>
    <n v="38348.562076987109"/>
    <n v="-105394.24830794844"/>
  </r>
  <r>
    <x v="543"/>
    <s v="TOMILLO FERCON"/>
    <x v="11"/>
    <s v="SOB"/>
    <n v="2800"/>
    <n v="3100"/>
    <x v="15"/>
    <n v="16800"/>
    <n v="18600"/>
    <n v="1800"/>
    <n v="81431.961035221175"/>
    <n v="24762.287272727273"/>
    <n v="0"/>
    <n v="122994.24830794845"/>
    <n v="20499.041384658074"/>
    <n v="-104394.24830794845"/>
  </r>
  <r>
    <x v="544"/>
    <s v="AFALON LB"/>
    <x v="10"/>
    <s v="LB"/>
    <n v="56517"/>
    <n v="64166.666666666664"/>
    <x v="35"/>
    <n v="226068"/>
    <n v="256666.66666666666"/>
    <n v="30598.666666666657"/>
    <n v="81431.961035221175"/>
    <n v="24762.287272727273"/>
    <n v="0"/>
    <n v="332262.24830794847"/>
    <n v="83065.562076987117"/>
    <n v="-75595.581641281809"/>
  </r>
  <r>
    <x v="545"/>
    <s v="CATOSAL X 50ML"/>
    <x v="5"/>
    <s v="FRS"/>
    <n v="41627"/>
    <n v="48000"/>
    <x v="13"/>
    <n v="124881"/>
    <n v="144000"/>
    <n v="19119"/>
    <n v="81431.961035221175"/>
    <n v="24762.287272727273"/>
    <n v="0"/>
    <n v="231075.24830794844"/>
    <n v="77025.082769316141"/>
    <n v="-87075.248307948437"/>
  </r>
  <r>
    <x v="546"/>
    <s v="NEGASUNT AEROSOL"/>
    <x v="5"/>
    <s v="FRS"/>
    <n v="13725"/>
    <n v="17600"/>
    <x v="0"/>
    <n v="0"/>
    <n v="0"/>
    <n v="0"/>
    <n v="81431.961035221175"/>
    <n v="24762.287272727273"/>
    <n v="0"/>
    <n v="119919.24830794845"/>
    <n v="119919.24830794845"/>
    <n v="-119919.24830794845"/>
  </r>
  <r>
    <x v="547"/>
    <s v="CALFON ORALX 350ML"/>
    <x v="5"/>
    <s v="FRS"/>
    <n v="34660.5"/>
    <n v="45000"/>
    <x v="13"/>
    <n v="103981.5"/>
    <n v="135000"/>
    <n v="31018.5"/>
    <n v="81431.961035221175"/>
    <n v="24762.287272727273"/>
    <n v="0"/>
    <n v="210175.74830794844"/>
    <n v="70058.582769316141"/>
    <n v="-75175.748307948437"/>
  </r>
  <r>
    <x v="548"/>
    <s v="CONECTOR CINTA MANGUERA SILLETA"/>
    <x v="9"/>
    <s v="UND"/>
    <n v="840"/>
    <n v="840"/>
    <x v="0"/>
    <n v="0"/>
    <n v="0"/>
    <n v="0"/>
    <n v="81431.961035221175"/>
    <n v="24762.287272727273"/>
    <n v="0"/>
    <n v="107034.24830794845"/>
    <n v="107034.24830794845"/>
    <n v="-107034.24830794845"/>
  </r>
  <r>
    <x v="549"/>
    <s v="CONECTOR CINTA MANGUERA 16MM AZUL"/>
    <x v="9"/>
    <s v="UND"/>
    <n v="750"/>
    <n v="750"/>
    <x v="0"/>
    <n v="0"/>
    <n v="0"/>
    <n v="0"/>
    <n v="81431.961035221175"/>
    <n v="24762.287272727273"/>
    <n v="0"/>
    <n v="106944.24830794845"/>
    <n v="106944.24830794845"/>
    <n v="-106944.24830794845"/>
  </r>
  <r>
    <x v="550"/>
    <s v="RC- 933X FILTRO LLAVE PASO STEELP"/>
    <x v="3"/>
    <s v="UND"/>
    <n v="4289.95"/>
    <n v="6000"/>
    <x v="17"/>
    <n v="4289.95"/>
    <n v="6000"/>
    <n v="1710.0500000000002"/>
    <n v="81431.961035221175"/>
    <n v="24762.287272727273"/>
    <n v="0"/>
    <n v="110484.19830794845"/>
    <n v="110484.19830794845"/>
    <n v="-104484.19830794845"/>
  </r>
  <r>
    <x v="551"/>
    <s v="INSUFLADORA HORMIGAS"/>
    <x v="3"/>
    <s v="UND"/>
    <n v="54999"/>
    <n v="64833.333333333336"/>
    <x v="15"/>
    <n v="329994"/>
    <n v="389000"/>
    <n v="59006"/>
    <n v="81431.961035221175"/>
    <n v="24762.287272727273"/>
    <n v="0"/>
    <n v="436188.24830794847"/>
    <n v="72698.041384658078"/>
    <n v="-47188.248307948466"/>
  </r>
  <r>
    <x v="552"/>
    <s v="BROILER KILO"/>
    <x v="2"/>
    <s v="KL"/>
    <n v="3200"/>
    <n v="3550"/>
    <x v="143"/>
    <n v="982400"/>
    <n v="1089850"/>
    <n v="107450"/>
    <n v="81431.961035221175"/>
    <n v="24762.287272727273"/>
    <n v="0"/>
    <n v="1088594.2483079485"/>
    <n v="3545.9096036089527"/>
    <n v="1255.7516920515336"/>
  </r>
  <r>
    <x v="553"/>
    <s v="BROILER BULTO"/>
    <x v="2"/>
    <s v="KL"/>
    <n v="117600"/>
    <n v="126500"/>
    <x v="18"/>
    <n v="235200"/>
    <n v="253000"/>
    <n v="17800"/>
    <n v="81431.961035221175"/>
    <n v="24762.287272727273"/>
    <n v="0"/>
    <n v="341394.24830794847"/>
    <n v="170697.12415397423"/>
    <n v="-88394.248307948466"/>
  </r>
  <r>
    <x v="554"/>
    <s v="YARA INTEGRADOR KILO"/>
    <x v="0"/>
    <s v="KL"/>
    <n v="4300"/>
    <n v="5200"/>
    <x v="144"/>
    <n v="881500"/>
    <n v="1066000"/>
    <n v="184500"/>
    <n v="283519.42464527232"/>
    <n v="24762.287272727273"/>
    <n v="106174.11764705883"/>
    <n v="1295955.8295650585"/>
    <n v="6321.735753975895"/>
    <n v="-229955.82956505846"/>
  </r>
  <r>
    <x v="555"/>
    <s v="R PREMIUM X 20 KL"/>
    <x v="2"/>
    <s v="KL"/>
    <n v="89541.585000000006"/>
    <n v="98466.666666666672"/>
    <x v="50"/>
    <n v="1164040.605"/>
    <n v="1280066.6666666667"/>
    <n v="116026.06166666676"/>
    <n v="81431.961035221175"/>
    <n v="24762.287272727273"/>
    <n v="0"/>
    <n v="1270234.8533079484"/>
    <n v="97710.373331380644"/>
    <n v="9831.8133587182965"/>
  </r>
  <r>
    <x v="556"/>
    <s v="F POLLO CAMPESINO GR KILO"/>
    <x v="2"/>
    <s v="KL"/>
    <n v="1780.38"/>
    <n v="2733.3333333333335"/>
    <x v="145"/>
    <n v="632034.9"/>
    <n v="970333.33333333337"/>
    <n v="338298.43333333335"/>
    <n v="81431.961035221175"/>
    <n v="24762.287272727273"/>
    <n v="0"/>
    <n v="738229.14830794849"/>
    <n v="2079.518727628024"/>
    <n v="232104.18502538488"/>
  </r>
  <r>
    <x v="557"/>
    <s v="R PREMIUM X KILO"/>
    <x v="2"/>
    <s v="KL"/>
    <n v="4900.5573999999997"/>
    <n v="5766.666666666667"/>
    <x v="21"/>
    <n v="58806.688799999996"/>
    <n v="69200"/>
    <n v="10393.311200000004"/>
    <n v="81431.961035221175"/>
    <n v="24762.287272727273"/>
    <n v="0"/>
    <n v="165000.93710794844"/>
    <n v="13750.078092329037"/>
    <n v="-95800.937107948441"/>
  </r>
  <r>
    <x v="558"/>
    <s v="BOLSA SEMILLERO LB ( 5 X 7 )"/>
    <x v="9"/>
    <s v="UND"/>
    <n v="7499.9988000000003"/>
    <n v="8900"/>
    <x v="0"/>
    <n v="0"/>
    <n v="0"/>
    <n v="0"/>
    <n v="81431.961035221175"/>
    <n v="24762.287272727273"/>
    <n v="0"/>
    <n v="113694.24710794845"/>
    <n v="113694.24710794845"/>
    <n v="-113694.24710794845"/>
  </r>
  <r>
    <x v="559"/>
    <s v="BOLSA SEMILLERO  KL ( 5 X 8 )"/>
    <x v="9"/>
    <s v="UND"/>
    <n v="8000.0011000000004"/>
    <n v="9600"/>
    <x v="0"/>
    <n v="0"/>
    <n v="0"/>
    <n v="0"/>
    <n v="81431.961035221175"/>
    <n v="24762.287272727273"/>
    <n v="0"/>
    <n v="114194.24940794845"/>
    <n v="114194.24940794845"/>
    <n v="-114194.24940794845"/>
  </r>
  <r>
    <x v="560"/>
    <s v="DACONIL X LT"/>
    <x v="6"/>
    <s v="LT"/>
    <n v="45853"/>
    <n v="51000"/>
    <x v="15"/>
    <n v="275118"/>
    <n v="306000"/>
    <n v="30882"/>
    <n v="81431.961035221175"/>
    <n v="24762.287272727273"/>
    <n v="0"/>
    <n v="381312.24830794847"/>
    <n v="63552.041384658078"/>
    <n v="-75312.248307948466"/>
  </r>
  <r>
    <x v="561"/>
    <s v="POLLOS"/>
    <x v="13"/>
    <s v="UND"/>
    <n v="2400"/>
    <n v="3900"/>
    <x v="146"/>
    <n v="2630400"/>
    <n v="4274400"/>
    <n v="1644000"/>
    <n v="81431.961035221175"/>
    <n v="24762.287272727273"/>
    <n v="0"/>
    <n v="2736594.2483079485"/>
    <n v="2496.8925623247706"/>
    <n v="1537805.7516920515"/>
  </r>
  <r>
    <x v="562"/>
    <s v="CAZADOR HORMIGAS"/>
    <x v="4"/>
    <s v="FRS"/>
    <n v="6000"/>
    <n v="8000"/>
    <x v="24"/>
    <n v="156000"/>
    <n v="208000"/>
    <n v="52000"/>
    <n v="81431.961035221175"/>
    <n v="24762.287272727273"/>
    <n v="0"/>
    <n v="262194.24830794847"/>
    <n v="10084.394165690326"/>
    <n v="-54194.248307948466"/>
  </r>
  <r>
    <x v="563"/>
    <s v="BANDEJA GER 162 CAV"/>
    <x v="9"/>
    <s v="UND"/>
    <n v="6545"/>
    <n v="8200"/>
    <x v="0"/>
    <n v="0"/>
    <n v="0"/>
    <n v="0"/>
    <n v="81431.961035221175"/>
    <n v="24762.287272727273"/>
    <n v="0"/>
    <n v="112739.24830794845"/>
    <n v="112739.24830794845"/>
    <n v="-112739.24830794845"/>
  </r>
  <r>
    <x v="564"/>
    <s v="BANDEJA GER 200 CAV"/>
    <x v="9"/>
    <s v="UND"/>
    <n v="7140"/>
    <n v="7800"/>
    <x v="15"/>
    <n v="42840"/>
    <n v="46800"/>
    <n v="3960"/>
    <n v="81431.961035221175"/>
    <n v="24762.287272727273"/>
    <n v="0"/>
    <n v="149034.24830794844"/>
    <n v="24839.041384658074"/>
    <n v="-102234.24830794844"/>
  </r>
  <r>
    <x v="565"/>
    <s v="BANDEJA GER 50 CAV"/>
    <x v="9"/>
    <s v="UND"/>
    <n v="7140"/>
    <n v="8500"/>
    <x v="35"/>
    <n v="28560"/>
    <n v="34000"/>
    <n v="5440"/>
    <n v="81431.961035221175"/>
    <n v="24762.287272727273"/>
    <n v="0"/>
    <n v="134754.24830794844"/>
    <n v="33688.562076987109"/>
    <n v="-100754.24830794844"/>
  </r>
  <r>
    <x v="566"/>
    <s v="RABANO x 20 GR FERCON"/>
    <x v="11"/>
    <s v="SOB"/>
    <n v="3060"/>
    <n v="3800"/>
    <x v="0"/>
    <n v="0"/>
    <n v="0"/>
    <n v="0"/>
    <n v="81431.961035221175"/>
    <n v="24762.287272727273"/>
    <n v="0"/>
    <n v="109254.24830794845"/>
    <n v="109254.24830794845"/>
    <n v="-109254.24830794845"/>
  </r>
  <r>
    <x v="567"/>
    <s v="MAIZ HIBRIDO KL"/>
    <x v="11"/>
    <s v="KL"/>
    <n v="49000"/>
    <n v="57666.666666666664"/>
    <x v="45"/>
    <n v="1323000"/>
    <n v="1557000"/>
    <n v="234000"/>
    <n v="81431.961035221175"/>
    <n v="24762.287272727273"/>
    <n v="0"/>
    <n v="1429194.2483079485"/>
    <n v="52933.120307701793"/>
    <n v="127805.75169205153"/>
  </r>
  <r>
    <x v="568"/>
    <s v="BOLSA SEMILLERO ( 3 X 5 )"/>
    <x v="9"/>
    <s v="UND"/>
    <n v="6000.0038000000004"/>
    <n v="7200"/>
    <x v="35"/>
    <n v="24000.015200000002"/>
    <n v="28800"/>
    <n v="4799.9847999999984"/>
    <n v="81431.961035221175"/>
    <n v="24762.287272727273"/>
    <n v="0"/>
    <n v="130194.26350794845"/>
    <n v="32548.565876987112"/>
    <n v="-101394.26350794845"/>
  </r>
  <r>
    <x v="569"/>
    <s v="BOLSA SEMILLERO ( 4 X 5 )"/>
    <x v="9"/>
    <s v="UND"/>
    <n v="8000.0011000000004"/>
    <n v="9300"/>
    <x v="0"/>
    <n v="0"/>
    <n v="0"/>
    <n v="0"/>
    <n v="81431.961035221175"/>
    <n v="24762.287272727273"/>
    <n v="0"/>
    <n v="114194.24940794845"/>
    <n v="114194.24940794845"/>
    <n v="-114194.24940794845"/>
  </r>
  <r>
    <x v="570"/>
    <s v="EFISOIL RENOVATION x KL"/>
    <x v="1"/>
    <s v="KL"/>
    <n v="44000"/>
    <n v="74333.333333333328"/>
    <x v="18"/>
    <n v="88000"/>
    <n v="148666.66666666666"/>
    <n v="60666.666666666657"/>
    <n v="81431.961035221175"/>
    <n v="24762.287272727273"/>
    <n v="0"/>
    <n v="194194.24830794844"/>
    <n v="97097.124153974219"/>
    <n v="-45527.58164128178"/>
  </r>
  <r>
    <x v="571"/>
    <s v="GLIFOSATO 480 RAINBOW x LT"/>
    <x v="10"/>
    <s v="LT"/>
    <n v="33250"/>
    <n v="37000"/>
    <x v="0"/>
    <n v="0"/>
    <n v="0"/>
    <n v="0"/>
    <n v="81431.961035221175"/>
    <n v="24762.287272727273"/>
    <n v="0"/>
    <n v="139444.24830794844"/>
    <n v="139444.24830794844"/>
    <n v="-139444.24830794844"/>
  </r>
  <r>
    <x v="572"/>
    <s v="SULFATO DE POTASIO KL"/>
    <x v="1"/>
    <s v="KL"/>
    <n v="3196"/>
    <n v="6000"/>
    <x v="0"/>
    <n v="0"/>
    <n v="0"/>
    <n v="0"/>
    <n v="81431.961035221175"/>
    <n v="24762.287272727273"/>
    <n v="0"/>
    <n v="109390.24830794845"/>
    <n v="109390.24830794845"/>
    <n v="-109390.24830794845"/>
  </r>
  <r>
    <x v="573"/>
    <s v="FOLITOP AMINO NITRO x KL"/>
    <x v="1"/>
    <s v="KL"/>
    <n v="41000"/>
    <n v="58833.333333333336"/>
    <x v="11"/>
    <n v="943000"/>
    <n v="1353166.6666666667"/>
    <n v="410166.66666666674"/>
    <n v="81431.961035221175"/>
    <n v="24762.287272727273"/>
    <n v="0"/>
    <n v="1049194.2483079485"/>
    <n v="45617.141230780369"/>
    <n v="303972.41835871828"/>
  </r>
  <r>
    <x v="574"/>
    <s v="IMPULSOR X 50ML"/>
    <x v="5"/>
    <s v="ML"/>
    <n v="18119"/>
    <n v="22500"/>
    <x v="13"/>
    <n v="54357"/>
    <n v="67500"/>
    <n v="13143"/>
    <n v="81431.961035221175"/>
    <n v="24762.287272727273"/>
    <n v="0"/>
    <n v="160551.24830794844"/>
    <n v="53517.082769316148"/>
    <n v="-93051.248307948437"/>
  </r>
  <r>
    <x v="575"/>
    <s v="RECOLECTOR DE CAFE"/>
    <x v="9"/>
    <s v="UND"/>
    <n v="8225"/>
    <n v="9800"/>
    <x v="18"/>
    <n v="16450"/>
    <n v="19600"/>
    <n v="3150"/>
    <n v="81431.961035221175"/>
    <n v="24762.287272727273"/>
    <n v="0"/>
    <n v="122644.24830794845"/>
    <n v="61322.124153974226"/>
    <n v="-103044.24830794845"/>
  </r>
  <r>
    <x v="576"/>
    <s v="STARTOX 20.8% x 20 ML"/>
    <x v="5"/>
    <s v="ML"/>
    <n v="6476"/>
    <n v="7500"/>
    <x v="17"/>
    <n v="6476"/>
    <n v="7500"/>
    <n v="1024"/>
    <n v="81431.961035221175"/>
    <n v="24762.287272727273"/>
    <n v="0"/>
    <n v="112670.24830794845"/>
    <n v="112670.24830794845"/>
    <n v="-105170.24830794845"/>
  </r>
  <r>
    <x v="577"/>
    <s v="BOVIPUR X 120ML"/>
    <x v="5"/>
    <s v="ML"/>
    <n v="15114"/>
    <n v="18600"/>
    <x v="26"/>
    <n v="75570"/>
    <n v="93000"/>
    <n v="17430"/>
    <n v="81431.961035221175"/>
    <n v="24762.287272727273"/>
    <n v="0"/>
    <n v="181764.24830794844"/>
    <n v="36352.849661589687"/>
    <n v="-88764.248307948437"/>
  </r>
  <r>
    <x v="578"/>
    <s v="BALDE LECHERO x 12 LITROS aluminio"/>
    <x v="7"/>
    <s v="UND"/>
    <n v="70001"/>
    <n v="79000"/>
    <x v="0"/>
    <n v="0"/>
    <n v="0"/>
    <n v="0"/>
    <n v="81431.961035221175"/>
    <n v="24762.287272727273"/>
    <n v="0"/>
    <n v="176195.24830794844"/>
    <n v="176195.24830794844"/>
    <n v="-176195.24830794844"/>
  </r>
  <r>
    <x v="579"/>
    <s v="AGUJA DURATEK 16 x 1 1/2 SUBCUTANEA"/>
    <x v="8"/>
    <s v="UND"/>
    <n v="1180"/>
    <n v="2000"/>
    <x v="13"/>
    <n v="3540"/>
    <n v="6000"/>
    <n v="2460"/>
    <n v="81431.961035221175"/>
    <n v="24762.287272727273"/>
    <n v="0"/>
    <n v="109734.24830794845"/>
    <n v="36578.082769316148"/>
    <n v="-103734.24830794845"/>
  </r>
  <r>
    <x v="580"/>
    <s v="KASUMIN X LITRO"/>
    <x v="6"/>
    <s v="LT"/>
    <n v="33250"/>
    <n v="38733.333333333336"/>
    <x v="35"/>
    <n v="133000"/>
    <n v="154933.33333333334"/>
    <n v="21933.333333333343"/>
    <n v="81431.961035221175"/>
    <n v="24762.287272727273"/>
    <n v="0"/>
    <n v="239194.24830794844"/>
    <n v="59798.562076987109"/>
    <n v="-84260.914974615094"/>
  </r>
  <r>
    <x v="581"/>
    <s v="IMICAR X 50 ML"/>
    <x v="5"/>
    <s v="ML"/>
    <n v="76388"/>
    <n v="86200"/>
    <x v="13"/>
    <n v="229164"/>
    <n v="258600"/>
    <n v="29436"/>
    <n v="81431.961035221175"/>
    <n v="24762.287272727273"/>
    <n v="0"/>
    <n v="335358.24830794847"/>
    <n v="111786.08276931616"/>
    <n v="-76758.248307948466"/>
  </r>
  <r>
    <x v="582"/>
    <s v="NOVACAN CACHORRO X 5ML"/>
    <x v="5"/>
    <s v="UND"/>
    <n v="3758"/>
    <n v="4800"/>
    <x v="7"/>
    <n v="41338"/>
    <n v="52800"/>
    <n v="11462"/>
    <n v="81431.961035221175"/>
    <n v="24762.287272727273"/>
    <n v="0"/>
    <n v="147532.24830794844"/>
    <n v="13412.022573449858"/>
    <n v="-94732.248307948437"/>
  </r>
  <r>
    <x v="583"/>
    <s v="ARVEJA PIQUINIGRA SGA x LB"/>
    <x v="11"/>
    <s v="LB"/>
    <n v="12500"/>
    <n v="15500"/>
    <x v="39"/>
    <n v="300000"/>
    <n v="372000"/>
    <n v="72000"/>
    <n v="81431.961035221175"/>
    <n v="24762.287272727273"/>
    <n v="0"/>
    <n v="406194.24830794847"/>
    <n v="16924.760346164519"/>
    <n v="-34194.248307948466"/>
  </r>
  <r>
    <x v="584"/>
    <s v="FORMADOR 2000 X LITRO"/>
    <x v="1"/>
    <s v="LT"/>
    <n v="35650"/>
    <n v="44800"/>
    <x v="3"/>
    <n v="356500"/>
    <n v="448000"/>
    <n v="91500"/>
    <n v="81431.961035221175"/>
    <n v="24762.287272727273"/>
    <n v="0"/>
    <n v="462694.24830794847"/>
    <n v="46269.424830794844"/>
    <n v="-14694.248307948466"/>
  </r>
  <r>
    <x v="585"/>
    <s v="FORMADOR 2000 X poma"/>
    <x v="1"/>
    <s v="ML"/>
    <n v="540000"/>
    <n v="602000"/>
    <x v="0"/>
    <n v="0"/>
    <n v="0"/>
    <n v="0"/>
    <n v="81431.961035221175"/>
    <n v="24762.287272727273"/>
    <n v="0"/>
    <n v="646194.24830794835"/>
    <n v="646194.24830794835"/>
    <n v="-646194.24830794835"/>
  </r>
  <r>
    <x v="586"/>
    <s v="Q-IDA CAT X 8 KL"/>
    <x v="2"/>
    <s v="KL"/>
    <n v="52800"/>
    <n v="58216.666666666664"/>
    <x v="5"/>
    <n v="2534400"/>
    <n v="2794400"/>
    <n v="260000"/>
    <n v="81431.961035221175"/>
    <n v="24762.287272727273"/>
    <n v="0"/>
    <n v="2640594.2483079485"/>
    <n v="55012.38017308226"/>
    <n v="153805.75169205153"/>
  </r>
  <r>
    <x v="587"/>
    <s v="RUGIS X 90 GR"/>
    <x v="4"/>
    <s v="BT"/>
    <n v="38500"/>
    <n v="44866.666666666664"/>
    <x v="91"/>
    <n v="4504500"/>
    <n v="5249400"/>
    <n v="744900"/>
    <n v="81431.961035221175"/>
    <n v="24762.287272727273"/>
    <n v="0"/>
    <n v="4610694.248307948"/>
    <n v="39407.64314793118"/>
    <n v="638705.751692052"/>
  </r>
  <r>
    <x v="588"/>
    <s v="18-18-18 MANUCHAR"/>
    <x v="0"/>
    <s v="50BTO"/>
    <n v="213500"/>
    <n v="232500"/>
    <x v="126"/>
    <n v="960750"/>
    <n v="1046250"/>
    <n v="85500"/>
    <n v="81431.961035221175"/>
    <n v="24762.287272727273"/>
    <n v="0"/>
    <n v="1066944.2483079485"/>
    <n v="237098.72184621077"/>
    <n v="-20694.248307948466"/>
  </r>
  <r>
    <x v="589"/>
    <s v="VOLIAM FLEXI X LITRO"/>
    <x v="4"/>
    <s v="LT"/>
    <n v="331088"/>
    <n v="364000"/>
    <x v="0"/>
    <n v="0"/>
    <n v="0"/>
    <n v="0"/>
    <n v="81431.961035221175"/>
    <n v="24762.287272727273"/>
    <n v="0"/>
    <n v="437282.24830794847"/>
    <n v="437282.24830794847"/>
    <n v="-437282.24830794847"/>
  </r>
  <r>
    <x v="590"/>
    <s v="CONNECT DUO X 200ML"/>
    <x v="4"/>
    <s v="ML"/>
    <n v="37323.64"/>
    <n v="44400"/>
    <x v="3"/>
    <n v="373236.4"/>
    <n v="444000"/>
    <n v="70763.599999999977"/>
    <n v="81431.961035221175"/>
    <n v="24762.287272727273"/>
    <n v="0"/>
    <n v="479430.64830794849"/>
    <n v="47943.06483079485"/>
    <n v="-35430.64830794849"/>
  </r>
  <r>
    <x v="591"/>
    <s v="SICARIO RODENCIDA"/>
    <x v="5"/>
    <s v="UNA"/>
    <n v="1900"/>
    <n v="3500"/>
    <x v="147"/>
    <n v="207100"/>
    <n v="381500"/>
    <n v="174400"/>
    <n v="81431.961035221175"/>
    <n v="24762.287272727273"/>
    <n v="0"/>
    <n v="313294.24830794847"/>
    <n v="2874.2591587885181"/>
    <n v="68205.751692051534"/>
  </r>
  <r>
    <x v="592"/>
    <s v="AMISTAR TOP X LITRO"/>
    <x v="6"/>
    <s v="LITRO"/>
    <n v="253587"/>
    <n v="272666.66666666669"/>
    <x v="17"/>
    <n v="253587"/>
    <n v="272666.66666666669"/>
    <n v="19079.666666666686"/>
    <n v="81431.961035221175"/>
    <n v="24762.287272727273"/>
    <n v="0"/>
    <n v="359781.24830794847"/>
    <n v="359781.24830794847"/>
    <n v="-87114.58164128178"/>
  </r>
  <r>
    <x v="593"/>
    <s v="NUTRISS CACH X 2 KILOS"/>
    <x v="2"/>
    <s v="KL"/>
    <n v="13167.5985"/>
    <n v="14800"/>
    <x v="148"/>
    <n v="855893.90249999997"/>
    <n v="962000"/>
    <n v="106106.09750000003"/>
    <n v="81431.961035221175"/>
    <n v="24762.287272727273"/>
    <n v="0"/>
    <n v="962088.15080794843"/>
    <n v="14801.356166276129"/>
    <n v="-88.150807948433794"/>
  </r>
  <r>
    <x v="594"/>
    <s v="PEZOSAN X 100GR"/>
    <x v="5"/>
    <s v="UND"/>
    <n v="32727"/>
    <n v="36166.666666666664"/>
    <x v="17"/>
    <n v="32727"/>
    <n v="36166.666666666664"/>
    <n v="3439.6666666666642"/>
    <n v="81431.961035221175"/>
    <n v="24762.287272727273"/>
    <n v="0"/>
    <n v="138921.24830794844"/>
    <n v="138921.24830794844"/>
    <n v="-102754.58164128178"/>
  </r>
  <r>
    <x v="595"/>
    <s v="OVERSEL X 50ML"/>
    <x v="5"/>
    <s v="FRS"/>
    <n v="19691"/>
    <n v="24166.666666666668"/>
    <x v="35"/>
    <n v="78764"/>
    <n v="96666.666666666672"/>
    <n v="17902.666666666672"/>
    <n v="81431.961035221175"/>
    <n v="24762.287272727273"/>
    <n v="0"/>
    <n v="184958.24830794844"/>
    <n v="46239.562076987109"/>
    <n v="-88291.581641281766"/>
  </r>
  <r>
    <x v="596"/>
    <s v="HORMIX x 250 GR"/>
    <x v="4"/>
    <s v="FRS"/>
    <n v="8100"/>
    <n v="10000"/>
    <x v="21"/>
    <n v="97200"/>
    <n v="120000"/>
    <n v="22800"/>
    <n v="81431.961035221175"/>
    <n v="24762.287272727273"/>
    <n v="0"/>
    <n v="203394.24830794844"/>
    <n v="16949.520692329035"/>
    <n v="-83394.248307948437"/>
  </r>
  <r>
    <x v="597"/>
    <s v="ROYAL CONDOR INTEGRA X 20LTS"/>
    <x v="3"/>
    <s v="UND"/>
    <n v="266000"/>
    <n v="302000"/>
    <x v="13"/>
    <n v="798000"/>
    <n v="906000"/>
    <n v="108000"/>
    <n v="81431.961035221175"/>
    <n v="24762.287272727273"/>
    <n v="0"/>
    <n v="904194.24830794835"/>
    <n v="301398.0827693161"/>
    <n v="1805.75169205165"/>
  </r>
  <r>
    <x v="598"/>
    <s v="JERINGA DESECH. X 20"/>
    <x v="8"/>
    <s v="ML"/>
    <n v="672.35"/>
    <n v="800"/>
    <x v="47"/>
    <n v="34289.85"/>
    <n v="40800"/>
    <n v="6510.1500000000015"/>
    <n v="81431.961035221175"/>
    <n v="24762.287272727273"/>
    <n v="0"/>
    <n v="140484.09830794844"/>
    <n v="2754.59016290095"/>
    <n v="-99684.098307948443"/>
  </r>
  <r>
    <x v="599"/>
    <s v="HEMATURINA X 10 G"/>
    <x v="5"/>
    <s v="GR"/>
    <n v="6820.04"/>
    <n v="8800"/>
    <x v="13"/>
    <n v="20460.12"/>
    <n v="26400"/>
    <n v="5939.880000000001"/>
    <n v="81431.961035221175"/>
    <n v="24762.287272727273"/>
    <n v="0"/>
    <n v="126654.36830794845"/>
    <n v="42218.122769316149"/>
    <n v="-100254.36830794845"/>
  </r>
  <r>
    <x v="600"/>
    <s v="VITAMINA K 10ML"/>
    <x v="5"/>
    <s v="ML"/>
    <n v="6094"/>
    <n v="10500"/>
    <x v="0"/>
    <n v="0"/>
    <n v="0"/>
    <n v="0"/>
    <n v="81431.961035221175"/>
    <n v="24762.287272727273"/>
    <n v="0"/>
    <n v="112288.24830794845"/>
    <n v="112288.24830794845"/>
    <n v="-112288.24830794845"/>
  </r>
  <r>
    <x v="601"/>
    <s v="AMITRAZ AGROZ 20;8 X 20 ML"/>
    <x v="5"/>
    <s v="ML"/>
    <n v="5323"/>
    <n v="6583.333333333333"/>
    <x v="26"/>
    <n v="26615"/>
    <n v="32916.666666666664"/>
    <n v="6301.6666666666642"/>
    <n v="81431.961035221175"/>
    <n v="24762.287272727273"/>
    <n v="0"/>
    <n v="132809.24830794844"/>
    <n v="26561.849661589687"/>
    <n v="-99892.58164128178"/>
  </r>
  <r>
    <x v="602"/>
    <s v="PRIMORDIAL Y SEGUNDA X LT"/>
    <x v="1"/>
    <s v="LT"/>
    <n v="28100"/>
    <n v="33400"/>
    <x v="11"/>
    <n v="646300"/>
    <n v="768200"/>
    <n v="121900"/>
    <n v="81431.961035221175"/>
    <n v="24762.287272727273"/>
    <n v="0"/>
    <n v="752494.24830794835"/>
    <n v="32717.141230780362"/>
    <n v="15705.75169205165"/>
  </r>
  <r>
    <x v="603"/>
    <s v="GLUCONATO CALCIO x 250 ML"/>
    <x v="5"/>
    <s v="ML"/>
    <n v="22014"/>
    <n v="26500"/>
    <x v="17"/>
    <n v="22014"/>
    <n v="26500"/>
    <n v="4486"/>
    <n v="81431.961035221175"/>
    <n v="24762.287272727273"/>
    <n v="0"/>
    <n v="128208.24830794845"/>
    <n v="128208.24830794845"/>
    <n v="-101708.24830794845"/>
  </r>
  <r>
    <x v="604"/>
    <s v="BOQUILLA HERBICIDA"/>
    <x v="3"/>
    <s v="UN"/>
    <n v="3285"/>
    <n v="5300"/>
    <x v="12"/>
    <n v="45990"/>
    <n v="74200"/>
    <n v="28210"/>
    <n v="81431.961035221175"/>
    <n v="24762.287272727273"/>
    <n v="0"/>
    <n v="152184.24830794844"/>
    <n v="10870.303450567746"/>
    <n v="-77984.248307948437"/>
  </r>
  <r>
    <x v="605"/>
    <s v="BELAMYL x 10 ML"/>
    <x v="5"/>
    <s v="UND"/>
    <n v="13309"/>
    <n v="16000"/>
    <x v="21"/>
    <n v="159708"/>
    <n v="192000"/>
    <n v="32292"/>
    <n v="81431.961035221175"/>
    <n v="24762.287272727273"/>
    <n v="0"/>
    <n v="265902.24830794847"/>
    <n v="22158.520692329039"/>
    <n v="-73902.248307948466"/>
  </r>
  <r>
    <x v="606"/>
    <s v="DIARREVET X SOBRE 10 G"/>
    <x v="5"/>
    <s v="SOB"/>
    <n v="3000"/>
    <n v="3800"/>
    <x v="17"/>
    <n v="3000"/>
    <n v="3800"/>
    <n v="800"/>
    <n v="81431.961035221175"/>
    <n v="24762.287272727273"/>
    <n v="0"/>
    <n v="109194.24830794845"/>
    <n v="109194.24830794845"/>
    <n v="-105394.24830794845"/>
  </r>
  <r>
    <x v="607"/>
    <s v="BRACHIARIA DECUMBENS GERM"/>
    <x v="11"/>
    <s v="KL"/>
    <n v="16700"/>
    <n v="19800"/>
    <x v="0"/>
    <n v="0"/>
    <n v="0"/>
    <n v="0"/>
    <n v="81431.961035221175"/>
    <n v="24762.287272727273"/>
    <n v="0"/>
    <n v="122894.24830794845"/>
    <n v="122894.24830794845"/>
    <n v="-122894.24830794845"/>
  </r>
  <r>
    <x v="608"/>
    <s v="NUTRIZYME x GALON"/>
    <x v="1"/>
    <s v="BT"/>
    <n v="178500"/>
    <n v="202000"/>
    <x v="13"/>
    <n v="535500"/>
    <n v="606000"/>
    <n v="70500"/>
    <n v="81431.961035221175"/>
    <n v="24762.287272727273"/>
    <n v="0"/>
    <n v="641694.24830794835"/>
    <n v="213898.08276931613"/>
    <n v="-35694.24830794835"/>
  </r>
  <r>
    <x v="609"/>
    <s v="FORMADOR x GL"/>
    <x v="1"/>
    <s v="BT"/>
    <n v="124500"/>
    <n v="153866.66666666666"/>
    <x v="31"/>
    <n v="1120500"/>
    <n v="1384800"/>
    <n v="264300"/>
    <n v="81431.961035221175"/>
    <n v="24762.287272727273"/>
    <n v="0"/>
    <n v="1226694.2483079485"/>
    <n v="136299.36092310539"/>
    <n v="158105.75169205153"/>
  </r>
  <r>
    <x v="610"/>
    <s v="CINTA BOVINOMETRICA"/>
    <x v="5"/>
    <s v="UND"/>
    <n v="37485"/>
    <n v="45000"/>
    <x v="17"/>
    <n v="37485"/>
    <n v="45000"/>
    <n v="7515"/>
    <n v="81431.961035221175"/>
    <n v="24762.287272727273"/>
    <n v="0"/>
    <n v="143679.24830794844"/>
    <n v="143679.24830794844"/>
    <n v="-98679.248307948437"/>
  </r>
  <r>
    <x v="611"/>
    <s v="ALGA 600 KILO"/>
    <x v="1"/>
    <s v="KL"/>
    <n v="97902"/>
    <n v="115000"/>
    <x v="0"/>
    <n v="0"/>
    <n v="0"/>
    <n v="0"/>
    <n v="81431.961035221175"/>
    <n v="24762.287272727273"/>
    <n v="0"/>
    <n v="204096.24830794844"/>
    <n v="204096.24830794844"/>
    <n v="-204096.24830794844"/>
  </r>
  <r>
    <x v="612"/>
    <s v="GLYPHOGAN 480 SL GFA x GL"/>
    <x v="10"/>
    <s v="GL"/>
    <n v="127600"/>
    <n v="142500"/>
    <x v="17"/>
    <n v="127600"/>
    <n v="142500"/>
    <n v="14900"/>
    <n v="81431.961035221175"/>
    <n v="24762.287272727273"/>
    <n v="0"/>
    <n v="233794.24830794844"/>
    <n v="233794.24830794844"/>
    <n v="-91294.248307948437"/>
  </r>
  <r>
    <x v="613"/>
    <s v="HENO PANGOLA"/>
    <x v="2"/>
    <s v="PACA"/>
    <n v="14000"/>
    <n v="15200"/>
    <x v="0"/>
    <n v="0"/>
    <n v="0"/>
    <n v="0"/>
    <n v="81431.961035221175"/>
    <n v="24762.287272727273"/>
    <n v="0"/>
    <n v="120194.24830794845"/>
    <n v="120194.24830794845"/>
    <n v="-120194.24830794845"/>
  </r>
  <r>
    <x v="614"/>
    <s v="YODOFOX x 120 ML"/>
    <x v="5"/>
    <s v="ML"/>
    <n v="5654.5713999999998"/>
    <n v="7500"/>
    <x v="17"/>
    <n v="5654.5713999999998"/>
    <n v="7500"/>
    <n v="1845.4286000000002"/>
    <n v="81431.961035221175"/>
    <n v="24762.287272727273"/>
    <n v="0"/>
    <n v="111848.81970794845"/>
    <n v="111848.81970794845"/>
    <n v="-104348.81970794845"/>
  </r>
  <r>
    <x v="615"/>
    <s v="EVIL X LT"/>
    <x v="4"/>
    <s v="LT"/>
    <n v="38800"/>
    <n v="45400"/>
    <x v="39"/>
    <n v="931200"/>
    <n v="1089600"/>
    <n v="158400"/>
    <n v="81431.961035221175"/>
    <n v="24762.287272727273"/>
    <n v="0"/>
    <n v="1037394.2483079483"/>
    <n v="43224.760346164512"/>
    <n v="52205.75169205165"/>
  </r>
  <r>
    <x v="616"/>
    <s v="ALGAE x LT"/>
    <x v="1"/>
    <s v="LT"/>
    <n v="71250"/>
    <n v="80666.666666666672"/>
    <x v="21"/>
    <n v="855000"/>
    <n v="968000"/>
    <n v="113000"/>
    <n v="81431.961035221175"/>
    <n v="24762.287272727273"/>
    <n v="0"/>
    <n v="961194.24830794835"/>
    <n v="80099.520692329024"/>
    <n v="6805.75169205165"/>
  </r>
  <r>
    <x v="617"/>
    <s v="GLIFOSOL x KL"/>
    <x v="10"/>
    <s v="KILO"/>
    <n v="50400"/>
    <n v="76200"/>
    <x v="13"/>
    <n v="151200"/>
    <n v="228600"/>
    <n v="77400"/>
    <n v="81431.961035221175"/>
    <n v="24762.287272727273"/>
    <n v="0"/>
    <n v="257394.24830794844"/>
    <n v="85798.082769316141"/>
    <n v="-28794.248307948437"/>
  </r>
  <r>
    <x v="618"/>
    <s v="F YEGUAS LACTANCIA"/>
    <x v="2"/>
    <s v="BT"/>
    <n v="79424.100000000006"/>
    <n v="88200"/>
    <x v="0"/>
    <n v="0"/>
    <n v="0"/>
    <n v="0"/>
    <n v="81431.961035221175"/>
    <n v="24762.287272727273"/>
    <n v="0"/>
    <n v="185618.34830794844"/>
    <n v="185618.34830794844"/>
    <n v="-185618.34830794844"/>
  </r>
  <r>
    <x v="619"/>
    <s v="COMEDERO 14.2 LT (VERDE)"/>
    <x v="7"/>
    <s v="UND"/>
    <n v="53550"/>
    <n v="59500"/>
    <x v="0"/>
    <n v="0"/>
    <n v="0"/>
    <n v="0"/>
    <n v="81431.961035221175"/>
    <n v="24762.287272727273"/>
    <n v="0"/>
    <n v="159744.24830794844"/>
    <n v="159744.24830794844"/>
    <n v="-159744.24830794844"/>
  </r>
  <r>
    <x v="620"/>
    <s v="10-20-30 x BTO MANUCHAR"/>
    <x v="0"/>
    <s v="BTO"/>
    <n v="210000"/>
    <n v="235500"/>
    <x v="83"/>
    <n v="3780000"/>
    <n v="4239000"/>
    <n v="459000"/>
    <n v="81431.961035221175"/>
    <n v="24762.287272727273"/>
    <n v="0"/>
    <n v="3886194.2483079485"/>
    <n v="215899.68046155269"/>
    <n v="352805.75169205153"/>
  </r>
  <r>
    <x v="621"/>
    <s v="TOMILLO X 0.5 GR GERM"/>
    <x v="11"/>
    <s v="UND"/>
    <n v="1500"/>
    <n v="2000"/>
    <x v="15"/>
    <n v="9000"/>
    <n v="12000"/>
    <n v="3000"/>
    <n v="81431.961035221175"/>
    <n v="24762.287272727273"/>
    <n v="0"/>
    <n v="115194.24830794845"/>
    <n v="19199.041384658074"/>
    <n v="-103194.24830794845"/>
  </r>
  <r>
    <x v="622"/>
    <s v="CANASTA MEDIA LUNA SENCILLA 30cm"/>
    <x v="11"/>
    <s v="UND"/>
    <n v="16279.2"/>
    <n v="18500"/>
    <x v="0"/>
    <n v="0"/>
    <n v="0"/>
    <n v="0"/>
    <n v="81431.961035221175"/>
    <n v="24762.287272727273"/>
    <n v="0"/>
    <n v="122473.44830794845"/>
    <n v="122473.44830794845"/>
    <n v="-122473.44830794845"/>
  </r>
  <r>
    <x v="623"/>
    <s v="APIO ESTANDAR FERCON"/>
    <x v="11"/>
    <s v="SOBRE"/>
    <n v="1480"/>
    <n v="2200"/>
    <x v="7"/>
    <n v="16280"/>
    <n v="24200"/>
    <n v="7920"/>
    <n v="81431.961035221175"/>
    <n v="24762.287272727273"/>
    <n v="0"/>
    <n v="122474.24830794845"/>
    <n v="11134.02257344986"/>
    <n v="-98274.248307948452"/>
  </r>
  <r>
    <x v="624"/>
    <s v="ESPINACA x 5 GR GERMI"/>
    <x v="11"/>
    <s v="SOB"/>
    <n v="850"/>
    <n v="1266.6666666666667"/>
    <x v="25"/>
    <n v="17850"/>
    <n v="26600"/>
    <n v="8750"/>
    <n v="81431.961035221175"/>
    <n v="24762.287272727273"/>
    <n v="0"/>
    <n v="124044.24830794845"/>
    <n v="5906.868967045164"/>
    <n v="-97444.248307948452"/>
  </r>
  <r>
    <x v="625"/>
    <s v="CANASTA+NIDO 32cm"/>
    <x v="9"/>
    <s v="UND"/>
    <n v="20235.95"/>
    <n v="23500"/>
    <x v="18"/>
    <n v="40471.9"/>
    <n v="47000"/>
    <n v="6528.0999999999985"/>
    <n v="81431.961035221175"/>
    <n v="24762.287272727273"/>
    <n v="0"/>
    <n v="146666.14830794843"/>
    <n v="73333.074153974216"/>
    <n v="-99666.148307948431"/>
  </r>
  <r>
    <x v="626"/>
    <s v="23-4-20-3 MANUCHAR"/>
    <x v="0"/>
    <s v="UND"/>
    <n v="185000"/>
    <n v="185666.66666666666"/>
    <x v="3"/>
    <n v="1850000"/>
    <n v="1856666.6666666665"/>
    <n v="6666.6666666665114"/>
    <n v="81431.961035221175"/>
    <n v="24762.287272727273"/>
    <n v="0"/>
    <n v="1956194.2483079485"/>
    <n v="195619.42483079486"/>
    <n v="-99527.581641281955"/>
  </r>
  <r>
    <x v="627"/>
    <s v="NUTRECAN ADULTO X 2 KL"/>
    <x v="2"/>
    <s v="UND"/>
    <n v="10000"/>
    <n v="10933.333333333334"/>
    <x v="10"/>
    <n v="710000"/>
    <n v="776266.66666666674"/>
    <n v="66266.666666666744"/>
    <n v="81431.961035221175"/>
    <n v="24762.287272727273"/>
    <n v="0"/>
    <n v="816194.24830794835"/>
    <n v="11495.693638140117"/>
    <n v="-39927.581641281606"/>
  </r>
  <r>
    <x v="628"/>
    <s v="HUMUS ALFA X LT"/>
    <x v="1"/>
    <s v="UND"/>
    <n v="30500"/>
    <n v="35000"/>
    <x v="17"/>
    <n v="30500"/>
    <n v="35000"/>
    <n v="4500"/>
    <n v="81431.961035221175"/>
    <n v="24762.287272727273"/>
    <n v="0"/>
    <n v="136694.24830794844"/>
    <n v="136694.24830794844"/>
    <n v="-101694.24830794844"/>
  </r>
  <r>
    <x v="629"/>
    <s v="MANNA X KL"/>
    <x v="2"/>
    <s v="KL"/>
    <n v="2289"/>
    <n v="2666.6666666666665"/>
    <x v="149"/>
    <n v="2256954"/>
    <n v="2629333.333333333"/>
    <n v="372379.33333333302"/>
    <n v="81431.961035221175"/>
    <n v="24762.287272727273"/>
    <n v="0"/>
    <n v="2363148.2483079485"/>
    <n v="2396.7020773914282"/>
    <n v="266185.08502538456"/>
  </r>
  <r>
    <x v="630"/>
    <s v="NUTRECAN CACHO. X 2 KL"/>
    <x v="2"/>
    <s v="UND"/>
    <n v="12300"/>
    <n v="13200"/>
    <x v="32"/>
    <n v="504300"/>
    <n v="541200"/>
    <n v="36900"/>
    <n v="81431.961035221175"/>
    <n v="24762.287272727273"/>
    <n v="0"/>
    <n v="610494.24830794835"/>
    <n v="14890.103617267034"/>
    <n v="-69294.24830794835"/>
  </r>
  <r>
    <x v="631"/>
    <s v="GLIFOCAFE X LT"/>
    <x v="10"/>
    <s v="LT"/>
    <n v="33000"/>
    <n v="39500"/>
    <x v="0"/>
    <n v="0"/>
    <n v="0"/>
    <n v="0"/>
    <n v="81431.961035221175"/>
    <n v="24762.287272727273"/>
    <n v="0"/>
    <n v="139194.24830794844"/>
    <n v="139194.24830794844"/>
    <n v="-139194.24830794844"/>
  </r>
  <r>
    <x v="632"/>
    <s v="CARRETA PLASTICA ANTIPINCHAZO"/>
    <x v="9"/>
    <s v="UND"/>
    <n v="242188.79999999999"/>
    <n v="271000"/>
    <x v="17"/>
    <n v="242188.79999999999"/>
    <n v="271000"/>
    <n v="28811.200000000012"/>
    <n v="81431.961035221175"/>
    <n v="24762.287272727273"/>
    <n v="0"/>
    <n v="348383.04830794845"/>
    <n v="348383.04830794845"/>
    <n v="-77383.048307948455"/>
  </r>
  <r>
    <x v="633"/>
    <s v="CIMARRON SOBRE"/>
    <x v="11"/>
    <s v="UND"/>
    <n v="2420"/>
    <n v="2800"/>
    <x v="37"/>
    <n v="36300"/>
    <n v="42000"/>
    <n v="5700"/>
    <n v="81431.961035221175"/>
    <n v="24762.287272727273"/>
    <n v="0"/>
    <n v="142494.24830794844"/>
    <n v="9499.6165538632285"/>
    <n v="-100494.24830794844"/>
  </r>
  <r>
    <x v="634"/>
    <s v="RC-103BX ESFERA"/>
    <x v="3"/>
    <s v="UND"/>
    <n v="2100.9450000000002"/>
    <n v="3200"/>
    <x v="12"/>
    <n v="29413.230000000003"/>
    <n v="44800"/>
    <n v="15386.769999999997"/>
    <n v="81431.961035221175"/>
    <n v="24762.287272727273"/>
    <n v="0"/>
    <n v="135607.47830794845"/>
    <n v="9686.2484505677457"/>
    <n v="-90807.478307948448"/>
  </r>
  <r>
    <x v="635"/>
    <s v="FULMINATOR LITRO"/>
    <x v="4"/>
    <s v="LT"/>
    <n v="67000"/>
    <n v="73966.666666666672"/>
    <x v="18"/>
    <n v="134000"/>
    <n v="147933.33333333334"/>
    <n v="13933.333333333343"/>
    <n v="81431.961035221175"/>
    <n v="24762.287272727273"/>
    <n v="0"/>
    <n v="240194.24830794844"/>
    <n v="120097.12415397422"/>
    <n v="-92260.914974615094"/>
  </r>
  <r>
    <x v="636"/>
    <s v="AL COMBATE 5KLS"/>
    <x v="2"/>
    <s v="KL"/>
    <n v="21100"/>
    <n v="23000"/>
    <x v="19"/>
    <n v="590800"/>
    <n v="644000"/>
    <n v="53200"/>
    <n v="81431.961035221175"/>
    <n v="24762.287272727273"/>
    <n v="0"/>
    <n v="696994.24830794835"/>
    <n v="24892.651725283871"/>
    <n v="-52994.24830794835"/>
  </r>
  <r>
    <x v="637"/>
    <s v="CO-013 FUMIGADORA GARDEN ROYAL CONDOR"/>
    <x v="3"/>
    <s v="UND"/>
    <n v="36120"/>
    <n v="45000"/>
    <x v="13"/>
    <n v="108360"/>
    <n v="135000"/>
    <n v="26640"/>
    <n v="81431.961035221175"/>
    <n v="24762.287272727273"/>
    <n v="0"/>
    <n v="214554.24830794844"/>
    <n v="71518.082769316141"/>
    <n v="-79554.248307948437"/>
  </r>
  <r>
    <x v="638"/>
    <s v="SAL SOMEX MB KILO"/>
    <x v="2"/>
    <s v="KL"/>
    <n v="2170.3436999999999"/>
    <n v="2500"/>
    <x v="150"/>
    <n v="342914.30459999997"/>
    <n v="395000"/>
    <n v="52085.695400000026"/>
    <n v="81431.961035221175"/>
    <n v="24762.287272727273"/>
    <n v="0"/>
    <n v="449108.55290794844"/>
    <n v="2842.459195619927"/>
    <n v="-54108.55290794844"/>
  </r>
  <r>
    <x v="639"/>
    <s v="TRIADAMIN X GALON"/>
    <x v="1"/>
    <s v="GL"/>
    <n v="145100"/>
    <n v="161000"/>
    <x v="35"/>
    <n v="580400"/>
    <n v="644000"/>
    <n v="63600"/>
    <n v="81431.961035221175"/>
    <n v="24762.287272727273"/>
    <n v="0"/>
    <n v="686594.24830794835"/>
    <n v="171648.56207698709"/>
    <n v="-42594.24830794835"/>
  </r>
  <r>
    <x v="640"/>
    <s v="AMULET X 240 BAYER"/>
    <x v="4"/>
    <s v="ML"/>
    <n v="47878.9"/>
    <n v="56183.333333333336"/>
    <x v="21"/>
    <n v="574546.80000000005"/>
    <n v="674200"/>
    <n v="99653.199999999953"/>
    <n v="81431.961035221175"/>
    <n v="24762.287272727273"/>
    <n v="0"/>
    <n v="680741.0483079484"/>
    <n v="56728.420692329033"/>
    <n v="-6541.0483079483965"/>
  </r>
  <r>
    <x v="641"/>
    <s v="NUTRIZYME LT"/>
    <x v="1"/>
    <s v="LT"/>
    <n v="48500"/>
    <n v="55200"/>
    <x v="35"/>
    <n v="194000"/>
    <n v="220800"/>
    <n v="26800"/>
    <n v="81431.961035221175"/>
    <n v="24762.287272727273"/>
    <n v="0"/>
    <n v="300194.24830794847"/>
    <n v="75048.562076987117"/>
    <n v="-79394.248307948466"/>
  </r>
  <r>
    <x v="642"/>
    <s v="OXITETRACICLINA 50 MK X 100 ML"/>
    <x v="5"/>
    <s v="UND"/>
    <n v="13391"/>
    <n v="16000"/>
    <x v="15"/>
    <n v="80346"/>
    <n v="96000"/>
    <n v="15654"/>
    <n v="81431.961035221175"/>
    <n v="24762.287272727273"/>
    <n v="0"/>
    <n v="186540.24830794844"/>
    <n v="31090.041384658074"/>
    <n v="-90540.248307948437"/>
  </r>
  <r>
    <x v="643"/>
    <s v="GRUA LECHERA X 100 ML"/>
    <x v="5"/>
    <s v="UND"/>
    <n v="19320"/>
    <n v="26000"/>
    <x v="17"/>
    <n v="19320"/>
    <n v="26000"/>
    <n v="6680"/>
    <n v="81431.961035221175"/>
    <n v="24762.287272727273"/>
    <n v="0"/>
    <n v="125514.24830794845"/>
    <n v="125514.24830794845"/>
    <n v="-99514.248307948452"/>
  </r>
  <r>
    <x v="644"/>
    <s v="FORZEN ORAL X 100 ML"/>
    <x v="5"/>
    <s v="UND"/>
    <n v="20255"/>
    <n v="24600"/>
    <x v="13"/>
    <n v="60765"/>
    <n v="73800"/>
    <n v="13035"/>
    <n v="81431.961035221175"/>
    <n v="24762.287272727273"/>
    <n v="0"/>
    <n v="166959.24830794844"/>
    <n v="55653.082769316148"/>
    <n v="-93159.248307948437"/>
  </r>
  <r>
    <x v="645"/>
    <s v="CARBONATO DE CALCIO PARA POLLAS"/>
    <x v="2"/>
    <s v="ROLLO"/>
    <n v="6499.9942000000001"/>
    <n v="15000"/>
    <x v="17"/>
    <n v="6499.9942000000001"/>
    <n v="15000"/>
    <n v="8500.005799999999"/>
    <n v="81431.961035221175"/>
    <n v="24762.287272727273"/>
    <n v="0"/>
    <n v="112694.24250794845"/>
    <n v="112694.24250794845"/>
    <n v="-97694.242507948453"/>
  </r>
  <r>
    <x v="646"/>
    <s v="FUMIGADORA 5 LT CON VALVULA"/>
    <x v="9"/>
    <s v="UND"/>
    <n v="57120.336000000003"/>
    <n v="65200"/>
    <x v="18"/>
    <n v="114240.67200000001"/>
    <n v="130400"/>
    <n v="16159.327999999994"/>
    <n v="81431.961035221175"/>
    <n v="24762.287272727273"/>
    <n v="0"/>
    <n v="220434.92030794846"/>
    <n v="110217.46015397423"/>
    <n v="-90034.920307948458"/>
  </r>
  <r>
    <x v="647"/>
    <s v="BOVIPUR 25% JERINGA X 20 ML"/>
    <x v="5"/>
    <s v="UND"/>
    <n v="7750"/>
    <n v="9500"/>
    <x v="31"/>
    <n v="69750"/>
    <n v="85500"/>
    <n v="15750"/>
    <n v="81431.961035221175"/>
    <n v="24762.287272727273"/>
    <n v="0"/>
    <n v="175944.24830794844"/>
    <n v="19549.360923105382"/>
    <n v="-90444.248307948437"/>
  </r>
  <r>
    <x v="648"/>
    <s v="MALLA POLLO 1.20 X 36 MTS"/>
    <x v="9"/>
    <s v="ROLLO"/>
    <n v="86219.212799999994"/>
    <n v="122933.33333333333"/>
    <x v="18"/>
    <n v="172438.42559999999"/>
    <n v="245866.66666666666"/>
    <n v="73428.241066666669"/>
    <n v="81431.961035221175"/>
    <n v="24762.287272727273"/>
    <n v="0"/>
    <n v="278632.67390794843"/>
    <n v="139316.33695397421"/>
    <n v="-32766.007241281768"/>
  </r>
  <r>
    <x v="649"/>
    <s v="MALLA POLLO 1.80 X 36 MTS"/>
    <x v="9"/>
    <s v="MTS"/>
    <n v="126166.18"/>
    <n v="158000"/>
    <x v="26"/>
    <n v="630830.89999999991"/>
    <n v="790000"/>
    <n v="159169.10000000009"/>
    <n v="81431.961035221175"/>
    <n v="24762.287272727273"/>
    <n v="0"/>
    <n v="737025.14830794826"/>
    <n v="147405.02966158965"/>
    <n v="52974.851692051743"/>
  </r>
  <r>
    <x v="650"/>
    <s v="OFTALMOSYN X 10 ML"/>
    <x v="5"/>
    <s v="UND"/>
    <n v="18397"/>
    <n v="22000"/>
    <x v="17"/>
    <n v="18397"/>
    <n v="22000"/>
    <n v="3603"/>
    <n v="81431.961035221175"/>
    <n v="24762.287272727273"/>
    <n v="0"/>
    <n v="124591.24830794845"/>
    <n v="124591.24830794845"/>
    <n v="-102591.24830794845"/>
  </r>
  <r>
    <x v="651"/>
    <s v="ATHRIN BRIO X 100ML"/>
    <x v="4"/>
    <s v="ML"/>
    <n v="12700"/>
    <n v="14500"/>
    <x v="26"/>
    <n v="63500"/>
    <n v="72500"/>
    <n v="9000"/>
    <n v="81431.961035221175"/>
    <n v="24762.287272727273"/>
    <n v="0"/>
    <n v="169694.24830794844"/>
    <n v="33938.849661589687"/>
    <n v="-97194.248307948437"/>
  </r>
  <r>
    <x v="652"/>
    <s v="SAL SOMEX LECHE x KL"/>
    <x v="2"/>
    <s v="KL"/>
    <n v="3203.55"/>
    <n v="3683.3333333333335"/>
    <x v="103"/>
    <n v="438886.35000000003"/>
    <n v="504616.66666666669"/>
    <n v="65730.316666666651"/>
    <n v="81431.961035221175"/>
    <n v="24762.287272727273"/>
    <n v="0"/>
    <n v="545080.59830794844"/>
    <n v="3978.6904985981637"/>
    <n v="-40463.931641281757"/>
  </r>
  <r>
    <x v="653"/>
    <s v="F TERNERAS NODRIZA EXTRUIDO X 40KL"/>
    <x v="2"/>
    <s v="KL"/>
    <n v="86397.15"/>
    <n v="97250"/>
    <x v="18"/>
    <n v="172794.3"/>
    <n v="194500"/>
    <n v="21705.700000000012"/>
    <n v="81431.961035221175"/>
    <n v="24762.287272727273"/>
    <n v="0"/>
    <n v="278988.54830794845"/>
    <n v="139494.27415397423"/>
    <n v="-84488.548307948455"/>
  </r>
  <r>
    <x v="654"/>
    <s v="SOLLA CAMPEON VERDE"/>
    <x v="2"/>
    <s v="BTO"/>
    <n v="85600"/>
    <n v="93333.333333333328"/>
    <x v="151"/>
    <n v="3338400"/>
    <n v="3640000"/>
    <n v="301600"/>
    <n v="81431.961035221175"/>
    <n v="24762.287272727273"/>
    <n v="0"/>
    <n v="3444594.2483079485"/>
    <n v="88322.929443793546"/>
    <n v="195405.75169205153"/>
  </r>
  <r>
    <x v="655"/>
    <s v="MACHETE BARRIGON BELLOTA"/>
    <x v="9"/>
    <s v="UND"/>
    <n v="16594.704000000002"/>
    <n v="19500"/>
    <x v="17"/>
    <n v="16594.704000000002"/>
    <n v="19500"/>
    <n v="2905.2959999999985"/>
    <n v="81431.961035221175"/>
    <n v="24762.287272727273"/>
    <n v="0"/>
    <n v="122788.95230794845"/>
    <n v="122788.95230794845"/>
    <n v="-103288.95230794845"/>
  </r>
  <r>
    <x v="656"/>
    <s v="F CERDO ENGORDE FINALIZADOR x 40 KL"/>
    <x v="2"/>
    <s v="BULTO"/>
    <n v="90000"/>
    <n v="101800"/>
    <x v="0"/>
    <n v="0"/>
    <n v="0"/>
    <n v="0"/>
    <n v="81431.961035221175"/>
    <n v="24762.287272727273"/>
    <n v="0"/>
    <n v="196194.24830794844"/>
    <n v="196194.24830794844"/>
    <n v="-196194.24830794844"/>
  </r>
  <r>
    <x v="657"/>
    <s v="FEBENZOL X 500ML"/>
    <x v="5"/>
    <s v="UND"/>
    <n v="65559"/>
    <n v="80400"/>
    <x v="17"/>
    <n v="65559"/>
    <n v="80400"/>
    <n v="14841"/>
    <n v="81431.961035221175"/>
    <n v="24762.287272727273"/>
    <n v="0"/>
    <n v="171753.24830794844"/>
    <n v="171753.24830794844"/>
    <n v="-91353.248307948437"/>
  </r>
  <r>
    <x v="658"/>
    <s v="FORZEN B15 X 20ML"/>
    <x v="5"/>
    <s v="UND"/>
    <n v="23669"/>
    <n v="27916.666666666668"/>
    <x v="13"/>
    <n v="71007"/>
    <n v="83750"/>
    <n v="12743"/>
    <n v="81431.961035221175"/>
    <n v="24762.287272727273"/>
    <n v="0"/>
    <n v="177201.24830794844"/>
    <n v="59067.082769316148"/>
    <n v="-93451.248307948437"/>
  </r>
  <r>
    <x v="659"/>
    <s v="ALISIN X LITRO"/>
    <x v="4"/>
    <s v="LT"/>
    <n v="42200"/>
    <n v="51533.333333333336"/>
    <x v="0"/>
    <n v="0"/>
    <n v="0"/>
    <n v="0"/>
    <n v="81431.961035221175"/>
    <n v="24762.287272727273"/>
    <n v="0"/>
    <n v="148394.24830794844"/>
    <n v="148394.24830794844"/>
    <n v="-148394.24830794844"/>
  </r>
  <r>
    <x v="660"/>
    <s v="BOQUILLA ADAPTADA"/>
    <x v="3"/>
    <s v="UND"/>
    <n v="6545"/>
    <n v="8000"/>
    <x v="83"/>
    <n v="117810"/>
    <n v="144000"/>
    <n v="26190"/>
    <n v="81431.961035221175"/>
    <n v="24762.287272727273"/>
    <n v="0"/>
    <n v="224004.24830794844"/>
    <n v="12444.680461552691"/>
    <n v="-80004.248307948437"/>
  </r>
  <r>
    <x v="661"/>
    <s v="SAL SOMEX 6% x 40 KL"/>
    <x v="2"/>
    <s v="BTO"/>
    <n v="91428.75"/>
    <n v="104083.33333333333"/>
    <x v="0"/>
    <n v="0"/>
    <n v="0"/>
    <n v="0"/>
    <n v="81431.961035221175"/>
    <n v="24762.287272727273"/>
    <n v="0"/>
    <n v="197622.99830794844"/>
    <n v="197622.99830794844"/>
    <n v="-197622.99830794844"/>
  </r>
  <r>
    <x v="662"/>
    <s v="MICROQUEL AMIN CUAJE x KL"/>
    <x v="1"/>
    <s v="GL"/>
    <n v="46000"/>
    <n v="75666.666666666672"/>
    <x v="38"/>
    <n v="1518000"/>
    <n v="2497000"/>
    <n v="979000"/>
    <n v="81431.961035221175"/>
    <n v="24762.287272727273"/>
    <n v="0"/>
    <n v="1624194.2483079485"/>
    <n v="49218.007524483284"/>
    <n v="872805.75169205153"/>
  </r>
  <r>
    <x v="663"/>
    <s v="DOG CHOW ADULT V/S X 475G (ROJO)"/>
    <x v="2"/>
    <s v="GR - KG"/>
    <n v="3599.99"/>
    <n v="4600"/>
    <x v="31"/>
    <n v="32399.909999999996"/>
    <n v="41400"/>
    <n v="9000.0900000000038"/>
    <n v="81431.961035221175"/>
    <n v="24762.287272727273"/>
    <n v="0"/>
    <n v="138594.15830794844"/>
    <n v="15399.350923105383"/>
    <n v="-97194.158307948441"/>
  </r>
  <r>
    <x v="664"/>
    <s v="PAPAYA x 3 GR"/>
    <x v="11"/>
    <s v="SOB"/>
    <n v="1890"/>
    <n v="2200"/>
    <x v="31"/>
    <n v="17010"/>
    <n v="19800"/>
    <n v="2790"/>
    <n v="81431.961035221175"/>
    <n v="24762.287272727273"/>
    <n v="0"/>
    <n v="123204.24830794845"/>
    <n v="13689.360923105383"/>
    <n v="-103404.24830794845"/>
  </r>
  <r>
    <x v="665"/>
    <s v="NITRO CROP x POMA"/>
    <x v="1"/>
    <s v="POMA"/>
    <n v="153000"/>
    <n v="172000"/>
    <x v="0"/>
    <n v="0"/>
    <n v="0"/>
    <n v="0"/>
    <n v="81431.961035221175"/>
    <n v="24762.287272727273"/>
    <n v="0"/>
    <n v="259194.24830794844"/>
    <n v="259194.24830794844"/>
    <n v="-259194.24830794844"/>
  </r>
  <r>
    <x v="666"/>
    <s v="SAFE K x LT"/>
    <x v="1"/>
    <s v="GR"/>
    <n v="39000"/>
    <n v="46000"/>
    <x v="18"/>
    <n v="78000"/>
    <n v="92000"/>
    <n v="14000"/>
    <n v="81431.961035221175"/>
    <n v="24762.287272727273"/>
    <n v="0"/>
    <n v="184194.24830794844"/>
    <n v="92097.124153974219"/>
    <n v="-92194.248307948437"/>
  </r>
  <r>
    <x v="667"/>
    <s v="DOG CHOW CACH R/PEQ (MORADO) 4 kL"/>
    <x v="2"/>
    <s v="KL"/>
    <n v="38799.999000000003"/>
    <n v="42600"/>
    <x v="13"/>
    <n v="116399.997"/>
    <n v="127800"/>
    <n v="11400.002999999997"/>
    <n v="81431.961035221175"/>
    <n v="24762.287272727273"/>
    <n v="0"/>
    <n v="222594.24530794844"/>
    <n v="74198.081769316152"/>
    <n v="-94794.24530794844"/>
  </r>
  <r>
    <x v="668"/>
    <s v="SOLU ACT INICIO x 9.5"/>
    <x v="0"/>
    <s v="BT"/>
    <n v="65930"/>
    <n v="90000"/>
    <x v="35"/>
    <n v="263720"/>
    <n v="360000"/>
    <n v="96280"/>
    <n v="81431.961035221175"/>
    <n v="24762.287272727273"/>
    <n v="0"/>
    <n v="369914.24830794847"/>
    <n v="92478.562076987117"/>
    <n v="-9914.2483079484664"/>
  </r>
  <r>
    <x v="669"/>
    <s v="SOLUACTIVE DESAROLLO x KL"/>
    <x v="0"/>
    <s v="KL"/>
    <n v="6238.4444000000003"/>
    <n v="9800"/>
    <x v="0"/>
    <n v="0"/>
    <n v="0"/>
    <n v="0"/>
    <n v="81431.961035221175"/>
    <n v="24762.287272727273"/>
    <n v="0"/>
    <n v="112432.69270794846"/>
    <n v="112432.69270794846"/>
    <n v="-112432.69270794846"/>
  </r>
  <r>
    <x v="670"/>
    <s v="YEE CABESOTE MITTO"/>
    <x v="3"/>
    <s v="UND"/>
    <n v="8500.17"/>
    <n v="11000"/>
    <x v="17"/>
    <n v="8500.17"/>
    <n v="11000"/>
    <n v="2499.83"/>
    <n v="81431.961035221175"/>
    <n v="24762.287272727273"/>
    <n v="0"/>
    <n v="114694.41830794845"/>
    <n v="114694.41830794845"/>
    <n v="-103694.41830794845"/>
  </r>
  <r>
    <x v="671"/>
    <s v="CORREA ROYAL"/>
    <x v="3"/>
    <s v="UND"/>
    <n v="10710"/>
    <n v="14500"/>
    <x v="18"/>
    <n v="21420"/>
    <n v="29000"/>
    <n v="7580"/>
    <n v="81431.961035221175"/>
    <n v="24762.287272727273"/>
    <n v="0"/>
    <n v="127614.24830794845"/>
    <n v="63807.124153974226"/>
    <n v="-98614.248307948452"/>
  </r>
  <r>
    <x v="672"/>
    <s v="ORIN EMBOLO"/>
    <x v="3"/>
    <s v="UND"/>
    <n v="952"/>
    <n v="1200"/>
    <x v="13"/>
    <n v="2856"/>
    <n v="3600"/>
    <n v="744"/>
    <n v="81431.961035221175"/>
    <n v="24762.287272727273"/>
    <n v="0"/>
    <n v="109050.24830794845"/>
    <n v="36350.082769316148"/>
    <n v="-105450.24830794845"/>
  </r>
  <r>
    <x v="673"/>
    <s v="STOMP LT"/>
    <x v="10"/>
    <s v="LT"/>
    <n v="44931"/>
    <n v="52400"/>
    <x v="96"/>
    <n v="898620"/>
    <n v="1048000"/>
    <n v="149380"/>
    <n v="81431.961035221175"/>
    <n v="24762.287272727273"/>
    <n v="0"/>
    <n v="1004814.2483079483"/>
    <n v="50240.712415397415"/>
    <n v="43185.75169205165"/>
  </r>
  <r>
    <x v="674"/>
    <s v="CACODIL B12  X 25ML"/>
    <x v="5"/>
    <s v="FRS"/>
    <n v="15383"/>
    <n v="19000"/>
    <x v="0"/>
    <n v="0"/>
    <n v="0"/>
    <n v="0"/>
    <n v="81431.961035221175"/>
    <n v="24762.287272727273"/>
    <n v="0"/>
    <n v="121577.24830794845"/>
    <n v="121577.24830794845"/>
    <n v="-121577.24830794845"/>
  </r>
  <r>
    <x v="675"/>
    <s v="ZANAHORIA STAND I SGA"/>
    <x v="11"/>
    <s v="SOBRE"/>
    <n v="1190"/>
    <n v="1550"/>
    <x v="36"/>
    <n v="34510"/>
    <n v="44950"/>
    <n v="10440"/>
    <n v="81431.961035221175"/>
    <n v="24762.287272727273"/>
    <n v="0"/>
    <n v="140704.24830794844"/>
    <n v="4851.8706313085668"/>
    <n v="-95754.248307948437"/>
  </r>
  <r>
    <x v="676"/>
    <s v="PEPINO x 5 GR GERM"/>
    <x v="11"/>
    <s v="UND"/>
    <n v="1200"/>
    <n v="1900"/>
    <x v="0"/>
    <n v="0"/>
    <n v="0"/>
    <n v="0"/>
    <n v="81431.961035221175"/>
    <n v="24762.287272727273"/>
    <n v="0"/>
    <n v="107394.24830794845"/>
    <n v="107394.24830794845"/>
    <n v="-107394.24830794845"/>
  </r>
  <r>
    <x v="677"/>
    <s v="SAL SOMEX AL 10% X 10KILOS"/>
    <x v="2"/>
    <s v="KL"/>
    <n v="38225.25"/>
    <n v="44467"/>
    <x v="23"/>
    <n v="840955.5"/>
    <n v="978274"/>
    <n v="137318.5"/>
    <n v="81431.961035221175"/>
    <n v="24762.287272727273"/>
    <n v="0"/>
    <n v="947149.74830794835"/>
    <n v="43052.261286724926"/>
    <n v="31124.25169205165"/>
  </r>
  <r>
    <x v="678"/>
    <s v="F POLLO ENGORDE x BTO"/>
    <x v="2"/>
    <s v="BT40"/>
    <n v="94244"/>
    <n v="105433"/>
    <x v="152"/>
    <n v="41938580"/>
    <n v="46917685"/>
    <n v="4979105"/>
    <n v="81431.961035221175"/>
    <n v="24762.287272727273"/>
    <n v="0"/>
    <n v="42044774.248307951"/>
    <n v="94482.638760242582"/>
    <n v="4872910.7516920492"/>
  </r>
  <r>
    <x v="679"/>
    <s v="BOLSA PLASTICA"/>
    <x v="9"/>
    <s v="UND"/>
    <n v="59.5"/>
    <n v="100"/>
    <x v="0"/>
    <n v="0"/>
    <n v="0"/>
    <n v="0"/>
    <n v="81431.961035221175"/>
    <n v="24762.287272727273"/>
    <n v="0"/>
    <n v="106253.74830794845"/>
    <n v="106253.74830794845"/>
    <n v="-106253.74830794845"/>
  </r>
  <r>
    <x v="680"/>
    <s v="F RODEO PASTILLA X 40KL"/>
    <x v="2"/>
    <s v="BT"/>
    <n v="61652.85"/>
    <n v="74733.333333333328"/>
    <x v="26"/>
    <n v="308264.25"/>
    <n v="373666.66666666663"/>
    <n v="65402.416666666628"/>
    <n v="81431.961035221175"/>
    <n v="24762.287272727273"/>
    <n v="0"/>
    <n v="414458.49830794847"/>
    <n v="82891.699661589693"/>
    <n v="-40791.831641281839"/>
  </r>
  <r>
    <x v="681"/>
    <s v="F CUYES x 20 kl"/>
    <x v="2"/>
    <s v="KL"/>
    <n v="37701.300000000003"/>
    <n v="46400"/>
    <x v="0"/>
    <n v="0"/>
    <n v="0"/>
    <n v="0"/>
    <n v="81431.961035221175"/>
    <n v="24762.287272727273"/>
    <n v="0"/>
    <n v="143895.54830794845"/>
    <n v="143895.54830794845"/>
    <n v="-143895.54830794845"/>
  </r>
  <r>
    <x v="682"/>
    <s v="NUTRISS POLLO x 30 Kl"/>
    <x v="2"/>
    <s v="Kl"/>
    <n v="132352.92000000001"/>
    <n v="146666.66666666666"/>
    <x v="15"/>
    <n v="794117.52"/>
    <n v="880000"/>
    <n v="85882.479999999981"/>
    <n v="81431.961035221175"/>
    <n v="24762.287272727273"/>
    <n v="0"/>
    <n v="900311.76830794837"/>
    <n v="150051.96138465806"/>
    <n v="-20311.768307948369"/>
  </r>
  <r>
    <x v="683"/>
    <s v="ETHREL SL 48 x 200 Ml"/>
    <x v="1"/>
    <s v="Ml"/>
    <n v="55325.58"/>
    <n v="63000"/>
    <x v="0"/>
    <n v="0"/>
    <n v="0"/>
    <n v="0"/>
    <n v="81431.961035221175"/>
    <n v="24762.287272727273"/>
    <n v="0"/>
    <n v="161519.82830794845"/>
    <n v="161519.82830794845"/>
    <n v="-161519.82830794845"/>
  </r>
  <r>
    <x v="684"/>
    <s v="INFINITO x 200Ml"/>
    <x v="6"/>
    <s v="ML"/>
    <n v="27968.76"/>
    <n v="34133.333333333336"/>
    <x v="31"/>
    <n v="251718.84"/>
    <n v="307200"/>
    <n v="55481.16"/>
    <n v="81431.961035221175"/>
    <n v="24762.287272727273"/>
    <n v="0"/>
    <n v="357913.08830794849"/>
    <n v="39768.120923105387"/>
    <n v="-50713.088307948492"/>
  </r>
  <r>
    <x v="685"/>
    <s v="OBERON x 200 Ml"/>
    <x v="4"/>
    <s v="ML"/>
    <n v="72393.16"/>
    <n v="84000"/>
    <x v="18"/>
    <n v="144786.32"/>
    <n v="168000"/>
    <n v="23213.679999999993"/>
    <n v="81431.961035221175"/>
    <n v="24762.287272727273"/>
    <n v="0"/>
    <n v="250980.56830794844"/>
    <n v="125490.28415397422"/>
    <n v="-82980.568307948444"/>
  </r>
  <r>
    <x v="686"/>
    <s v="UREA MANUCHAR x 50 KL"/>
    <x v="0"/>
    <s v="BULTO"/>
    <n v="185000"/>
    <n v="202500"/>
    <x v="67"/>
    <n v="3515000"/>
    <n v="3847500"/>
    <n v="332500"/>
    <n v="81431.961035221175"/>
    <n v="24762.287272727273"/>
    <n v="0"/>
    <n v="3621194.2483079485"/>
    <n v="190589.17096357624"/>
    <n v="226305.75169205153"/>
  </r>
  <r>
    <x v="687"/>
    <s v="SELLADOR IXER GL"/>
    <x v="5"/>
    <s v="GL"/>
    <n v="64777"/>
    <n v="72600"/>
    <x v="13"/>
    <n v="194331"/>
    <n v="217800"/>
    <n v="23469"/>
    <n v="81431.961035221175"/>
    <n v="24762.287272727273"/>
    <n v="0"/>
    <n v="300525.24830794847"/>
    <n v="100175.08276931616"/>
    <n v="-82725.248307948466"/>
  </r>
  <r>
    <x v="688"/>
    <s v="MALLA POLLO 0.90 X 36MTS"/>
    <x v="9"/>
    <s v="ROLLO"/>
    <n v="66944.639999999999"/>
    <n v="89500"/>
    <x v="13"/>
    <n v="200833.91999999998"/>
    <n v="268500"/>
    <n v="67666.080000000016"/>
    <n v="81431.961035221175"/>
    <n v="24762.287272727273"/>
    <n v="0"/>
    <n v="307028.16830794845"/>
    <n v="102342.72276931615"/>
    <n v="-38528.16830794845"/>
  </r>
  <r>
    <x v="689"/>
    <s v="NUTRISS CARNE x 20 KL"/>
    <x v="2"/>
    <s v="KL"/>
    <n v="92949.57"/>
    <n v="103733.33333333333"/>
    <x v="15"/>
    <n v="557697.42000000004"/>
    <n v="622400"/>
    <n v="64702.579999999958"/>
    <n v="81431.961035221175"/>
    <n v="24762.287272727273"/>
    <n v="0"/>
    <n v="663891.66830794851"/>
    <n v="110648.61138465808"/>
    <n v="-41491.668307948508"/>
  </r>
  <r>
    <x v="690"/>
    <s v="NUTRI RIEGO PRODUCCION X 10KL"/>
    <x v="1"/>
    <s v="KL"/>
    <n v="116500"/>
    <n v="132600"/>
    <x v="18"/>
    <n v="233000"/>
    <n v="265200"/>
    <n v="32200"/>
    <n v="81431.961035221175"/>
    <n v="24762.287272727273"/>
    <n v="0"/>
    <n v="339194.24830794847"/>
    <n v="169597.12415397423"/>
    <n v="-73994.248307948466"/>
  </r>
  <r>
    <x v="691"/>
    <s v="PRIMORDIAL Y SEGUNDA GALON"/>
    <x v="1"/>
    <s v="GL"/>
    <n v="100900"/>
    <n v="116500"/>
    <x v="21"/>
    <n v="1210800"/>
    <n v="1398000"/>
    <n v="187200"/>
    <n v="81431.961035221175"/>
    <n v="24762.287272727273"/>
    <n v="0"/>
    <n v="1316994.2483079485"/>
    <n v="109749.52069232904"/>
    <n v="81005.751692051534"/>
  </r>
  <r>
    <x v="692"/>
    <s v="POLLOS COLORADOS"/>
    <x v="13"/>
    <s v="UND"/>
    <n v="2000"/>
    <n v="2150"/>
    <x v="0"/>
    <n v="0"/>
    <n v="0"/>
    <n v="0"/>
    <n v="81431.961035221175"/>
    <n v="24762.287272727273"/>
    <n v="0"/>
    <n v="108194.24830794845"/>
    <n v="108194.24830794845"/>
    <n v="-108194.24830794845"/>
  </r>
  <r>
    <x v="693"/>
    <s v="BEBEDEROS PARA CERDOS"/>
    <x v="7"/>
    <s v="UND"/>
    <n v="6567"/>
    <n v="7600"/>
    <x v="83"/>
    <n v="118206"/>
    <n v="136800"/>
    <n v="18594"/>
    <n v="81431.961035221175"/>
    <n v="24762.287272727273"/>
    <n v="0"/>
    <n v="224400.24830794844"/>
    <n v="12466.680461552691"/>
    <n v="-87600.248307948437"/>
  </r>
  <r>
    <x v="694"/>
    <s v="SECAMIL x UND"/>
    <x v="5"/>
    <s v="ML"/>
    <n v="6692.2308000000003"/>
    <n v="8900"/>
    <x v="0"/>
    <n v="0"/>
    <n v="0"/>
    <n v="0"/>
    <n v="81431.961035221175"/>
    <n v="24762.287272727273"/>
    <n v="0"/>
    <n v="112886.47910794846"/>
    <n v="112886.47910794846"/>
    <n v="-112886.47910794846"/>
  </r>
  <r>
    <x v="695"/>
    <s v="DEXTROMIN B x 500 ML"/>
    <x v="5"/>
    <s v="ML"/>
    <n v="11106.5"/>
    <n v="14500"/>
    <x v="15"/>
    <n v="66639"/>
    <n v="87000"/>
    <n v="20361"/>
    <n v="81431.961035221175"/>
    <n v="24762.287272727273"/>
    <n v="0"/>
    <n v="172833.24830794844"/>
    <n v="28805.541384658074"/>
    <n v="-85833.248307948437"/>
  </r>
  <r>
    <x v="696"/>
    <s v="CALCIO-BORO x KL"/>
    <x v="1"/>
    <s v="KL"/>
    <n v="2125"/>
    <n v="2500"/>
    <x v="0"/>
    <n v="0"/>
    <n v="0"/>
    <n v="0"/>
    <n v="81431.961035221175"/>
    <n v="24762.287272727273"/>
    <n v="0"/>
    <n v="108319.24830794845"/>
    <n v="108319.24830794845"/>
    <n v="-108319.24830794845"/>
  </r>
  <r>
    <x v="697"/>
    <s v="AL COMBATE x KL"/>
    <x v="2"/>
    <s v="KL"/>
    <n v="3440.8"/>
    <n v="4000"/>
    <x v="9"/>
    <n v="55052.800000000003"/>
    <n v="64000"/>
    <n v="8947.1999999999971"/>
    <n v="283519.42464527232"/>
    <n v="24762.287272727273"/>
    <n v="106174.11764705883"/>
    <n v="469508.62956505839"/>
    <n v="29344.28934781615"/>
    <n v="-405508.62956505839"/>
  </r>
  <r>
    <x v="698"/>
    <s v="MASTER POLLITO MINI PELET"/>
    <x v="2"/>
    <s v="BTO"/>
    <n v="132500"/>
    <n v="143266.66666666666"/>
    <x v="153"/>
    <n v="331250"/>
    <n v="358166.66666666663"/>
    <n v="26916.666666666628"/>
    <n v="81431.961035221175"/>
    <n v="24762.287272727273"/>
    <n v="0"/>
    <n v="437444.24830794847"/>
    <n v="174977.69932317937"/>
    <n v="-79277.581641281839"/>
  </r>
  <r>
    <x v="699"/>
    <s v="NUTRISS POLLO x 20 KG"/>
    <x v="2"/>
    <s v="KL"/>
    <n v="92949.57"/>
    <n v="103733.33333333333"/>
    <x v="26"/>
    <n v="464747.85000000003"/>
    <n v="518666.66666666663"/>
    <n v="53918.816666666593"/>
    <n v="81431.961035221175"/>
    <n v="24762.287272727273"/>
    <n v="0"/>
    <n v="570942.09830794844"/>
    <n v="114188.41966158969"/>
    <n v="-52275.431641281815"/>
  </r>
  <r>
    <x v="700"/>
    <s v="MASTER POLLITO KILO"/>
    <x v="2"/>
    <s v="UND"/>
    <n v="3312.5"/>
    <n v="3750"/>
    <x v="154"/>
    <n v="1407812.5"/>
    <n v="1593750"/>
    <n v="185937.5"/>
    <n v="283519.42464527232"/>
    <n v="24762.287272727273"/>
    <n v="106174.11764705883"/>
    <n v="1822268.3295650585"/>
    <n v="4287.6901872119024"/>
    <n v="-228518.32956505846"/>
  </r>
  <r>
    <x v="701"/>
    <s v="IVERMECTINA 1% X50ML"/>
    <x v="5"/>
    <s v="ML"/>
    <n v="9201"/>
    <n v="12000"/>
    <x v="49"/>
    <n v="73608"/>
    <n v="96000"/>
    <n v="22392"/>
    <n v="81431.961035221175"/>
    <n v="24762.287272727273"/>
    <n v="0"/>
    <n v="179802.24830794844"/>
    <n v="22475.281038493555"/>
    <n v="-83802.248307948437"/>
  </r>
  <r>
    <x v="702"/>
    <s v="BAÑOL 20.8% * 500 ML"/>
    <x v="5"/>
    <s v="ML"/>
    <n v="49416"/>
    <n v="49616.666666666664"/>
    <x v="13"/>
    <n v="148248"/>
    <n v="148850"/>
    <n v="602"/>
    <n v="81431.961035221175"/>
    <n v="24762.287272727273"/>
    <n v="0"/>
    <n v="254442.24830794844"/>
    <n v="84814.082769316141"/>
    <n v="-105592.24830794844"/>
  </r>
  <r>
    <x v="703"/>
    <s v="BAÑOL 20.8% * 1000 ML"/>
    <x v="5"/>
    <s v="ML"/>
    <n v="92307"/>
    <n v="101300"/>
    <x v="0"/>
    <n v="0"/>
    <n v="0"/>
    <n v="0"/>
    <n v="81431.961035221175"/>
    <n v="24762.287272727273"/>
    <n v="0"/>
    <n v="198501.24830794844"/>
    <n v="198501.24830794844"/>
    <n v="-198501.24830794844"/>
  </r>
  <r>
    <x v="704"/>
    <s v="F LAC PAST x 40KL"/>
    <x v="2"/>
    <s v="BTO"/>
    <n v="86231.25"/>
    <n v="100700"/>
    <x v="155"/>
    <n v="14659312.5"/>
    <n v="17119000"/>
    <n v="2459687.5"/>
    <n v="81431.961035221175"/>
    <n v="24762.287272727273"/>
    <n v="0"/>
    <n v="14765506.748307949"/>
    <n v="86855.922048870285"/>
    <n v="2353493.2516920511"/>
  </r>
  <r>
    <x v="705"/>
    <s v="F HUEVOS P x P x BULTO"/>
    <x v="2"/>
    <s v="BT"/>
    <n v="74075.399999999994"/>
    <n v="87566.666666666672"/>
    <x v="156"/>
    <n v="8259407.0999999996"/>
    <n v="9763683.333333334"/>
    <n v="1504276.2333333343"/>
    <n v="81431.961035221175"/>
    <n v="24762.287272727273"/>
    <n v="0"/>
    <n v="8365601.3483079476"/>
    <n v="75027.814783030917"/>
    <n v="1398081.9850253863"/>
  </r>
  <r>
    <x v="706"/>
    <s v="KIT EMBOLO MITTO"/>
    <x v="3"/>
    <s v="UND"/>
    <n v="2618"/>
    <n v="5800"/>
    <x v="18"/>
    <n v="5236"/>
    <n v="11600"/>
    <n v="6364"/>
    <n v="81431.961035221175"/>
    <n v="24762.287272727273"/>
    <n v="0"/>
    <n v="111430.24830794845"/>
    <n v="55715.124153974226"/>
    <n v="-99830.248307948452"/>
  </r>
  <r>
    <x v="707"/>
    <s v="RC-920EPLX LLAVE ACTIVA"/>
    <x v="3"/>
    <s v="UND"/>
    <n v="8600"/>
    <n v="15400"/>
    <x v="0"/>
    <n v="0"/>
    <n v="0"/>
    <n v="0"/>
    <n v="81431.961035221175"/>
    <n v="24762.287272727273"/>
    <n v="0"/>
    <n v="114794.24830794845"/>
    <n v="114794.24830794845"/>
    <n v="-114794.24830794845"/>
  </r>
  <r>
    <x v="708"/>
    <s v="QUINOCALF 10% ORAL x 200 C.C"/>
    <x v="5"/>
    <s v="ML"/>
    <n v="19109"/>
    <n v="25766.666666666668"/>
    <x v="7"/>
    <n v="210199"/>
    <n v="283433.33333333337"/>
    <n v="73234.333333333372"/>
    <n v="81431.961035221175"/>
    <n v="24762.287272727273"/>
    <n v="0"/>
    <n v="316393.24830794847"/>
    <n v="28763.02257344986"/>
    <n v="-32959.914974615094"/>
  </r>
  <r>
    <x v="709"/>
    <s v="ROYAL CONDOR ALIADA X 20 LTS"/>
    <x v="3"/>
    <s v="UND"/>
    <n v="209000"/>
    <n v="230000"/>
    <x v="35"/>
    <n v="836000"/>
    <n v="920000"/>
    <n v="84000"/>
    <n v="81431.961035221175"/>
    <n v="24762.287272727273"/>
    <n v="0"/>
    <n v="942194.24830794835"/>
    <n v="235548.56207698709"/>
    <n v="-22194.24830794835"/>
  </r>
  <r>
    <x v="710"/>
    <s v="PORCIFER B12  x 50 ML"/>
    <x v="5"/>
    <s v="ML"/>
    <n v="15734"/>
    <n v="20000"/>
    <x v="0"/>
    <n v="0"/>
    <n v="0"/>
    <n v="0"/>
    <n v="81431.961035221175"/>
    <n v="24762.287272727273"/>
    <n v="0"/>
    <n v="121928.24830794845"/>
    <n v="121928.24830794845"/>
    <n v="-121928.24830794845"/>
  </r>
  <r>
    <x v="711"/>
    <s v="Q-IDA CAN x KL"/>
    <x v="2"/>
    <s v="KL"/>
    <n v="2850"/>
    <n v="3300"/>
    <x v="0"/>
    <n v="0"/>
    <n v="0"/>
    <n v="0"/>
    <n v="81431.961035221175"/>
    <n v="24762.287272727273"/>
    <n v="0"/>
    <n v="109044.24830794845"/>
    <n v="109044.24830794845"/>
    <n v="-109044.24830794845"/>
  </r>
  <r>
    <x v="712"/>
    <s v="BIBERON TERNEROS 2.5 LT"/>
    <x v="7"/>
    <s v="UND"/>
    <n v="15340.29"/>
    <n v="19600"/>
    <x v="13"/>
    <n v="46020.87"/>
    <n v="58800"/>
    <n v="12779.129999999997"/>
    <n v="81431.961035221175"/>
    <n v="24762.287272727273"/>
    <n v="0"/>
    <n v="152215.11830794843"/>
    <n v="50738.372769316142"/>
    <n v="-93415.118307948433"/>
  </r>
  <r>
    <x v="713"/>
    <s v="15-15-15 YARA"/>
    <x v="0"/>
    <s v="BT"/>
    <n v="215000"/>
    <n v="218833.33333333334"/>
    <x v="157"/>
    <n v="5052500"/>
    <n v="5142583.333333334"/>
    <n v="90083.333333333954"/>
    <n v="81431.961035221175"/>
    <n v="24762.287272727273"/>
    <n v="0"/>
    <n v="5158694.248307948"/>
    <n v="219518.90418331695"/>
    <n v="-16110.914974614047"/>
  </r>
  <r>
    <x v="714"/>
    <s v="F BROILER PIGMENTADO G"/>
    <x v="2"/>
    <s v="BTO 40"/>
    <n v="119263.2"/>
    <n v="80416.666666666672"/>
    <x v="0"/>
    <n v="0"/>
    <n v="0"/>
    <n v="0"/>
    <n v="81431.961035221175"/>
    <n v="24762.287272727273"/>
    <n v="0"/>
    <n v="225457.44830794845"/>
    <n v="225457.44830794845"/>
    <n v="-225457.44830794845"/>
  </r>
  <r>
    <x v="715"/>
    <s v="F MOJARRA CRE 30% E x 40 KL"/>
    <x v="2"/>
    <s v="BTO"/>
    <n v="128233.35"/>
    <n v="147700"/>
    <x v="19"/>
    <n v="3590533.8000000003"/>
    <n v="4135600"/>
    <n v="545066.19999999972"/>
    <n v="81431.961035221175"/>
    <n v="24762.287272727273"/>
    <n v="0"/>
    <n v="3696728.0483079487"/>
    <n v="132026.00172528389"/>
    <n v="438871.95169205125"/>
  </r>
  <r>
    <x v="716"/>
    <s v="CIROMEX BRIO x 100"/>
    <x v="4"/>
    <s v="CC"/>
    <n v="19600"/>
    <n v="22500"/>
    <x v="12"/>
    <n v="274400"/>
    <n v="315000"/>
    <n v="40600"/>
    <n v="81431.961035221175"/>
    <n v="24762.287272727273"/>
    <n v="0"/>
    <n v="380594.24830794847"/>
    <n v="27185.303450567746"/>
    <n v="-65594.248307948466"/>
  </r>
  <r>
    <x v="717"/>
    <s v="F POLLO INICIO x BTO"/>
    <x v="2"/>
    <s v="BTO 40"/>
    <n v="94200"/>
    <n v="104200"/>
    <x v="158"/>
    <n v="41730600"/>
    <n v="46160600"/>
    <n v="4430000"/>
    <n v="81431.961035221175"/>
    <n v="24762.287272727273"/>
    <n v="0"/>
    <n v="41836794.248307951"/>
    <n v="94439.716136135336"/>
    <n v="4323805.7516920492"/>
  </r>
  <r>
    <x v="718"/>
    <s v="ACELGA LARGA STAND II SGA"/>
    <x v="11"/>
    <s v="SOBRE"/>
    <n v="2230"/>
    <n v="2466.6666666666665"/>
    <x v="21"/>
    <n v="26760"/>
    <n v="29600"/>
    <n v="2840"/>
    <n v="81431.961035221175"/>
    <n v="24762.287272727273"/>
    <n v="0"/>
    <n v="132954.24830794844"/>
    <n v="11079.520692329037"/>
    <n v="-103354.24830794844"/>
  </r>
  <r>
    <x v="719"/>
    <s v="MENTA  x 0.5 GR GERM"/>
    <x v="11"/>
    <s v="UND"/>
    <n v="3500"/>
    <n v="4200"/>
    <x v="18"/>
    <n v="7000"/>
    <n v="8400"/>
    <n v="1400"/>
    <n v="81431.961035221175"/>
    <n v="24762.287272727273"/>
    <n v="0"/>
    <n v="113194.24830794845"/>
    <n v="56597.124153974226"/>
    <n v="-104794.24830794845"/>
  </r>
  <r>
    <x v="720"/>
    <s v="CILANTRO LONG x 5 GR GERM"/>
    <x v="11"/>
    <s v="SOBRE"/>
    <n v="600"/>
    <n v="1416.6666666666667"/>
    <x v="17"/>
    <n v="600"/>
    <n v="1416.6666666666667"/>
    <n v="816.66666666666674"/>
    <n v="81431.961035221175"/>
    <n v="24762.287272727273"/>
    <n v="0"/>
    <n v="106794.24830794845"/>
    <n v="106794.24830794845"/>
    <n v="-105377.58164128178"/>
  </r>
  <r>
    <x v="721"/>
    <s v="RABANO x STAND II"/>
    <x v="11"/>
    <s v="UND"/>
    <n v="2230"/>
    <n v="2783.3333333333335"/>
    <x v="132"/>
    <n v="71360"/>
    <n v="89066.666666666672"/>
    <n v="17706.666666666672"/>
    <n v="81431.961035221175"/>
    <n v="24762.287272727273"/>
    <n v="0"/>
    <n v="177554.24830794844"/>
    <n v="5548.5702596233887"/>
    <n v="-88487.581641281766"/>
  </r>
  <r>
    <x v="722"/>
    <s v="TOMATE SANTA CLARA  x 5 GR GERM"/>
    <x v="11"/>
    <s v="UND"/>
    <n v="2300"/>
    <n v="3266.6666666666665"/>
    <x v="17"/>
    <n v="2300"/>
    <n v="3266.6666666666665"/>
    <n v="966.66666666666652"/>
    <n v="81431.961035221175"/>
    <n v="24762.287272727273"/>
    <n v="0"/>
    <n v="108494.24830794845"/>
    <n v="108494.24830794845"/>
    <n v="-105227.58164128178"/>
  </r>
  <r>
    <x v="723"/>
    <s v="CARBONATO DE CALCIO KILO"/>
    <x v="2"/>
    <s v="KL"/>
    <n v="240"/>
    <n v="1000"/>
    <x v="57"/>
    <n v="23280"/>
    <n v="97000"/>
    <n v="73720"/>
    <n v="81431.961035221175"/>
    <n v="24762.287272727273"/>
    <n v="0"/>
    <n v="129474.24830794845"/>
    <n v="1334.7860650303965"/>
    <n v="-32474.248307948452"/>
  </r>
  <r>
    <x v="724"/>
    <s v="COBREX FCO x 10 ML"/>
    <x v="5"/>
    <s v="ML"/>
    <n v="14177"/>
    <n v="18000"/>
    <x v="31"/>
    <n v="127593"/>
    <n v="162000"/>
    <n v="34407"/>
    <n v="81431.961035221175"/>
    <n v="24762.287272727273"/>
    <n v="0"/>
    <n v="233787.24830794844"/>
    <n v="25976.360923105382"/>
    <n v="-71787.248307948437"/>
  </r>
  <r>
    <x v="725"/>
    <s v="ESPECIFICO HATOBAC x LT"/>
    <x v="5"/>
    <s v="ML"/>
    <n v="23817"/>
    <n v="26800"/>
    <x v="31"/>
    <n v="214353"/>
    <n v="241200"/>
    <n v="26847"/>
    <n v="81431.961035221175"/>
    <n v="24762.287272727273"/>
    <n v="0"/>
    <n v="320547.24830794847"/>
    <n v="35616.360923105385"/>
    <n v="-79347.248307948466"/>
  </r>
  <r>
    <x v="726"/>
    <s v="CLORFENAPIR 240 x 120 CC"/>
    <x v="4"/>
    <s v="UND"/>
    <n v="16000"/>
    <n v="22500"/>
    <x v="18"/>
    <n v="32000"/>
    <n v="45000"/>
    <n v="13000"/>
    <n v="81431.961035221175"/>
    <n v="24762.287272727273"/>
    <n v="0"/>
    <n v="138194.24830794844"/>
    <n v="69097.124153974219"/>
    <n v="-93194.248307948437"/>
  </r>
  <r>
    <x v="727"/>
    <s v="ALBENDAZOL 25% x 20 ML JERINGA"/>
    <x v="5"/>
    <s v="UND"/>
    <n v="6067"/>
    <n v="9000"/>
    <x v="26"/>
    <n v="30335"/>
    <n v="45000"/>
    <n v="14665"/>
    <n v="81431.961035221175"/>
    <n v="24762.287272727273"/>
    <n v="0"/>
    <n v="136529.24830794844"/>
    <n v="27305.849661589687"/>
    <n v="-91529.248307948437"/>
  </r>
  <r>
    <x v="728"/>
    <s v="F GEST PAST x 40 KL"/>
    <x v="2"/>
    <s v="BTO"/>
    <n v="79562.7"/>
    <n v="91200"/>
    <x v="159"/>
    <n v="23669903.25"/>
    <n v="27132000"/>
    <n v="3462096.75"/>
    <n v="81431.961035221175"/>
    <n v="24762.287272727273"/>
    <n v="0"/>
    <n v="23776097.498307951"/>
    <n v="79919.655456497319"/>
    <n v="3355902.5016920492"/>
  </r>
  <r>
    <x v="729"/>
    <s v="RC-521 X T DE CONEXION CLASICA"/>
    <x v="3"/>
    <s v="UND"/>
    <n v="13779.01"/>
    <n v="16800"/>
    <x v="17"/>
    <n v="13779.01"/>
    <n v="16800"/>
    <n v="3020.99"/>
    <n v="81431.961035221175"/>
    <n v="24762.287272727273"/>
    <n v="0"/>
    <n v="119973.25830794845"/>
    <n v="119973.25830794845"/>
    <n v="-103173.25830794845"/>
  </r>
  <r>
    <x v="730"/>
    <s v="ENRAIPHOS x 10 KL"/>
    <x v="1"/>
    <s v="KL"/>
    <n v="152900"/>
    <n v="172000"/>
    <x v="28"/>
    <n v="1070300"/>
    <n v="1204000"/>
    <n v="133700"/>
    <n v="81431.961035221175"/>
    <n v="24762.287272727273"/>
    <n v="0"/>
    <n v="1176494.2483079485"/>
    <n v="168070.6069011355"/>
    <n v="27505.751692051534"/>
  </r>
  <r>
    <x v="731"/>
    <s v="RECOLECTOR 18 LT"/>
    <x v="9"/>
    <s v="UND"/>
    <n v="10128"/>
    <n v="11800"/>
    <x v="0"/>
    <n v="0"/>
    <n v="0"/>
    <n v="0"/>
    <n v="81431.961035221175"/>
    <n v="24762.287272727273"/>
    <n v="0"/>
    <n v="116322.24830794845"/>
    <n v="116322.24830794845"/>
    <n v="-116322.24830794845"/>
  </r>
  <r>
    <x v="732"/>
    <s v="MACOLLAMIENTO Y DESPEGUE x GALON"/>
    <x v="1"/>
    <s v="GALON"/>
    <n v="103000"/>
    <n v="116666.66666666667"/>
    <x v="37"/>
    <n v="1545000"/>
    <n v="1750000"/>
    <n v="205000"/>
    <n v="81431.961035221175"/>
    <n v="24762.287272727273"/>
    <n v="0"/>
    <n v="1651194.2483079485"/>
    <n v="110079.61655386323"/>
    <n v="98805.751692051534"/>
  </r>
  <r>
    <x v="733"/>
    <s v="F RENTALECHE X 40 KILOS"/>
    <x v="2"/>
    <s v="BT40"/>
    <n v="56289"/>
    <n v="64000"/>
    <x v="160"/>
    <n v="36362694"/>
    <n v="41344000"/>
    <n v="4981306"/>
    <n v="81431.961035221175"/>
    <n v="24762.287272727273"/>
    <n v="0"/>
    <n v="36468888.248307951"/>
    <n v="56453.38738128166"/>
    <n v="4875111.7516920492"/>
  </r>
  <r>
    <x v="734"/>
    <s v="F MOJARRA ENGORDE 25% x KL"/>
    <x v="2"/>
    <s v="KL"/>
    <n v="2982.0524999999998"/>
    <n v="3500"/>
    <x v="161"/>
    <n v="399595.03499999997"/>
    <n v="469000"/>
    <n v="69404.965000000026"/>
    <n v="81431.961035221175"/>
    <n v="24762.287272727273"/>
    <n v="0"/>
    <n v="505789.28330794844"/>
    <n v="3774.5468903578244"/>
    <n v="-36789.283307948441"/>
  </r>
  <r>
    <x v="735"/>
    <s v="COMEDERO PLAST 12 KL"/>
    <x v="9"/>
    <s v="UND"/>
    <n v="13599.6"/>
    <n v="16266.666666666666"/>
    <x v="28"/>
    <n v="95197.2"/>
    <n v="113866.66666666666"/>
    <n v="18669.46666666666"/>
    <n v="81431.961035221175"/>
    <n v="24762.287272727273"/>
    <n v="0"/>
    <n v="201391.44830794845"/>
    <n v="28770.206901135494"/>
    <n v="-87524.781641281792"/>
  </r>
  <r>
    <x v="736"/>
    <s v="SAL SOMEX AL 10% BTO x 40 KL"/>
    <x v="2"/>
    <s v="BTO"/>
    <n v="162256.5"/>
    <n v="169133.33333333334"/>
    <x v="21"/>
    <n v="1947078"/>
    <n v="2029600"/>
    <n v="82522"/>
    <n v="81431.961035221175"/>
    <n v="24762.287272727273"/>
    <n v="0"/>
    <n v="2053272.2483079485"/>
    <n v="171106.02069232904"/>
    <n v="-23672.248307948466"/>
  </r>
  <r>
    <x v="737"/>
    <s v="ESPECIFICO HATOBAC x 120 ML"/>
    <x v="5"/>
    <s v="ML"/>
    <n v="5908"/>
    <n v="6800"/>
    <x v="9"/>
    <n v="94528"/>
    <n v="108800"/>
    <n v="14272"/>
    <n v="81431.961035221175"/>
    <n v="24762.287272727273"/>
    <n v="0"/>
    <n v="200722.24830794844"/>
    <n v="12545.140519246777"/>
    <n v="-91922.248307948437"/>
  </r>
  <r>
    <x v="738"/>
    <s v="ESPECIFICO HATO x 470 ML"/>
    <x v="5"/>
    <s v="ML"/>
    <n v="14984"/>
    <n v="16800"/>
    <x v="7"/>
    <n v="164824"/>
    <n v="184800"/>
    <n v="19976"/>
    <n v="81431.961035221175"/>
    <n v="24762.287272727273"/>
    <n v="0"/>
    <n v="271018.24830794847"/>
    <n v="24638.02257344986"/>
    <n v="-86218.248307948466"/>
  </r>
  <r>
    <x v="739"/>
    <s v="COMPLELAND x LT"/>
    <x v="5"/>
    <s v="ML"/>
    <n v="33253"/>
    <n v="39500"/>
    <x v="35"/>
    <n v="133012"/>
    <n v="158000"/>
    <n v="24988"/>
    <n v="81431.961035221175"/>
    <n v="24762.287272727273"/>
    <n v="0"/>
    <n v="239206.24830794844"/>
    <n v="59801.562076987109"/>
    <n v="-81206.248307948437"/>
  </r>
  <r>
    <x v="740"/>
    <s v="PAREDON DE X20ml"/>
    <x v="5"/>
    <s v="ML"/>
    <n v="5092.5"/>
    <n v="6700"/>
    <x v="3"/>
    <n v="50925"/>
    <n v="67000"/>
    <n v="16075"/>
    <n v="81431.961035221175"/>
    <n v="24762.287272727273"/>
    <n v="0"/>
    <n v="157119.24830794844"/>
    <n v="15711.924830794844"/>
    <n v="-90119.248307948437"/>
  </r>
  <r>
    <x v="741"/>
    <s v="R PREMIUM x 30 KL"/>
    <x v="2"/>
    <s v="BTO"/>
    <n v="129373.965"/>
    <n v="143733.33333333334"/>
    <x v="21"/>
    <n v="1552487.58"/>
    <n v="1724800"/>
    <n v="172312.41999999993"/>
    <n v="81431.961035221175"/>
    <n v="24762.287272727273"/>
    <n v="0"/>
    <n v="1658681.8283079485"/>
    <n v="138223.48569232904"/>
    <n v="66118.171692051459"/>
  </r>
  <r>
    <x v="742"/>
    <s v="PEPINO POINSETT STAND II SGA"/>
    <x v="11"/>
    <s v="SOB"/>
    <n v="2230"/>
    <n v="2866.6666666666665"/>
    <x v="36"/>
    <n v="64670"/>
    <n v="83133.333333333328"/>
    <n v="18463.333333333328"/>
    <n v="81431.961035221175"/>
    <n v="24762.287272727273"/>
    <n v="0"/>
    <n v="170864.24830794844"/>
    <n v="5891.8706313085668"/>
    <n v="-87730.914974615109"/>
  </r>
  <r>
    <x v="743"/>
    <s v="ACELGA STAND I SGA"/>
    <x v="11"/>
    <s v="SOBRE"/>
    <n v="1190"/>
    <n v="1616.6666666666667"/>
    <x v="7"/>
    <n v="13090"/>
    <n v="17783.333333333336"/>
    <n v="4693.3333333333358"/>
    <n v="81431.961035221175"/>
    <n v="24762.287272727273"/>
    <n v="0"/>
    <n v="119284.24830794845"/>
    <n v="10844.02257344986"/>
    <n v="-101500.91497461512"/>
  </r>
  <r>
    <x v="744"/>
    <s v="YODO HATO BAC x LT"/>
    <x v="5"/>
    <s v="ML"/>
    <n v="23179"/>
    <n v="33550"/>
    <x v="35"/>
    <n v="92716"/>
    <n v="134200"/>
    <n v="41484"/>
    <n v="81431.961035221175"/>
    <n v="24762.287272727273"/>
    <n v="0"/>
    <n v="198910.24830794844"/>
    <n v="49727.562076987109"/>
    <n v="-64710.248307948437"/>
  </r>
  <r>
    <x v="745"/>
    <s v="NOVABRONCOL x LT"/>
    <x v="5"/>
    <s v="LT"/>
    <n v="22243"/>
    <n v="30100"/>
    <x v="18"/>
    <n v="44486"/>
    <n v="60200"/>
    <n v="15714"/>
    <n v="81431.961035221175"/>
    <n v="24762.287272727273"/>
    <n v="0"/>
    <n v="150680.24830794844"/>
    <n v="75340.124153974219"/>
    <n v="-90480.248307948437"/>
  </r>
  <r>
    <x v="746"/>
    <s v="DESARROLLO x KL"/>
    <x v="1"/>
    <s v="KL"/>
    <n v="7200"/>
    <n v="8583.3333333333339"/>
    <x v="116"/>
    <n v="266400"/>
    <n v="317583.33333333337"/>
    <n v="51183.333333333372"/>
    <n v="81431.961035221175"/>
    <n v="24762.287272727273"/>
    <n v="0"/>
    <n v="372594.24830794847"/>
    <n v="10070.114819133742"/>
    <n v="-55010.914974615094"/>
  </r>
  <r>
    <x v="747"/>
    <s v="RETOÑO x 10 KL"/>
    <x v="1"/>
    <s v="KL"/>
    <n v="112300"/>
    <n v="130333.33333333333"/>
    <x v="18"/>
    <n v="224600"/>
    <n v="260666.66666666666"/>
    <n v="36066.666666666657"/>
    <n v="81431.961035221175"/>
    <n v="24762.287272727273"/>
    <n v="0"/>
    <n v="330794.24830794847"/>
    <n v="165397.12415397423"/>
    <n v="-70127.581641281809"/>
  </r>
  <r>
    <x v="748"/>
    <s v="BELAMYL 100 ML"/>
    <x v="5"/>
    <s v="ML"/>
    <n v="76526"/>
    <n v="90533.333333333328"/>
    <x v="7"/>
    <n v="841786"/>
    <n v="995866.66666666663"/>
    <n v="154080.66666666663"/>
    <n v="81431.961035221175"/>
    <n v="24762.287272727273"/>
    <n v="0"/>
    <n v="947980.24830794835"/>
    <n v="86180.022573449853"/>
    <n v="47886.418358718278"/>
  </r>
  <r>
    <x v="749"/>
    <s v="DOG CHOW CACH AZUL x 22.7 KG"/>
    <x v="2"/>
    <s v="KG"/>
    <n v="146399.99849999999"/>
    <n v="165000"/>
    <x v="0"/>
    <n v="0"/>
    <n v="0"/>
    <n v="0"/>
    <n v="81431.961035221175"/>
    <n v="24762.287272727273"/>
    <n v="0"/>
    <n v="252594.24680794842"/>
    <n v="252594.24680794842"/>
    <n v="-252594.24680794842"/>
  </r>
  <r>
    <x v="750"/>
    <s v="AWAKE x LT"/>
    <x v="4"/>
    <s v="LT"/>
    <n v="58500"/>
    <n v="69083.333333333328"/>
    <x v="9"/>
    <n v="936000"/>
    <n v="1105333.3333333333"/>
    <n v="169333.33333333326"/>
    <n v="81431.961035221175"/>
    <n v="24762.287272727273"/>
    <n v="0"/>
    <n v="1042194.2483079483"/>
    <n v="65137.140519246772"/>
    <n v="63139.085025384906"/>
  </r>
  <r>
    <x v="751"/>
    <s v="METSULFURON X kl"/>
    <x v="4"/>
    <s v="GR"/>
    <n v="126000"/>
    <n v="135833.33333333334"/>
    <x v="18"/>
    <n v="252000"/>
    <n v="271666.66666666669"/>
    <n v="19666.666666666686"/>
    <n v="81431.961035221175"/>
    <n v="24762.287272727273"/>
    <n v="0"/>
    <n v="358194.24830794847"/>
    <n v="179097.12415397423"/>
    <n v="-86527.58164128178"/>
  </r>
  <r>
    <x v="752"/>
    <s v="SOLLA CONEJOS x 40 KL"/>
    <x v="2"/>
    <s v="BTO"/>
    <n v="84800"/>
    <n v="89800"/>
    <x v="0"/>
    <n v="0"/>
    <n v="0"/>
    <n v="0"/>
    <n v="81431.961035221175"/>
    <n v="24762.287272727273"/>
    <n v="0"/>
    <n v="190994.24830794844"/>
    <n v="190994.24830794844"/>
    <n v="-190994.24830794844"/>
  </r>
  <r>
    <x v="753"/>
    <s v="FS-402 CONECTOR T MARIPOSA"/>
    <x v="3"/>
    <s v="UND"/>
    <n v="6600"/>
    <n v="7500"/>
    <x v="3"/>
    <n v="66000"/>
    <n v="75000"/>
    <n v="9000"/>
    <n v="81431.961035221175"/>
    <n v="24762.287272727273"/>
    <n v="0"/>
    <n v="172194.24830794844"/>
    <n v="17219.424830794844"/>
    <n v="-97194.248307948437"/>
  </r>
  <r>
    <x v="754"/>
    <s v="RA-123X TUERCA MARIPOSA PLASTICA"/>
    <x v="3"/>
    <s v="UND"/>
    <n v="1175.72"/>
    <n v="1800"/>
    <x v="37"/>
    <n v="17635.8"/>
    <n v="27000"/>
    <n v="9364.2000000000007"/>
    <n v="81431.961035221175"/>
    <n v="24762.287272727273"/>
    <n v="0"/>
    <n v="123830.04830794845"/>
    <n v="8255.3365538632297"/>
    <n v="-96830.048307948455"/>
  </r>
  <r>
    <x v="755"/>
    <s v="PEREJIL LISO x 5GR GERMI"/>
    <x v="11"/>
    <s v="UND"/>
    <n v="1675"/>
    <n v="1866.6666666666667"/>
    <x v="18"/>
    <n v="3350"/>
    <n v="3733.3333333333335"/>
    <n v="383.33333333333348"/>
    <n v="81431.961035221175"/>
    <n v="24762.287272727273"/>
    <n v="0"/>
    <n v="109544.24830794845"/>
    <n v="54772.124153974226"/>
    <n v="-105810.91497461512"/>
  </r>
  <r>
    <x v="756"/>
    <s v="CLORPYRIFOS NUFARM x LT"/>
    <x v="4"/>
    <s v="LT"/>
    <n v="42000"/>
    <n v="50200"/>
    <x v="21"/>
    <n v="504000"/>
    <n v="602400"/>
    <n v="98400"/>
    <n v="81431.961035221175"/>
    <n v="24762.287272727273"/>
    <n v="0"/>
    <n v="610194.24830794835"/>
    <n v="50849.520692329032"/>
    <n v="-7794.24830794835"/>
  </r>
  <r>
    <x v="757"/>
    <s v="EVOFERT CAB ZN X GALON"/>
    <x v="1"/>
    <s v="UND"/>
    <n v="137300"/>
    <n v="162000"/>
    <x v="49"/>
    <n v="1098400"/>
    <n v="1296000"/>
    <n v="197600"/>
    <n v="81431.961035221175"/>
    <n v="24762.287272727273"/>
    <n v="0"/>
    <n v="1204594.2483079485"/>
    <n v="150574.28103849356"/>
    <n v="91405.751692051534"/>
  </r>
  <r>
    <x v="758"/>
    <s v="PALL RIN-D x KL"/>
    <x v="1"/>
    <s v="KL"/>
    <n v="18200"/>
    <n v="21166.666666666668"/>
    <x v="129"/>
    <n v="1073800"/>
    <n v="1248833.3333333335"/>
    <n v="175033.33333333349"/>
    <n v="81431.961035221175"/>
    <n v="24762.287272727273"/>
    <n v="0"/>
    <n v="1179994.2483079485"/>
    <n v="19999.902513694044"/>
    <n v="68839.085025385022"/>
  </r>
  <r>
    <x v="759"/>
    <s v="COMPLEMENTO NV x KL"/>
    <x v="1"/>
    <s v="KL"/>
    <n v="15600"/>
    <n v="18500"/>
    <x v="23"/>
    <n v="343200"/>
    <n v="407000"/>
    <n v="63800"/>
    <n v="81431.961035221175"/>
    <n v="24762.287272727273"/>
    <n v="0"/>
    <n v="449394.24830794847"/>
    <n v="20427.01128672493"/>
    <n v="-42394.248307948466"/>
  </r>
  <r>
    <x v="760"/>
    <s v="MODERGAN NF ORAL x LITRO"/>
    <x v="5"/>
    <s v="ML"/>
    <n v="90872"/>
    <n v="115000"/>
    <x v="17"/>
    <n v="90872"/>
    <n v="115000"/>
    <n v="24128"/>
    <n v="81431.961035221175"/>
    <n v="24762.287272727273"/>
    <n v="0"/>
    <n v="197066.24830794844"/>
    <n v="197066.24830794844"/>
    <n v="-82066.248307948437"/>
  </r>
  <r>
    <x v="761"/>
    <s v="SULPHARVET SOLUBLE 48 % x 20 GR"/>
    <x v="5"/>
    <s v="GR"/>
    <n v="8504"/>
    <n v="10250"/>
    <x v="162"/>
    <n v="850400"/>
    <n v="1025000"/>
    <n v="174600"/>
    <n v="81431.961035221175"/>
    <n v="24762.287272727273"/>
    <n v="0"/>
    <n v="956594.24830794835"/>
    <n v="9565.9424830794833"/>
    <n v="68405.75169205165"/>
  </r>
  <r>
    <x v="762"/>
    <s v="F ENG PARRILLERO x KL"/>
    <x v="2"/>
    <s v="KL"/>
    <n v="2811.7424999999998"/>
    <n v="2966.6666666666665"/>
    <x v="163"/>
    <n v="2516509.5374999996"/>
    <n v="2655166.6666666665"/>
    <n v="138657.12916666688"/>
    <n v="81431.961035221175"/>
    <n v="24762.287272727273"/>
    <n v="0"/>
    <n v="2622703.7858079481"/>
    <n v="2930.3952914055285"/>
    <n v="32462.880858718418"/>
  </r>
  <r>
    <x v="763"/>
    <s v="CIPERMETRINA UPL LITRO"/>
    <x v="4"/>
    <s v="ML"/>
    <n v="25088"/>
    <n v="30600"/>
    <x v="17"/>
    <n v="25088"/>
    <n v="30600"/>
    <n v="5512"/>
    <n v="81431.961035221175"/>
    <n v="24762.287272727273"/>
    <n v="0"/>
    <n v="131282.24830794844"/>
    <n v="131282.24830794844"/>
    <n v="-100682.24830794844"/>
  </r>
  <r>
    <x v="764"/>
    <s v="TYLOCHEM SOBRE X10gr"/>
    <x v="5"/>
    <s v="GR"/>
    <n v="6237"/>
    <n v="8500"/>
    <x v="19"/>
    <n v="174636"/>
    <n v="238000"/>
    <n v="63364"/>
    <n v="81431.961035221175"/>
    <n v="24762.287272727273"/>
    <n v="0"/>
    <n v="280830.24830794847"/>
    <n v="10029.651725283873"/>
    <n v="-42830.248307948466"/>
  </r>
  <r>
    <x v="765"/>
    <s v="R PREMIUM x 2 KL"/>
    <x v="2"/>
    <s v="KL"/>
    <n v="9507.0779999999995"/>
    <n v="11233.333333333334"/>
    <x v="90"/>
    <n v="418311.43199999997"/>
    <n v="494266.66666666669"/>
    <n v="75955.234666666714"/>
    <n v="81431.961035221175"/>
    <n v="24762.287272727273"/>
    <n v="0"/>
    <n v="524505.68030794838"/>
    <n v="11920.583643362463"/>
    <n v="-30239.013641281694"/>
  </r>
  <r>
    <x v="766"/>
    <s v="LECHUGA GRANDES LAGOS x 5 GR GERM"/>
    <x v="11"/>
    <s v="SOBRE"/>
    <n v="3300"/>
    <n v="3566.6666666666665"/>
    <x v="38"/>
    <n v="108900"/>
    <n v="117700"/>
    <n v="8800"/>
    <n v="81431.961035221175"/>
    <n v="24762.287272727273"/>
    <n v="0"/>
    <n v="215094.24830794844"/>
    <n v="6518.007524483286"/>
    <n v="-97394.248307948437"/>
  </r>
  <r>
    <x v="767"/>
    <s v="REPOLLO CORAZON DE BUEY x 3GR SGA"/>
    <x v="11"/>
    <s v="SOB"/>
    <n v="2230"/>
    <n v="2333.3333333333335"/>
    <x v="28"/>
    <n v="15610"/>
    <n v="16333.333333333334"/>
    <n v="723.33333333333394"/>
    <n v="81431.961035221175"/>
    <n v="24762.287272727273"/>
    <n v="0"/>
    <n v="121804.24830794845"/>
    <n v="17400.606901135492"/>
    <n v="-105470.91497461512"/>
  </r>
  <r>
    <x v="768"/>
    <s v="REPOLLO BOLA VERDE x 5 GR GERM"/>
    <x v="11"/>
    <s v="UND"/>
    <n v="850"/>
    <n v="1200"/>
    <x v="37"/>
    <n v="12750"/>
    <n v="18000"/>
    <n v="5250"/>
    <n v="81431.961035221175"/>
    <n v="24762.287272727273"/>
    <n v="0"/>
    <n v="118944.24830794845"/>
    <n v="7929.6165538632304"/>
    <n v="-100944.24830794845"/>
  </r>
  <r>
    <x v="769"/>
    <s v="CEBOLLA CABEZONA x 5 GR"/>
    <x v="11"/>
    <s v="SOB"/>
    <n v="2000"/>
    <n v="2800"/>
    <x v="0"/>
    <n v="0"/>
    <n v="0"/>
    <n v="0"/>
    <n v="81431.961035221175"/>
    <n v="24762.287272727273"/>
    <n v="0"/>
    <n v="108194.24830794845"/>
    <n v="108194.24830794845"/>
    <n v="-108194.24830794845"/>
  </r>
  <r>
    <x v="770"/>
    <s v="TORONJIL x 1 GR"/>
    <x v="11"/>
    <s v="SOB"/>
    <n v="2420"/>
    <n v="2883.3333333333335"/>
    <x v="13"/>
    <n v="7260"/>
    <n v="8650"/>
    <n v="1390"/>
    <n v="81431.961035221175"/>
    <n v="24762.287272727273"/>
    <n v="0"/>
    <n v="113454.24830794845"/>
    <n v="37818.082769316148"/>
    <n v="-104804.24830794845"/>
  </r>
  <r>
    <x v="771"/>
    <s v="PIMENTON STAND II SGA"/>
    <x v="11"/>
    <s v="SOB"/>
    <n v="2230"/>
    <n v="2816.6666666666665"/>
    <x v="44"/>
    <n v="37910"/>
    <n v="47883.333333333328"/>
    <n v="9973.3333333333285"/>
    <n v="81431.961035221175"/>
    <n v="24762.287272727273"/>
    <n v="0"/>
    <n v="144104.24830794844"/>
    <n v="8476.7204887028493"/>
    <n v="-96220.914974615109"/>
  </r>
  <r>
    <x v="772"/>
    <s v="CEBOLLA ROJA x 5 GR GERM"/>
    <x v="11"/>
    <s v="SOBRE"/>
    <n v="1600"/>
    <n v="2200"/>
    <x v="31"/>
    <n v="14400"/>
    <n v="19800"/>
    <n v="5400"/>
    <n v="81431.961035221175"/>
    <n v="24762.287272727273"/>
    <n v="0"/>
    <n v="120594.24830794845"/>
    <n v="13399.360923105383"/>
    <n v="-100794.24830794845"/>
  </r>
  <r>
    <x v="773"/>
    <s v="REMOLACHA x 5 GR IMPULSEMILLAS"/>
    <x v="11"/>
    <s v="SOB"/>
    <n v="1190"/>
    <n v="1400"/>
    <x v="28"/>
    <n v="8330"/>
    <n v="9800"/>
    <n v="1470"/>
    <n v="81431.961035221175"/>
    <n v="24762.287272727273"/>
    <n v="0"/>
    <n v="114524.24830794845"/>
    <n v="16360.606901135494"/>
    <n v="-104724.24830794845"/>
  </r>
  <r>
    <x v="774"/>
    <s v="F MOJARRA AL 25% ENG BT"/>
    <x v="2"/>
    <s v="bt"/>
    <n v="115489.5"/>
    <n v="132150"/>
    <x v="164"/>
    <n v="3291450.75"/>
    <n v="3766275"/>
    <n v="474824.25"/>
    <n v="81431.961035221175"/>
    <n v="24762.287272727273"/>
    <n v="0"/>
    <n v="3397644.9983079485"/>
    <n v="119215.6139757175"/>
    <n v="368630.00169205153"/>
  </r>
  <r>
    <x v="775"/>
    <s v="PEGAL PH x 150 CC"/>
    <x v="1"/>
    <s v="UND"/>
    <n v="8133.65"/>
    <n v="9500"/>
    <x v="30"/>
    <n v="244009.5"/>
    <n v="285000"/>
    <n v="40990.5"/>
    <n v="81431.961035221175"/>
    <n v="24762.287272727273"/>
    <n v="0"/>
    <n v="350203.74830794847"/>
    <n v="11673.458276931615"/>
    <n v="-65203.748307948466"/>
  </r>
  <r>
    <x v="776"/>
    <s v="DOG CHOW ADULT x 4 KL ROJO"/>
    <x v="2"/>
    <s v="kl"/>
    <n v="38000.004000000001"/>
    <n v="43866.666666666664"/>
    <x v="31"/>
    <n v="342000.03600000002"/>
    <n v="394800"/>
    <n v="52799.963999999978"/>
    <n v="81431.961035221175"/>
    <n v="24762.287272727273"/>
    <n v="0"/>
    <n v="448194.28430794849"/>
    <n v="49799.364923105386"/>
    <n v="-53394.284307948488"/>
  </r>
  <r>
    <x v="777"/>
    <s v="DOG CHOW CACH VERDE x 2 KL"/>
    <x v="2"/>
    <s v="KL"/>
    <n v="20700.004499999999"/>
    <n v="24550"/>
    <x v="35"/>
    <n v="82800.017999999996"/>
    <n v="98200"/>
    <n v="15399.982000000004"/>
    <n v="81431.961035221175"/>
    <n v="24762.287272727273"/>
    <n v="0"/>
    <n v="188994.26630794842"/>
    <n v="47248.566576987105"/>
    <n v="-90794.266307948419"/>
  </r>
  <r>
    <x v="778"/>
    <s v="DOG CHOW CACH x 4 KL (VERDE)"/>
    <x v="2"/>
    <s v="UND"/>
    <n v="36699.999000000003"/>
    <n v="46716.666666666664"/>
    <x v="49"/>
    <n v="293599.99200000003"/>
    <n v="373733.33333333331"/>
    <n v="80133.341333333286"/>
    <n v="81431.961035221175"/>
    <n v="24762.287272727273"/>
    <n v="0"/>
    <n v="399794.24030794849"/>
    <n v="49974.280038493562"/>
    <n v="-26060.90697461518"/>
  </r>
  <r>
    <x v="779"/>
    <s v="F MOJARRA 20% ENG x 40 KL"/>
    <x v="2"/>
    <s v="KL"/>
    <n v="102221.7"/>
    <n v="118566.66666666667"/>
    <x v="165"/>
    <n v="1584436.3499999999"/>
    <n v="1837783.3333333335"/>
    <n v="253346.98333333363"/>
    <n v="81431.961035221175"/>
    <n v="24762.287272727273"/>
    <n v="0"/>
    <n v="1690630.5983079483"/>
    <n v="109072.94182631925"/>
    <n v="147152.73502538516"/>
  </r>
  <r>
    <x v="780"/>
    <s v="CACODIL x 50 ML"/>
    <x v="5"/>
    <s v="ML"/>
    <n v="21739"/>
    <n v="22500"/>
    <x v="0"/>
    <n v="0"/>
    <n v="0"/>
    <n v="0"/>
    <n v="81431.961035221175"/>
    <n v="24762.287272727273"/>
    <n v="0"/>
    <n v="127933.24830794845"/>
    <n v="127933.24830794845"/>
    <n v="-127933.24830794845"/>
  </r>
  <r>
    <x v="781"/>
    <s v="CUTAMYCON LOCION FCO x 50 ML"/>
    <x v="5"/>
    <s v="ML"/>
    <n v="20316"/>
    <n v="23416.666666666668"/>
    <x v="15"/>
    <n v="121896"/>
    <n v="140500"/>
    <n v="18604"/>
    <n v="81431.961035221175"/>
    <n v="24762.287272727273"/>
    <n v="0"/>
    <n v="228090.24830794844"/>
    <n v="38015.04138465807"/>
    <n v="-87590.248307948437"/>
  </r>
  <r>
    <x v="782"/>
    <s v="EL ALEMAN (PARAQUAT) x GALON"/>
    <x v="10"/>
    <s v="GALON"/>
    <n v="103950"/>
    <n v="118500"/>
    <x v="24"/>
    <n v="2702700"/>
    <n v="3081000"/>
    <n v="378300"/>
    <n v="81431.961035221175"/>
    <n v="24762.287272727273"/>
    <n v="0"/>
    <n v="2808894.2483079485"/>
    <n v="108034.39416569032"/>
    <n v="272105.75169205153"/>
  </r>
  <r>
    <x v="783"/>
    <s v="CALCIO EN HELADO"/>
    <x v="5"/>
    <s v="UND"/>
    <n v="557"/>
    <n v="700"/>
    <x v="16"/>
    <n v="31192"/>
    <n v="39200"/>
    <n v="8008"/>
    <n v="81431.961035221175"/>
    <n v="24762.287272727273"/>
    <n v="0"/>
    <n v="137386.24830794844"/>
    <n v="2453.3258626419365"/>
    <n v="-98186.248307948437"/>
  </r>
  <r>
    <x v="784"/>
    <s v="SUPRESOR x 100 CC"/>
    <x v="6"/>
    <s v="CC"/>
    <n v="36081"/>
    <n v="42500"/>
    <x v="31"/>
    <n v="324729"/>
    <n v="382500"/>
    <n v="57771"/>
    <n v="81431.961035221175"/>
    <n v="24762.287272727273"/>
    <n v="0"/>
    <n v="430923.24830794847"/>
    <n v="47880.360923105385"/>
    <n v="-48423.248307948466"/>
  </r>
  <r>
    <x v="785"/>
    <s v="MALLA CUADRADA x ROLLO BLANCO"/>
    <x v="9"/>
    <s v="ROLLO"/>
    <n v="162792"/>
    <n v="186200"/>
    <x v="0"/>
    <n v="0"/>
    <n v="0"/>
    <n v="0"/>
    <n v="81431.961035221175"/>
    <n v="24762.287272727273"/>
    <n v="0"/>
    <n v="268986.24830794847"/>
    <n v="268986.24830794847"/>
    <n v="-268986.24830794847"/>
  </r>
  <r>
    <x v="786"/>
    <s v="ROUNDUP ACTIVO x 10 LT"/>
    <x v="10"/>
    <s v="LT"/>
    <n v="157435.9"/>
    <n v="182000"/>
    <x v="0"/>
    <n v="0"/>
    <n v="0"/>
    <n v="0"/>
    <n v="81431.961035221175"/>
    <n v="24762.287272727273"/>
    <n v="0"/>
    <n v="263630.14830794843"/>
    <n v="263630.14830794843"/>
    <n v="-263630.14830794843"/>
  </r>
  <r>
    <x v="787"/>
    <s v="TERMINATOR x 20 CC"/>
    <x v="5"/>
    <s v="CC"/>
    <n v="5831"/>
    <n v="11416.666666666666"/>
    <x v="26"/>
    <n v="29155"/>
    <n v="57083.333333333328"/>
    <n v="27928.333333333328"/>
    <n v="81431.961035221175"/>
    <n v="24762.287272727273"/>
    <n v="0"/>
    <n v="135349.24830794844"/>
    <n v="27069.849661589687"/>
    <n v="-78265.914974615109"/>
  </r>
  <r>
    <x v="788"/>
    <s v="FENLAK X 120 CC"/>
    <x v="5"/>
    <s v="CC"/>
    <n v="20831"/>
    <n v="25500"/>
    <x v="35"/>
    <n v="83324"/>
    <n v="102000"/>
    <n v="18676"/>
    <n v="81431.961035221175"/>
    <n v="24762.287272727273"/>
    <n v="0"/>
    <n v="189518.24830794844"/>
    <n v="47379.562076987109"/>
    <n v="-87518.248307948437"/>
  </r>
  <r>
    <x v="789"/>
    <s v="EQUIPUR x 20 GR"/>
    <x v="5"/>
    <s v="UND"/>
    <n v="6900"/>
    <n v="9500"/>
    <x v="0"/>
    <n v="0"/>
    <n v="0"/>
    <n v="0"/>
    <n v="81431.961035221175"/>
    <n v="24762.287272727273"/>
    <n v="0"/>
    <n v="113094.24830794845"/>
    <n v="113094.24830794845"/>
    <n v="-113094.24830794845"/>
  </r>
  <r>
    <x v="790"/>
    <s v="DORAMEC PROLONGER x 250 ML"/>
    <x v="5"/>
    <s v="LT"/>
    <n v="83334"/>
    <n v="98000"/>
    <x v="0"/>
    <n v="0"/>
    <n v="0"/>
    <n v="0"/>
    <n v="81431.961035221175"/>
    <n v="24762.287272727273"/>
    <n v="0"/>
    <n v="189528.24830794844"/>
    <n v="189528.24830794844"/>
    <n v="-189528.24830794844"/>
  </r>
  <r>
    <x v="791"/>
    <s v="ASTER MEZCLA COLORES"/>
    <x v="11"/>
    <s v="SOB"/>
    <n v="2800"/>
    <n v="3483.3333333333335"/>
    <x v="28"/>
    <n v="19600"/>
    <n v="24383.333333333336"/>
    <n v="4783.3333333333358"/>
    <n v="81431.961035221175"/>
    <n v="24762.287272727273"/>
    <n v="0"/>
    <n v="125794.24830794845"/>
    <n v="17970.606901135492"/>
    <n v="-101410.91497461512"/>
  </r>
  <r>
    <x v="792"/>
    <s v="DALIA DOBLE MEZCLA"/>
    <x v="11"/>
    <s v="SOB"/>
    <n v="2800"/>
    <n v="3366.6666666666665"/>
    <x v="49"/>
    <n v="22400"/>
    <n v="26933.333333333332"/>
    <n v="4533.3333333333321"/>
    <n v="81431.961035221175"/>
    <n v="24762.287272727273"/>
    <n v="0"/>
    <n v="128594.24830794845"/>
    <n v="16074.281038493556"/>
    <n v="-101660.91497461512"/>
  </r>
  <r>
    <x v="793"/>
    <s v="HABICHUELA SGA x 454"/>
    <x v="11"/>
    <s v="KL"/>
    <n v="18700"/>
    <n v="21833.333333333332"/>
    <x v="38"/>
    <n v="617100"/>
    <n v="720500"/>
    <n v="103400"/>
    <n v="81431.961035221175"/>
    <n v="24762.287272727273"/>
    <n v="0"/>
    <n v="723294.24830794835"/>
    <n v="21918.007524483284"/>
    <n v="-2794.24830794835"/>
  </r>
  <r>
    <x v="794"/>
    <s v="CEBOLLA LARGA SGA STAND I"/>
    <x v="11"/>
    <s v="SOBRE"/>
    <n v="1190"/>
    <n v="1800"/>
    <x v="39"/>
    <n v="28560"/>
    <n v="43200"/>
    <n v="14640"/>
    <n v="81431.961035221175"/>
    <n v="24762.287272727273"/>
    <n v="0"/>
    <n v="134754.24830794844"/>
    <n v="5614.7603461645185"/>
    <n v="-91554.248307948437"/>
  </r>
  <r>
    <x v="795"/>
    <s v="CEBOLLA LARGA  X 1GR GERM"/>
    <x v="11"/>
    <s v="SOBRE"/>
    <n v="600"/>
    <n v="950"/>
    <x v="13"/>
    <n v="1800"/>
    <n v="2850"/>
    <n v="1050"/>
    <n v="81431.961035221175"/>
    <n v="24762.287272727273"/>
    <n v="0"/>
    <n v="107994.24830794845"/>
    <n v="35998.082769316148"/>
    <n v="-105144.24830794845"/>
  </r>
  <r>
    <x v="796"/>
    <s v="CILANTRO PATRIMORADO STAND FERCON"/>
    <x v="11"/>
    <s v="SOBRE"/>
    <n v="1480"/>
    <n v="1700"/>
    <x v="24"/>
    <n v="38480"/>
    <n v="44200"/>
    <n v="5720"/>
    <n v="81431.961035221175"/>
    <n v="24762.287272727273"/>
    <n v="0"/>
    <n v="144674.24830794844"/>
    <n v="5564.3941656903244"/>
    <n v="-100474.24830794844"/>
  </r>
  <r>
    <x v="797"/>
    <s v="GUSANTROL x 500 ML"/>
    <x v="5"/>
    <s v="GR"/>
    <n v="20664"/>
    <n v="25133.333333333332"/>
    <x v="13"/>
    <n v="61992"/>
    <n v="75400"/>
    <n v="13408"/>
    <n v="81431.961035221175"/>
    <n v="24762.287272727273"/>
    <n v="0"/>
    <n v="168186.24830794844"/>
    <n v="56062.082769316148"/>
    <n v="-92786.248307948437"/>
  </r>
  <r>
    <x v="798"/>
    <s v="OXITETRACICLINA 50 MK X 250 ML"/>
    <x v="5"/>
    <s v="ML"/>
    <n v="22824"/>
    <n v="28100"/>
    <x v="15"/>
    <n v="136944"/>
    <n v="168600"/>
    <n v="31656"/>
    <n v="81431.961035221175"/>
    <n v="24762.287272727273"/>
    <n v="0"/>
    <n v="243138.24830794844"/>
    <n v="40523.04138465807"/>
    <n v="-74538.248307948437"/>
  </r>
  <r>
    <x v="799"/>
    <s v="CHUNKY  CACHORRO 9KL"/>
    <x v="2"/>
    <s v="KL"/>
    <n v="63700.000099999997"/>
    <n v="69083.333333333328"/>
    <x v="37"/>
    <n v="955500.00150000001"/>
    <n v="1036249.9999999999"/>
    <n v="80749.998499999871"/>
    <n v="81431.961035221175"/>
    <n v="24762.287272727273"/>
    <n v="0"/>
    <n v="1061694.2498079485"/>
    <n v="70779.616653863239"/>
    <n v="-25444.249807948596"/>
  </r>
  <r>
    <x v="800"/>
    <s v="CHUNKY ADULTO x 9KL"/>
    <x v="2"/>
    <s v="KL"/>
    <n v="56500"/>
    <n v="61316.666666666664"/>
    <x v="11"/>
    <n v="1299500"/>
    <n v="1410283.3333333333"/>
    <n v="110783.33333333326"/>
    <n v="81431.961035221175"/>
    <n v="24762.287272727273"/>
    <n v="0"/>
    <n v="1405694.2483079485"/>
    <n v="61117.141230780369"/>
    <n v="4589.0850253847893"/>
  </r>
  <r>
    <x v="801"/>
    <s v="ZINTRAC MGB x LT"/>
    <x v="1"/>
    <s v="LT"/>
    <n v="44000"/>
    <n v="52000"/>
    <x v="0"/>
    <n v="0"/>
    <n v="0"/>
    <n v="0"/>
    <n v="81431.961035221175"/>
    <n v="24762.287272727273"/>
    <n v="0"/>
    <n v="150194.24830794844"/>
    <n v="150194.24830794844"/>
    <n v="-150194.24830794844"/>
  </r>
  <r>
    <x v="802"/>
    <s v="CUFIGA 80 WP x 500 GR"/>
    <x v="6"/>
    <s v="GR"/>
    <n v="10800"/>
    <n v="14500"/>
    <x v="0"/>
    <n v="0"/>
    <n v="0"/>
    <n v="0"/>
    <n v="81431.961035221175"/>
    <n v="24762.287272727273"/>
    <n v="0"/>
    <n v="116994.24830794845"/>
    <n v="116994.24830794845"/>
    <n v="-116994.24830794845"/>
  </r>
  <r>
    <x v="803"/>
    <s v="FOSTAL 80 WP x 500 GR"/>
    <x v="6"/>
    <s v="GR"/>
    <n v="13563"/>
    <n v="26000"/>
    <x v="13"/>
    <n v="40689"/>
    <n v="78000"/>
    <n v="37311"/>
    <n v="81431.961035221175"/>
    <n v="24762.287272727273"/>
    <n v="0"/>
    <n v="146883.24830794844"/>
    <n v="48961.082769316148"/>
    <n v="-68883.248307948437"/>
  </r>
  <r>
    <x v="804"/>
    <s v="RESCATE SOB x 150 GR"/>
    <x v="4"/>
    <s v="GR"/>
    <n v="51600"/>
    <n v="56000"/>
    <x v="0"/>
    <n v="0"/>
    <n v="0"/>
    <n v="0"/>
    <n v="81431.961035221175"/>
    <n v="24762.287272727273"/>
    <n v="0"/>
    <n v="157794.24830794844"/>
    <n v="157794.24830794844"/>
    <n v="-157794.24830794844"/>
  </r>
  <r>
    <x v="805"/>
    <s v="NEFASTO x 100 GR"/>
    <x v="4"/>
    <s v="GR"/>
    <n v="36300"/>
    <n v="39666.666666666664"/>
    <x v="26"/>
    <n v="181500"/>
    <n v="198333.33333333331"/>
    <n v="16833.333333333314"/>
    <n v="81431.961035221175"/>
    <n v="24762.287272727273"/>
    <n v="0"/>
    <n v="287694.24830794847"/>
    <n v="57538.849661589695"/>
    <n v="-89360.914974615152"/>
  </r>
  <r>
    <x v="806"/>
    <s v="ESTELAR x GL"/>
    <x v="10"/>
    <s v="GL"/>
    <n v="219273.3"/>
    <n v="255533.33333333334"/>
    <x v="15"/>
    <n v="1315639.7999999998"/>
    <n v="1533200"/>
    <n v="217560.20000000019"/>
    <n v="81431.961035221175"/>
    <n v="24762.287272727273"/>
    <n v="0"/>
    <n v="1421834.0483079483"/>
    <n v="236972.34138465804"/>
    <n v="111365.95169205172"/>
  </r>
  <r>
    <x v="807"/>
    <s v="MITIPYR x 100 CC"/>
    <x v="4"/>
    <s v="CC"/>
    <n v="24950"/>
    <n v="28500"/>
    <x v="28"/>
    <n v="174650"/>
    <n v="199500"/>
    <n v="24850"/>
    <n v="81431.961035221175"/>
    <n v="24762.287272727273"/>
    <n v="0"/>
    <n v="280844.24830794847"/>
    <n v="40120.606901135492"/>
    <n v="-81344.248307948466"/>
  </r>
  <r>
    <x v="808"/>
    <s v="ZINPAR x TABLETA (GARRAPATICIDA)"/>
    <x v="5"/>
    <s v="TABLETA"/>
    <n v="1253.6774"/>
    <n v="1600"/>
    <x v="86"/>
    <n v="181783.223"/>
    <n v="232000"/>
    <n v="50216.777000000002"/>
    <n v="81431.961035221175"/>
    <n v="24762.287272727273"/>
    <n v="0"/>
    <n v="287977.47130794846"/>
    <n v="1986.0515262617137"/>
    <n v="-55977.471307948465"/>
  </r>
  <r>
    <x v="809"/>
    <s v="CALFON ENERGY x 350 ML"/>
    <x v="5"/>
    <s v="ML"/>
    <n v="37854.6"/>
    <n v="46333.333333333336"/>
    <x v="31"/>
    <n v="340691.39999999997"/>
    <n v="417000"/>
    <n v="76308.600000000035"/>
    <n v="81431.961035221175"/>
    <n v="24762.287272727273"/>
    <n v="0"/>
    <n v="446885.64830794843"/>
    <n v="49653.960923105384"/>
    <n v="-29885.648307948431"/>
  </r>
  <r>
    <x v="810"/>
    <s v="ESPECIFICO HATO x 60 ML"/>
    <x v="5"/>
    <s v="ML"/>
    <n v="3084"/>
    <n v="4250"/>
    <x v="52"/>
    <n v="107940"/>
    <n v="148750"/>
    <n v="40810"/>
    <n v="81431.961035221175"/>
    <n v="24762.287272727273"/>
    <n v="0"/>
    <n v="214134.24830794844"/>
    <n v="6118.1213802270986"/>
    <n v="-65384.248307948437"/>
  </r>
  <r>
    <x v="811"/>
    <s v="YODO HATOBACT x 500 ML"/>
    <x v="5"/>
    <s v="ML"/>
    <n v="18517"/>
    <n v="22500"/>
    <x v="17"/>
    <n v="18517"/>
    <n v="22500"/>
    <n v="3983"/>
    <n v="81431.961035221175"/>
    <n v="24762.287272727273"/>
    <n v="0"/>
    <n v="124711.24830794845"/>
    <n v="124711.24830794845"/>
    <n v="-102211.24830794845"/>
  </r>
  <r>
    <x v="812"/>
    <s v="YODO HATOBACT x 250 ML"/>
    <x v="5"/>
    <s v="ML"/>
    <n v="11086"/>
    <n v="13800"/>
    <x v="26"/>
    <n v="55430"/>
    <n v="69000"/>
    <n v="13570"/>
    <n v="81431.961035221175"/>
    <n v="24762.287272727273"/>
    <n v="0"/>
    <n v="161624.24830794844"/>
    <n v="32324.849661589687"/>
    <n v="-92624.248307948437"/>
  </r>
  <r>
    <x v="813"/>
    <s v="BOQUILLA CUATRO CHORROS AMARILLA"/>
    <x v="3"/>
    <s v="UND"/>
    <n v="10115"/>
    <n v="13500"/>
    <x v="67"/>
    <n v="192185"/>
    <n v="256500"/>
    <n v="64315"/>
    <n v="81431.961035221175"/>
    <n v="24762.287272727273"/>
    <n v="0"/>
    <n v="298379.24830794847"/>
    <n v="15704.170963576234"/>
    <n v="-41879.248307948466"/>
  </r>
  <r>
    <x v="814"/>
    <s v="15-4-24-5  MANUCHAR"/>
    <x v="0"/>
    <s v="BULTO"/>
    <n v="169500"/>
    <n v="189000"/>
    <x v="166"/>
    <n v="43222500"/>
    <n v="48195000"/>
    <n v="4972500"/>
    <n v="81431.961035221175"/>
    <n v="24762.287272727273"/>
    <n v="0"/>
    <n v="43328694.248307951"/>
    <n v="169916.4480325802"/>
    <n v="4866305.7516920492"/>
  </r>
  <r>
    <x v="815"/>
    <s v="SPECIAL ANDINO x 50 KL"/>
    <x v="0"/>
    <s v="BULTO"/>
    <n v="175000"/>
    <n v="187500"/>
    <x v="167"/>
    <n v="51975000"/>
    <n v="55687500"/>
    <n v="3712500"/>
    <n v="81431.961035221175"/>
    <n v="24762.287272727273"/>
    <n v="0"/>
    <n v="52081194.248307951"/>
    <n v="175357.55639160925"/>
    <n v="3606305.7516920492"/>
  </r>
  <r>
    <x v="816"/>
    <s v="ESCOBA PLASTICA 26 DIENTES"/>
    <x v="9"/>
    <s v="UND"/>
    <n v="13284.9696"/>
    <n v="15200"/>
    <x v="15"/>
    <n v="79709.817600000009"/>
    <n v="91200"/>
    <n v="11490.182399999991"/>
    <n v="81431.961035221175"/>
    <n v="24762.287272727273"/>
    <n v="0"/>
    <n v="185904.06590794845"/>
    <n v="30984.010984658074"/>
    <n v="-94704.065907948447"/>
  </r>
  <r>
    <x v="817"/>
    <s v="SAL SOMEX MB x BTO 40 KL"/>
    <x v="2"/>
    <s v="BULTO"/>
    <n v="63976.5"/>
    <n v="70100"/>
    <x v="19"/>
    <n v="1791342"/>
    <n v="1962800"/>
    <n v="171458"/>
    <n v="81431.961035221175"/>
    <n v="24762.287272727273"/>
    <n v="0"/>
    <n v="1897536.2483079485"/>
    <n v="67769.151725283868"/>
    <n v="65263.751692051534"/>
  </r>
  <r>
    <x v="818"/>
    <s v="SAL SOMEX SMG x 40 KL"/>
    <x v="2"/>
    <s v="BULTO"/>
    <n v="46966.5"/>
    <n v="53550"/>
    <x v="102"/>
    <n v="1784727"/>
    <n v="2034900"/>
    <n v="250173"/>
    <n v="81431.961035221175"/>
    <n v="24762.287272727273"/>
    <n v="0"/>
    <n v="1890921.2483079485"/>
    <n v="49761.085481788119"/>
    <n v="143978.75169205153"/>
  </r>
  <r>
    <x v="819"/>
    <s v="BELAMYL x 50 CC"/>
    <x v="5"/>
    <s v="CC"/>
    <n v="49211"/>
    <n v="58000"/>
    <x v="31"/>
    <n v="442899"/>
    <n v="522000"/>
    <n v="79101"/>
    <n v="81431.961035221175"/>
    <n v="24762.287272727273"/>
    <n v="0"/>
    <n v="549093.24830794835"/>
    <n v="61010.360923105371"/>
    <n v="-27093.24830794835"/>
  </r>
  <r>
    <x v="820"/>
    <s v="PROMOTOR x KL"/>
    <x v="1"/>
    <s v="KILO"/>
    <n v="11950"/>
    <n v="14000"/>
    <x v="24"/>
    <n v="310700"/>
    <n v="364000"/>
    <n v="53300"/>
    <n v="81431.961035221175"/>
    <n v="24762.287272727273"/>
    <n v="0"/>
    <n v="416894.24830794847"/>
    <n v="16034.394165690326"/>
    <n v="-52894.248307948466"/>
  </r>
  <r>
    <x v="821"/>
    <s v="BRIGTH x 60 GR"/>
    <x v="4"/>
    <s v="GR"/>
    <n v="11000"/>
    <n v="15000"/>
    <x v="18"/>
    <n v="22000"/>
    <n v="30000"/>
    <n v="8000"/>
    <n v="81431.961035221175"/>
    <n v="24762.287272727273"/>
    <n v="0"/>
    <n v="128194.24830794845"/>
    <n v="64097.124153974226"/>
    <n v="-98194.248307948452"/>
  </r>
  <r>
    <x v="822"/>
    <s v="PURGANTOL COJIN x 30 ML"/>
    <x v="5"/>
    <s v="ML"/>
    <n v="1034"/>
    <n v="1600"/>
    <x v="7"/>
    <n v="11374"/>
    <n v="17600"/>
    <n v="6226"/>
    <n v="81431.961035221175"/>
    <n v="24762.287272727273"/>
    <n v="0"/>
    <n v="117568.24830794845"/>
    <n v="10688.02257344986"/>
    <n v="-99968.248307948452"/>
  </r>
  <r>
    <x v="823"/>
    <s v="SAL SOMEX CALCILECHE 12% BULTO"/>
    <x v="2"/>
    <s v="KL"/>
    <n v="108202.5"/>
    <n v="119366.66666666667"/>
    <x v="19"/>
    <n v="3029670"/>
    <n v="3342266.666666667"/>
    <n v="312596.66666666698"/>
    <n v="81431.961035221175"/>
    <n v="24762.287272727273"/>
    <n v="0"/>
    <n v="3135864.2483079485"/>
    <n v="111995.15172528387"/>
    <n v="206402.41835871851"/>
  </r>
  <r>
    <x v="824"/>
    <s v="VETAPEN x 1'500"/>
    <x v="5"/>
    <s v="UND"/>
    <n v="9510"/>
    <n v="11000"/>
    <x v="0"/>
    <n v="0"/>
    <n v="0"/>
    <n v="0"/>
    <n v="81431.961035221175"/>
    <n v="24762.287272727273"/>
    <n v="0"/>
    <n v="115704.24830794845"/>
    <n v="115704.24830794845"/>
    <n v="-115704.24830794845"/>
  </r>
  <r>
    <x v="825"/>
    <s v="VETAPEN x 6'000"/>
    <x v="5"/>
    <s v="UND"/>
    <n v="31700"/>
    <n v="37000"/>
    <x v="0"/>
    <n v="0"/>
    <n v="0"/>
    <n v="0"/>
    <n v="81431.961035221175"/>
    <n v="24762.287272727273"/>
    <n v="0"/>
    <n v="137894.24830794844"/>
    <n v="137894.24830794844"/>
    <n v="-137894.24830794844"/>
  </r>
  <r>
    <x v="826"/>
    <s v="VETAPEN x 9'000"/>
    <x v="5"/>
    <s v="UND"/>
    <n v="13900"/>
    <n v="18800"/>
    <x v="0"/>
    <n v="0"/>
    <n v="0"/>
    <n v="0"/>
    <n v="81431.961035221175"/>
    <n v="24762.287272727273"/>
    <n v="0"/>
    <n v="120094.24830794845"/>
    <n v="120094.24830794845"/>
    <n v="-120094.24830794845"/>
  </r>
  <r>
    <x v="827"/>
    <s v="Q-IDA CAN CACHORRO x 15 KL"/>
    <x v="2"/>
    <s v="KL"/>
    <n v="63400"/>
    <n v="68633.333333333328"/>
    <x v="21"/>
    <n v="760800"/>
    <n v="823600"/>
    <n v="62800"/>
    <n v="81431.961035221175"/>
    <n v="24762.287272727273"/>
    <n v="0"/>
    <n v="866994.24830794835"/>
    <n v="72249.520692329024"/>
    <n v="-43394.24830794835"/>
  </r>
  <r>
    <x v="828"/>
    <s v="CARBENDAZIM x GALON"/>
    <x v="6"/>
    <s v="GALON"/>
    <n v="91800"/>
    <n v="81000"/>
    <x v="0"/>
    <n v="0"/>
    <n v="0"/>
    <n v="0"/>
    <n v="81431.961035221175"/>
    <n v="24762.287272727273"/>
    <n v="0"/>
    <n v="197994.24830794844"/>
    <n v="197994.24830794844"/>
    <n v="-197994.24830794844"/>
  </r>
  <r>
    <x v="829"/>
    <s v="F TERNERA NODRIZA PAST"/>
    <x v="2"/>
    <s v="BULTO"/>
    <n v="88558.05"/>
    <n v="104483.33333333333"/>
    <x v="59"/>
    <n v="8811525.9749999996"/>
    <n v="10396091.666666666"/>
    <n v="1584565.6916666664"/>
    <n v="81431.961035221175"/>
    <n v="24762.287272727273"/>
    <n v="0"/>
    <n v="8917720.2233079486"/>
    <n v="89625.328877466818"/>
    <n v="1478371.4433587175"/>
  </r>
  <r>
    <x v="830"/>
    <s v="HORQUETAS"/>
    <x v="3"/>
    <s v="UND"/>
    <n v="11999.96"/>
    <n v="14600"/>
    <x v="18"/>
    <n v="23999.919999999998"/>
    <n v="29200"/>
    <n v="5200.0800000000017"/>
    <n v="81431.961035221175"/>
    <n v="24762.287272727273"/>
    <n v="0"/>
    <n v="130194.16830794845"/>
    <n v="65097.084153974225"/>
    <n v="-100994.16830794845"/>
  </r>
  <r>
    <x v="831"/>
    <s v="FS-401 CONECTOR SIMPLE ESTACIONARIA"/>
    <x v="3"/>
    <s v="UND"/>
    <n v="2550"/>
    <n v="3400"/>
    <x v="9"/>
    <n v="40800"/>
    <n v="54400"/>
    <n v="13600"/>
    <n v="81431.961035221175"/>
    <n v="24762.287272727273"/>
    <n v="0"/>
    <n v="146994.24830794844"/>
    <n v="9187.1405192467773"/>
    <n v="-92594.248307948437"/>
  </r>
  <r>
    <x v="832"/>
    <s v="AGUJA 16'1 INTRAMUSCULAR"/>
    <x v="8"/>
    <s v="UND"/>
    <n v="1042"/>
    <n v="1400"/>
    <x v="0"/>
    <n v="0"/>
    <n v="0"/>
    <n v="0"/>
    <n v="81431.961035221175"/>
    <n v="24762.287272727273"/>
    <n v="0"/>
    <n v="107236.24830794845"/>
    <n v="107236.24830794845"/>
    <n v="-107236.24830794845"/>
  </r>
  <r>
    <x v="833"/>
    <s v="LIMA ECONOMICA"/>
    <x v="7"/>
    <s v="UND"/>
    <n v="3502.5983999999999"/>
    <n v="5800"/>
    <x v="9"/>
    <n v="56041.574399999998"/>
    <n v="92800"/>
    <n v="36758.425600000002"/>
    <n v="81431.961035221175"/>
    <n v="24762.287272727273"/>
    <n v="0"/>
    <n v="162235.82270794842"/>
    <n v="10139.738919246776"/>
    <n v="-69435.82270794842"/>
  </r>
  <r>
    <x v="834"/>
    <s v="LIMA MOTOSIERRA"/>
    <x v="7"/>
    <s v="UND"/>
    <n v="4591.0200000000004"/>
    <n v="5800"/>
    <x v="15"/>
    <n v="27546.120000000003"/>
    <n v="34800"/>
    <n v="7253.8799999999974"/>
    <n v="81431.961035221175"/>
    <n v="24762.287272727273"/>
    <n v="0"/>
    <n v="133740.36830794843"/>
    <n v="22290.061384658071"/>
    <n v="-98940.368307948433"/>
  </r>
  <r>
    <x v="835"/>
    <s v="N-LARGE  x 100 CC"/>
    <x v="1"/>
    <s v="CC"/>
    <n v="27700"/>
    <n v="33166.666666666664"/>
    <x v="23"/>
    <n v="609400"/>
    <n v="729666.66666666663"/>
    <n v="120266.66666666663"/>
    <n v="81431.961035221175"/>
    <n v="24762.287272727273"/>
    <n v="0"/>
    <n v="715594.24830794835"/>
    <n v="32527.011286724926"/>
    <n v="14072.418358718278"/>
  </r>
  <r>
    <x v="836"/>
    <s v="QUINOCALF x LT"/>
    <x v="5"/>
    <s v="UND"/>
    <n v="40147.2857"/>
    <n v="51566.666666666664"/>
    <x v="31"/>
    <n v="361325.57130000001"/>
    <n v="464100"/>
    <n v="102774.42869999999"/>
    <n v="81431.961035221175"/>
    <n v="24762.287272727273"/>
    <n v="0"/>
    <n v="467519.81960794848"/>
    <n v="51946.646623105386"/>
    <n v="-3419.8196079484769"/>
  </r>
  <r>
    <x v="837"/>
    <s v="CALSYN FCO x 120 ML"/>
    <x v="5"/>
    <s v="ML"/>
    <n v="13688"/>
    <n v="15800"/>
    <x v="13"/>
    <n v="41064"/>
    <n v="47400"/>
    <n v="6336"/>
    <n v="81431.961035221175"/>
    <n v="24762.287272727273"/>
    <n v="0"/>
    <n v="147258.24830794844"/>
    <n v="49086.082769316148"/>
    <n v="-99858.248307948437"/>
  </r>
  <r>
    <x v="838"/>
    <s v="ZAKOR AVES x 500 TAB"/>
    <x v="5"/>
    <s v="UND"/>
    <n v="1220"/>
    <n v="1450"/>
    <x v="0"/>
    <n v="0"/>
    <n v="0"/>
    <n v="0"/>
    <n v="81431.961035221175"/>
    <n v="24762.287272727273"/>
    <n v="0"/>
    <n v="107414.24830794845"/>
    <n v="107414.24830794845"/>
    <n v="-107414.24830794845"/>
  </r>
  <r>
    <x v="839"/>
    <s v="TRONADOR x LT"/>
    <x v="10"/>
    <s v="LT"/>
    <n v="18790"/>
    <n v="24000"/>
    <x v="44"/>
    <n v="319430"/>
    <n v="408000"/>
    <n v="88570"/>
    <n v="81431.961035221175"/>
    <n v="24762.287272727273"/>
    <n v="0"/>
    <n v="425624.24830794847"/>
    <n v="25036.720488702849"/>
    <n v="-17624.248307948466"/>
  </r>
  <r>
    <x v="840"/>
    <s v="VERDICT x 250 CC"/>
    <x v="10"/>
    <s v="CC"/>
    <n v="27022"/>
    <n v="32000"/>
    <x v="17"/>
    <n v="27022"/>
    <n v="32000"/>
    <n v="4978"/>
    <n v="81431.961035221175"/>
    <n v="24762.287272727273"/>
    <n v="0"/>
    <n v="133216.24830794844"/>
    <n v="133216.24830794844"/>
    <n v="-101216.24830794844"/>
  </r>
  <r>
    <x v="841"/>
    <s v="CONTRINO x 100 GR"/>
    <x v="4"/>
    <s v="UND"/>
    <n v="22400"/>
    <n v="26800"/>
    <x v="39"/>
    <n v="537600"/>
    <n v="643200"/>
    <n v="105600"/>
    <n v="81431.961035221175"/>
    <n v="24762.287272727273"/>
    <n v="0"/>
    <n v="643794.24830794835"/>
    <n v="26824.760346164516"/>
    <n v="-594.24830794834998"/>
  </r>
  <r>
    <x v="842"/>
    <s v="PYRINEX COEX x 250 CC"/>
    <x v="4"/>
    <s v="CC"/>
    <n v="13911"/>
    <n v="17000"/>
    <x v="23"/>
    <n v="306042"/>
    <n v="374000"/>
    <n v="67958"/>
    <n v="81431.961035221175"/>
    <n v="24762.287272727273"/>
    <n v="0"/>
    <n v="412236.24830794847"/>
    <n v="18738.01128672493"/>
    <n v="-38236.248307948466"/>
  </r>
  <r>
    <x v="843"/>
    <s v="FLUMEG INY x 25 ML"/>
    <x v="5"/>
    <s v="ML"/>
    <n v="17557"/>
    <n v="20866.666666666668"/>
    <x v="28"/>
    <n v="122899"/>
    <n v="146066.66666666669"/>
    <n v="23167.666666666686"/>
    <n v="81431.961035221175"/>
    <n v="24762.287272727273"/>
    <n v="0"/>
    <n v="229093.24830794844"/>
    <n v="32727.606901135492"/>
    <n v="-83026.581641281751"/>
  </r>
  <r>
    <x v="844"/>
    <s v="DOXICICLINA/AMBROXOL SOBRE"/>
    <x v="5"/>
    <s v="CAJA"/>
    <n v="2341.5"/>
    <n v="4000"/>
    <x v="132"/>
    <n v="74928"/>
    <n v="128000"/>
    <n v="53072"/>
    <n v="81431.961035221175"/>
    <n v="24762.287272727273"/>
    <n v="0"/>
    <n v="181122.24830794844"/>
    <n v="5660.0702596233887"/>
    <n v="-53122.248307948437"/>
  </r>
  <r>
    <x v="845"/>
    <s v="HABICHUELA LAGO AZUL FERCON x LB"/>
    <x v="11"/>
    <s v="LB"/>
    <n v="18905"/>
    <n v="22000"/>
    <x v="0"/>
    <n v="0"/>
    <n v="0"/>
    <n v="0"/>
    <n v="81431.961035221175"/>
    <n v="24762.287272727273"/>
    <n v="0"/>
    <n v="125099.24830794845"/>
    <n v="125099.24830794845"/>
    <n v="-125099.24830794845"/>
  </r>
  <r>
    <x v="846"/>
    <s v="DOG CHOW ADULT V/S X 4KL (AMARILLO)"/>
    <x v="2"/>
    <s v="KL"/>
    <n v="39900"/>
    <n v="45000"/>
    <x v="15"/>
    <n v="239400"/>
    <n v="270000"/>
    <n v="30600"/>
    <n v="81431.961035221175"/>
    <n v="24762.287272727273"/>
    <n v="0"/>
    <n v="345594.24830794847"/>
    <n v="57599.041384658078"/>
    <n v="-75594.248307948466"/>
  </r>
  <r>
    <x v="847"/>
    <s v="10-30-10 X 50 KL MANUCHAR"/>
    <x v="0"/>
    <s v="BTO50"/>
    <n v="196000"/>
    <n v="215500"/>
    <x v="168"/>
    <n v="3822000"/>
    <n v="4202250"/>
    <n v="380250"/>
    <n v="81431.961035221175"/>
    <n v="24762.287272727273"/>
    <n v="0"/>
    <n v="3928194.2483079485"/>
    <n v="201445.85888758709"/>
    <n v="274055.75169205153"/>
  </r>
  <r>
    <x v="848"/>
    <s v="18-18-18 x KL"/>
    <x v="0"/>
    <s v="KL"/>
    <n v="6210"/>
    <n v="7500"/>
    <x v="0"/>
    <n v="0"/>
    <n v="0"/>
    <n v="0"/>
    <n v="81431.961035221175"/>
    <n v="24762.287272727273"/>
    <n v="0"/>
    <n v="112404.24830794845"/>
    <n v="112404.24830794845"/>
    <n v="-112404.24830794845"/>
  </r>
  <r>
    <x v="849"/>
    <s v="LAPIZ MARCADOR GANADO"/>
    <x v="8"/>
    <s v="UND"/>
    <n v="5831"/>
    <n v="6800"/>
    <x v="0"/>
    <n v="0"/>
    <n v="0"/>
    <n v="0"/>
    <n v="81431.961035221175"/>
    <n v="24762.287272727273"/>
    <n v="0"/>
    <n v="112025.24830794845"/>
    <n v="112025.24830794845"/>
    <n v="-112025.24830794845"/>
  </r>
  <r>
    <x v="850"/>
    <s v="F TOROS EXPOSICION x 40 KL"/>
    <x v="2"/>
    <s v="BTO"/>
    <n v="71247.75"/>
    <n v="91866.666666666672"/>
    <x v="26"/>
    <n v="356238.75"/>
    <n v="459333.33333333337"/>
    <n v="103094.58333333337"/>
    <n v="81431.961035221175"/>
    <n v="24762.287272727273"/>
    <n v="0"/>
    <n v="462432.99830794847"/>
    <n v="92486.599661589687"/>
    <n v="-3099.6649746150943"/>
  </r>
  <r>
    <x v="851"/>
    <s v="F CERDO ENGORD 65-75P X 40KL"/>
    <x v="2"/>
    <s v="BTO"/>
    <n v="74947.95"/>
    <n v="86850"/>
    <x v="169"/>
    <n v="63668283.524999999"/>
    <n v="73779075"/>
    <n v="10110791.475000001"/>
    <n v="81431.961035221175"/>
    <n v="24762.287272727273"/>
    <n v="0"/>
    <n v="63774477.773307949"/>
    <n v="75072.957943858681"/>
    <n v="10004597.226692051"/>
  </r>
  <r>
    <x v="852"/>
    <s v="DIURON X KILO"/>
    <x v="10"/>
    <s v="KL"/>
    <n v="59437"/>
    <n v="69500"/>
    <x v="18"/>
    <n v="118874"/>
    <n v="139000"/>
    <n v="20126"/>
    <n v="81431.961035221175"/>
    <n v="24762.287272727273"/>
    <n v="0"/>
    <n v="225068.24830794844"/>
    <n v="112534.12415397422"/>
    <n v="-86068.248307948437"/>
  </r>
  <r>
    <x v="853"/>
    <s v="PANAMICINA LZ X 100ML"/>
    <x v="5"/>
    <s v="ML"/>
    <n v="30385"/>
    <n v="38600"/>
    <x v="18"/>
    <n v="60770"/>
    <n v="77200"/>
    <n v="16430"/>
    <n v="81431.961035221175"/>
    <n v="24762.287272727273"/>
    <n v="0"/>
    <n v="166964.24830794844"/>
    <n v="83482.124153974219"/>
    <n v="-89764.248307948437"/>
  </r>
  <r>
    <x v="854"/>
    <s v="ENGYSTOL x 50 TBL"/>
    <x v="5"/>
    <s v="ML"/>
    <n v="55643"/>
    <n v="65000"/>
    <x v="0"/>
    <n v="0"/>
    <n v="0"/>
    <n v="0"/>
    <n v="81431.961035221175"/>
    <n v="24762.287272727273"/>
    <n v="0"/>
    <n v="161837.24830794844"/>
    <n v="161837.24830794844"/>
    <n v="-161837.24830794844"/>
  </r>
  <r>
    <x v="855"/>
    <s v="FERREX B-12 x 50 ML"/>
    <x v="5"/>
    <s v="ML"/>
    <n v="16516"/>
    <n v="21000"/>
    <x v="26"/>
    <n v="82580"/>
    <n v="105000"/>
    <n v="22420"/>
    <n v="81431.961035221175"/>
    <n v="24762.287272727273"/>
    <n v="0"/>
    <n v="188774.24830794844"/>
    <n v="37754.849661589687"/>
    <n v="-83774.248307948437"/>
  </r>
  <r>
    <x v="856"/>
    <s v="VACUNA TRIPLE CANINA"/>
    <x v="5"/>
    <s v="ML"/>
    <n v="9807"/>
    <n v="13000"/>
    <x v="3"/>
    <n v="98070"/>
    <n v="130000"/>
    <n v="31930"/>
    <n v="81431.961035221175"/>
    <n v="24762.287272727273"/>
    <n v="0"/>
    <n v="204264.24830794844"/>
    <n v="20426.424830794844"/>
    <n v="-74264.248307948437"/>
  </r>
  <r>
    <x v="857"/>
    <s v="ABRAZADERA DE 1/2"/>
    <x v="3"/>
    <s v="UND"/>
    <n v="900"/>
    <n v="1000"/>
    <x v="57"/>
    <n v="87300"/>
    <n v="97000"/>
    <n v="9700"/>
    <n v="81431.961035221175"/>
    <n v="24762.287272727273"/>
    <n v="0"/>
    <n v="193494.24830794844"/>
    <n v="1994.7860650303962"/>
    <n v="-96494.248307948437"/>
  </r>
  <r>
    <x v="858"/>
    <s v="FULMINADO x 100 ML"/>
    <x v="5"/>
    <s v="ML"/>
    <n v="19157"/>
    <n v="22500"/>
    <x v="26"/>
    <n v="95785"/>
    <n v="112500"/>
    <n v="16715"/>
    <n v="81431.961035221175"/>
    <n v="24762.287272727273"/>
    <n v="0"/>
    <n v="201979.24830794844"/>
    <n v="40395.849661589687"/>
    <n v="-89479.248307948437"/>
  </r>
  <r>
    <x v="859"/>
    <s v="GLOMAX INY x 10 ML"/>
    <x v="5"/>
    <s v="ML"/>
    <n v="9600"/>
    <n v="13500"/>
    <x v="0"/>
    <n v="0"/>
    <n v="0"/>
    <n v="0"/>
    <n v="81431.961035221175"/>
    <n v="24762.287272727273"/>
    <n v="0"/>
    <n v="115794.24830794845"/>
    <n v="115794.24830794845"/>
    <n v="-115794.24830794845"/>
  </r>
  <r>
    <x v="860"/>
    <s v="MATARRAZ x 250 ML"/>
    <x v="5"/>
    <s v="ML"/>
    <n v="33950"/>
    <n v="38000"/>
    <x v="17"/>
    <n v="33950"/>
    <n v="38000"/>
    <n v="4050"/>
    <n v="81431.961035221175"/>
    <n v="24762.287272727273"/>
    <n v="0"/>
    <n v="140144.24830794844"/>
    <n v="140144.24830794844"/>
    <n v="-102144.24830794844"/>
  </r>
  <r>
    <x v="861"/>
    <s v="NOVACAN ADULTO x 2.5 ML"/>
    <x v="5"/>
    <s v="GR"/>
    <n v="4892.8"/>
    <n v="6000"/>
    <x v="31"/>
    <n v="44035.200000000004"/>
    <n v="54000"/>
    <n v="9964.7999999999956"/>
    <n v="81431.961035221175"/>
    <n v="24762.287272727273"/>
    <n v="0"/>
    <n v="150229.44830794845"/>
    <n v="16692.160923105384"/>
    <n v="-96229.448307948449"/>
  </r>
  <r>
    <x v="862"/>
    <s v="BUTAZINOL INY x 20 ML"/>
    <x v="5"/>
    <s v="ML"/>
    <n v="22028"/>
    <n v="26500"/>
    <x v="17"/>
    <n v="22028"/>
    <n v="26500"/>
    <n v="4472"/>
    <n v="81431.961035221175"/>
    <n v="24762.287272727273"/>
    <n v="0"/>
    <n v="128222.24830794845"/>
    <n v="128222.24830794845"/>
    <n v="-101722.24830794845"/>
  </r>
  <r>
    <x v="863"/>
    <s v="RONDEL JGA x 5 ML"/>
    <x v="5"/>
    <s v="ML"/>
    <n v="6011"/>
    <n v="9000"/>
    <x v="7"/>
    <n v="66121"/>
    <n v="99000"/>
    <n v="32879"/>
    <n v="81431.961035221175"/>
    <n v="24762.287272727273"/>
    <n v="0"/>
    <n v="172315.24830794844"/>
    <n v="15665.022573449858"/>
    <n v="-73315.248307948437"/>
  </r>
  <r>
    <x v="864"/>
    <s v="CEFAKAN JGA X 5ML UND"/>
    <x v="5"/>
    <s v="UND"/>
    <n v="4763"/>
    <n v="6500"/>
    <x v="79"/>
    <n v="247676"/>
    <n v="338000"/>
    <n v="90324"/>
    <n v="81431.961035221175"/>
    <n v="24762.287272727273"/>
    <n v="0"/>
    <n v="353870.24830794847"/>
    <n v="6805.1970828451631"/>
    <n v="-15870.248307948466"/>
  </r>
  <r>
    <x v="865"/>
    <s v="DETERGENTE ALCALINO"/>
    <x v="5"/>
    <s v="GL"/>
    <n v="28800"/>
    <n v="33000"/>
    <x v="0"/>
    <n v="0"/>
    <n v="0"/>
    <n v="0"/>
    <n v="81431.961035221175"/>
    <n v="24762.287272727273"/>
    <n v="0"/>
    <n v="134994.24830794844"/>
    <n v="134994.24830794844"/>
    <n v="-134994.24830794844"/>
  </r>
  <r>
    <x v="866"/>
    <s v="DETERGENTE ACIDO x GALON"/>
    <x v="5"/>
    <s v="GL"/>
    <n v="31000"/>
    <n v="36000"/>
    <x v="0"/>
    <n v="0"/>
    <n v="0"/>
    <n v="0"/>
    <n v="81431.961035221175"/>
    <n v="24762.287272727273"/>
    <n v="0"/>
    <n v="137194.24830794844"/>
    <n v="137194.24830794844"/>
    <n v="-137194.24830794844"/>
  </r>
  <r>
    <x v="867"/>
    <s v="PRIMORDIAL Y SEGUNDA X 20LT"/>
    <x v="1"/>
    <s v="ML"/>
    <n v="387950"/>
    <n v="515600"/>
    <x v="49"/>
    <n v="3103600"/>
    <n v="4124800"/>
    <n v="1021200"/>
    <n v="81431.961035221175"/>
    <n v="24762.287272727273"/>
    <n v="0"/>
    <n v="3209794.2483079485"/>
    <n v="401224.28103849356"/>
    <n v="915005.75169205153"/>
  </r>
  <r>
    <x v="868"/>
    <s v="ENROVET 10% ORAL GOTERO"/>
    <x v="5"/>
    <s v="ML"/>
    <n v="6741.5"/>
    <n v="8000"/>
    <x v="3"/>
    <n v="67415"/>
    <n v="80000"/>
    <n v="12585"/>
    <n v="81431.961035221175"/>
    <n v="24762.287272727273"/>
    <n v="0"/>
    <n v="173609.24830794844"/>
    <n v="17360.924830794844"/>
    <n v="-93609.248307948437"/>
  </r>
  <r>
    <x v="869"/>
    <s v="F NOVILLAS DESARROLLO X 40KL P"/>
    <x v="2"/>
    <s v="BULTO"/>
    <n v="75388.95"/>
    <n v="89416.666666666672"/>
    <x v="51"/>
    <n v="1884723.75"/>
    <n v="2235416.666666667"/>
    <n v="350692.91666666698"/>
    <n v="81431.961035221175"/>
    <n v="24762.287272727273"/>
    <n v="0"/>
    <n v="1990917.9983079485"/>
    <n v="79636.719932317937"/>
    <n v="244498.66835871851"/>
  </r>
  <r>
    <x v="870"/>
    <s v="REYCAB-ZN GL"/>
    <x v="1"/>
    <s v="GL"/>
    <n v="90000"/>
    <n v="110000"/>
    <x v="35"/>
    <n v="360000"/>
    <n v="440000"/>
    <n v="80000"/>
    <n v="81431.961035221175"/>
    <n v="24762.287272727273"/>
    <n v="0"/>
    <n v="466194.24830794847"/>
    <n v="116548.56207698712"/>
    <n v="-26194.248307948466"/>
  </r>
  <r>
    <x v="871"/>
    <s v="HOJAS FORTE 500 X GL"/>
    <x v="1"/>
    <s v="GL"/>
    <n v="54000"/>
    <n v="69000"/>
    <x v="0"/>
    <n v="0"/>
    <n v="0"/>
    <n v="0"/>
    <n v="81431.961035221175"/>
    <n v="24762.287272727273"/>
    <n v="0"/>
    <n v="160194.24830794844"/>
    <n v="160194.24830794844"/>
    <n v="-160194.24830794844"/>
  </r>
  <r>
    <x v="872"/>
    <s v="AMISTAR TOP X 125ML"/>
    <x v="6"/>
    <s v="ML"/>
    <n v="37270"/>
    <n v="43333.333333333336"/>
    <x v="3"/>
    <n v="372700"/>
    <n v="433333.33333333337"/>
    <n v="60633.333333333372"/>
    <n v="81431.961035221175"/>
    <n v="24762.287272727273"/>
    <n v="0"/>
    <n v="478894.24830794847"/>
    <n v="47889.424830794844"/>
    <n v="-45560.914974615094"/>
  </r>
  <r>
    <x v="873"/>
    <s v="BOTAMISOL KILO"/>
    <x v="1"/>
    <s v="KL"/>
    <n v="64903.384599999998"/>
    <n v="84500"/>
    <x v="73"/>
    <n v="3894203.0759999999"/>
    <n v="5070000"/>
    <n v="1175796.9240000001"/>
    <n v="81431.961035221175"/>
    <n v="24762.287272727273"/>
    <n v="0"/>
    <n v="4000397.3243079484"/>
    <n v="66673.28873846581"/>
    <n v="1069602.6756920516"/>
  </r>
  <r>
    <x v="874"/>
    <s v="CITOGROWERX500ML"/>
    <x v="1"/>
    <s v="ML"/>
    <n v="115808"/>
    <n v="133583.33333333334"/>
    <x v="32"/>
    <n v="4748128"/>
    <n v="5476916.666666667"/>
    <n v="728788.66666666698"/>
    <n v="81431.961035221175"/>
    <n v="24762.287272727273"/>
    <n v="0"/>
    <n v="4854322.248307948"/>
    <n v="118398.10361726703"/>
    <n v="622594.41835871898"/>
  </r>
  <r>
    <x v="875"/>
    <s v="AGILITY MAMAS  x 8KL"/>
    <x v="2"/>
    <s v="KL"/>
    <n v="129500"/>
    <n v="143200"/>
    <x v="0"/>
    <n v="0"/>
    <n v="0"/>
    <n v="0"/>
    <n v="81431.961035221175"/>
    <n v="24762.287272727273"/>
    <n v="0"/>
    <n v="235694.24830794844"/>
    <n v="235694.24830794844"/>
    <n v="-235694.24830794844"/>
  </r>
  <r>
    <x v="876"/>
    <s v="SAL SOMEX CALCILECHE 12 % X 10KL"/>
    <x v="2"/>
    <s v="KL"/>
    <n v="29342.25"/>
    <n v="32800"/>
    <x v="170"/>
    <n v="2230011"/>
    <n v="2492800"/>
    <n v="262789"/>
    <n v="81431.961035221175"/>
    <n v="24762.287272727273"/>
    <n v="0"/>
    <n v="2336205.2483079485"/>
    <n v="30739.54274089406"/>
    <n v="156594.75169205153"/>
  </r>
  <r>
    <x v="877"/>
    <s v="NUTRISS CARNE x 2 KL"/>
    <x v="2"/>
    <s v="KL"/>
    <n v="10972.7415"/>
    <n v="12466.666666666666"/>
    <x v="96"/>
    <n v="219454.83000000002"/>
    <n v="249333.33333333331"/>
    <n v="29878.503333333298"/>
    <n v="81431.961035221175"/>
    <n v="24762.287272727273"/>
    <n v="0"/>
    <n v="325649.07830794848"/>
    <n v="16282.453915397424"/>
    <n v="-76315.744974615169"/>
  </r>
  <r>
    <x v="878"/>
    <s v="MIRRINGO ARENA x 5 KL"/>
    <x v="2"/>
    <s v="KL"/>
    <n v="24864.0285"/>
    <n v="27300"/>
    <x v="67"/>
    <n v="472416.54149999999"/>
    <n v="518700"/>
    <n v="46283.458500000008"/>
    <n v="81431.961035221175"/>
    <n v="24762.287272727273"/>
    <n v="0"/>
    <n v="578610.7898079484"/>
    <n v="30453.199463576231"/>
    <n v="-59910.7898079484"/>
  </r>
  <r>
    <x v="879"/>
    <s v="ETHION AGROZ 83 * 30 ML"/>
    <x v="5"/>
    <s v="ML"/>
    <n v="7465"/>
    <n v="20033.333333333332"/>
    <x v="49"/>
    <n v="59720"/>
    <n v="160266.66666666666"/>
    <n v="100546.66666666666"/>
    <n v="81431.961035221175"/>
    <n v="24762.287272727273"/>
    <n v="0"/>
    <n v="165914.24830794844"/>
    <n v="20739.281038493555"/>
    <n v="-5647.5816412817803"/>
  </r>
  <r>
    <x v="880"/>
    <s v="DIFECOL 250 x 250 ML"/>
    <x v="6"/>
    <s v="ML"/>
    <n v="17000"/>
    <n v="22000"/>
    <x v="51"/>
    <n v="425000"/>
    <n v="550000"/>
    <n v="125000"/>
    <n v="81431.961035221175"/>
    <n v="24762.287272727273"/>
    <n v="0"/>
    <n v="531194.24830794847"/>
    <n v="21247.76993231794"/>
    <n v="18805.751692051534"/>
  </r>
  <r>
    <x v="881"/>
    <s v="AGILITY GOLT x 3 KL VERDE"/>
    <x v="2"/>
    <s v="KL"/>
    <n v="51900"/>
    <n v="57100"/>
    <x v="13"/>
    <n v="155700"/>
    <n v="171300"/>
    <n v="15600"/>
    <n v="81431.961035221175"/>
    <n v="24762.287272727273"/>
    <n v="0"/>
    <n v="261894.24830794844"/>
    <n v="87298.082769316141"/>
    <n v="-90594.248307948437"/>
  </r>
  <r>
    <x v="882"/>
    <s v="CREDELIO 900 MG 22-45 x TABLETA (AZUL)"/>
    <x v="5"/>
    <s v="LT"/>
    <n v="28700"/>
    <n v="35833.333333333336"/>
    <x v="13"/>
    <n v="86100"/>
    <n v="107500"/>
    <n v="21400"/>
    <n v="81431.961035221175"/>
    <n v="24762.287272727273"/>
    <n v="0"/>
    <n v="192294.24830794844"/>
    <n v="64098.082769316148"/>
    <n v="-84794.248307948437"/>
  </r>
  <r>
    <x v="883"/>
    <s v="YARA RAFOS BT X 50KL"/>
    <x v="0"/>
    <s v="KL"/>
    <n v="195000"/>
    <n v="206000"/>
    <x v="0"/>
    <n v="0"/>
    <n v="0"/>
    <n v="0"/>
    <n v="81431.961035221175"/>
    <n v="24762.287272727273"/>
    <n v="0"/>
    <n v="301194.24830794847"/>
    <n v="301194.24830794847"/>
    <n v="-301194.24830794847"/>
  </r>
  <r>
    <x v="884"/>
    <s v="UNIMAST 20 x 25 ML"/>
    <x v="5"/>
    <s v="ML"/>
    <n v="23372"/>
    <n v="34066.666666666664"/>
    <x v="12"/>
    <n v="327208"/>
    <n v="476933.33333333331"/>
    <n v="149725.33333333331"/>
    <n v="81431.961035221175"/>
    <n v="24762.287272727273"/>
    <n v="0"/>
    <n v="433402.24830794847"/>
    <n v="30957.303450567746"/>
    <n v="43531.085025384848"/>
  </r>
  <r>
    <x v="885"/>
    <s v="BRAVECTO DE 10A 20KL"/>
    <x v="5"/>
    <s v="UND"/>
    <n v="74155"/>
    <n v="84000"/>
    <x v="28"/>
    <n v="519085"/>
    <n v="588000"/>
    <n v="68915"/>
    <n v="81431.961035221175"/>
    <n v="24762.287272727273"/>
    <n v="0"/>
    <n v="625279.24830794835"/>
    <n v="89325.606901135485"/>
    <n v="-37279.24830794835"/>
  </r>
  <r>
    <x v="886"/>
    <s v="BRAVECTO DE 20 A 40KL"/>
    <x v="5"/>
    <s v="UND"/>
    <n v="76504.2"/>
    <n v="99750"/>
    <x v="15"/>
    <n v="459025.19999999995"/>
    <n v="598500"/>
    <n v="139474.80000000005"/>
    <n v="81431.961035221175"/>
    <n v="24762.287272727273"/>
    <n v="0"/>
    <n v="565219.4483079483"/>
    <n v="94203.241384658046"/>
    <n v="33280.551692051697"/>
  </r>
  <r>
    <x v="887"/>
    <s v="APIO X 2 GR"/>
    <x v="11"/>
    <s v="SOB"/>
    <n v="1190"/>
    <n v="1266.6666666666667"/>
    <x v="3"/>
    <n v="11900"/>
    <n v="12666.666666666668"/>
    <n v="766.66666666666788"/>
    <n v="81431.961035221175"/>
    <n v="24762.287272727273"/>
    <n v="0"/>
    <n v="118094.24830794845"/>
    <n v="11809.424830794846"/>
    <n v="-105427.58164128178"/>
  </r>
  <r>
    <x v="888"/>
    <s v="NUTRISS POLLO/VEG x 2 KL"/>
    <x v="2"/>
    <s v="KL"/>
    <n v="10972.7415"/>
    <n v="12466.666666666666"/>
    <x v="151"/>
    <n v="427936.91850000003"/>
    <n v="486200"/>
    <n v="58263.081499999971"/>
    <n v="81431.961035221175"/>
    <n v="24762.287272727273"/>
    <n v="0"/>
    <n v="534131.1668079485"/>
    <n v="13695.670943793551"/>
    <n v="-47931.166807948495"/>
  </r>
  <r>
    <x v="889"/>
    <s v="SAM GRANULADO BT X50KL"/>
    <x v="0"/>
    <s v="KL"/>
    <n v="117500"/>
    <n v="131666.66666666666"/>
    <x v="48"/>
    <n v="4700000"/>
    <n v="5266666.666666666"/>
    <n v="566666.66666666605"/>
    <n v="81431.961035221175"/>
    <n v="24762.287272727273"/>
    <n v="0"/>
    <n v="4806194.248307948"/>
    <n v="120154.8562076987"/>
    <n v="460472.41835871805"/>
  </r>
  <r>
    <x v="890"/>
    <s v="REMITAL  YARA X50"/>
    <x v="0"/>
    <s v="KL"/>
    <n v="205000"/>
    <n v="217133.33333333334"/>
    <x v="171"/>
    <n v="31775000"/>
    <n v="33655666.666666672"/>
    <n v="1880666.6666666716"/>
    <n v="81431.961035221175"/>
    <n v="24762.287272727273"/>
    <n v="0"/>
    <n v="31881194.248307951"/>
    <n v="205685.12418263193"/>
    <n v="1774472.4183587208"/>
  </r>
  <r>
    <x v="891"/>
    <s v="DAP BT X 50KL MANUCHAR"/>
    <x v="0"/>
    <s v="KL"/>
    <n v="226000"/>
    <n v="248000"/>
    <x v="172"/>
    <n v="7457999.9932646798"/>
    <n v="8183999.9926090296"/>
    <n v="725999.99934434984"/>
    <n v="81431.961035221175"/>
    <n v="24762.287272727273"/>
    <n v="0"/>
    <n v="7564194.2415726278"/>
    <n v="229218.00752738945"/>
    <n v="619805.75103640184"/>
  </r>
  <r>
    <x v="892"/>
    <s v="FENLAK x 500 ML"/>
    <x v="5"/>
    <s v="ML"/>
    <n v="100064"/>
    <n v="124000"/>
    <x v="17"/>
    <n v="100064"/>
    <n v="124000"/>
    <n v="23936"/>
    <n v="81431.961035221175"/>
    <n v="24762.287272727273"/>
    <n v="0"/>
    <n v="206258.24830794844"/>
    <n v="206258.24830794844"/>
    <n v="-82258.248307948437"/>
  </r>
  <r>
    <x v="893"/>
    <s v="TRONADOR GALON"/>
    <x v="10"/>
    <s v="GL"/>
    <n v="76800"/>
    <n v="87500"/>
    <x v="37"/>
    <n v="1152000"/>
    <n v="1312500"/>
    <n v="160500"/>
    <n v="81431.961035221175"/>
    <n v="24762.287272727273"/>
    <n v="0"/>
    <n v="1258194.2483079485"/>
    <n v="83879.616553863234"/>
    <n v="54305.751692051534"/>
  </r>
  <r>
    <x v="894"/>
    <s v="GLIFOCAFE x POMA"/>
    <x v="10"/>
    <s v="POMA"/>
    <n v="690000"/>
    <n v="775000"/>
    <x v="13"/>
    <n v="2070000"/>
    <n v="2325000"/>
    <n v="255000"/>
    <n v="81431.961035221175"/>
    <n v="24762.287272727273"/>
    <n v="0"/>
    <n v="2176194.2483079485"/>
    <n v="725398.08276931616"/>
    <n v="148805.75169205153"/>
  </r>
  <r>
    <x v="895"/>
    <s v="POLLO GRANDE"/>
    <x v="13"/>
    <s v="UND"/>
    <n v="4920"/>
    <n v="6000"/>
    <x v="173"/>
    <n v="20290080"/>
    <n v="24744000"/>
    <n v="4453920"/>
    <n v="81431.961035221175"/>
    <n v="24762.287272727273"/>
    <n v="0"/>
    <n v="20396274.248307951"/>
    <n v="4945.7503026934892"/>
    <n v="4347725.7516920492"/>
  </r>
  <r>
    <x v="896"/>
    <s v="DIMETOATO 400 EC x LT"/>
    <x v="4"/>
    <s v="LT"/>
    <n v="40600"/>
    <n v="52300"/>
    <x v="17"/>
    <n v="40600"/>
    <n v="52300"/>
    <n v="11700"/>
    <n v="81431.961035221175"/>
    <n v="24762.287272727273"/>
    <n v="0"/>
    <n v="146794.24830794844"/>
    <n v="146794.24830794844"/>
    <n v="-94494.248307948437"/>
  </r>
  <r>
    <x v="897"/>
    <s v="SPECIAL INICIO BT X 50KL"/>
    <x v="0"/>
    <s v="KL"/>
    <n v="197500"/>
    <n v="229166.66666666666"/>
    <x v="174"/>
    <n v="20935000"/>
    <n v="24291666.666666664"/>
    <n v="3356666.6666666642"/>
    <n v="81431.961035221175"/>
    <n v="24762.287272727273"/>
    <n v="0"/>
    <n v="21041194.248307951"/>
    <n v="198501.8325312071"/>
    <n v="3250472.4183587134"/>
  </r>
  <r>
    <x v="898"/>
    <s v="DESVIADOR DE RAYOS"/>
    <x v="12"/>
    <s v="UND"/>
    <n v="24990"/>
    <n v="32000"/>
    <x v="26"/>
    <n v="124950"/>
    <n v="160000"/>
    <n v="35050"/>
    <n v="81431.961035221175"/>
    <n v="24762.287272727273"/>
    <n v="0"/>
    <n v="231144.24830794844"/>
    <n v="46228.849661589687"/>
    <n v="-71144.248307948437"/>
  </r>
  <r>
    <x v="899"/>
    <s v="VARILLA COOPERWLL DE 1.8 M (CON ABRAZADERA)"/>
    <x v="12"/>
    <s v="UND"/>
    <n v="35503.65"/>
    <n v="42000"/>
    <x v="15"/>
    <n v="213021.90000000002"/>
    <n v="252000"/>
    <n v="38978.099999999977"/>
    <n v="81431.961035221175"/>
    <n v="24762.287272727273"/>
    <n v="0"/>
    <n v="319216.14830794849"/>
    <n v="53202.691384658079"/>
    <n v="-67216.14830794849"/>
  </r>
  <r>
    <x v="900"/>
    <s v="REMOLACHA x 25 GR FERCON"/>
    <x v="11"/>
    <s v="LATA"/>
    <n v="3060"/>
    <n v="4200"/>
    <x v="7"/>
    <n v="33660"/>
    <n v="46200"/>
    <n v="12540"/>
    <n v="81431.961035221175"/>
    <n v="24762.287272727273"/>
    <n v="0"/>
    <n v="139854.24830794844"/>
    <n v="12714.022573449858"/>
    <n v="-93654.248307948437"/>
  </r>
  <r>
    <x v="901"/>
    <s v="CACODIL B12 X 250+ 100ML"/>
    <x v="5"/>
    <s v="ML"/>
    <n v="84600"/>
    <n v="102000"/>
    <x v="0"/>
    <n v="0"/>
    <n v="0"/>
    <n v="0"/>
    <n v="81431.961035221175"/>
    <n v="24762.287272727273"/>
    <n v="0"/>
    <n v="190794.24830794844"/>
    <n v="190794.24830794844"/>
    <n v="-190794.24830794844"/>
  </r>
  <r>
    <x v="902"/>
    <s v="CACODIL B12 500"/>
    <x v="5"/>
    <s v="ML"/>
    <n v="144241"/>
    <n v="180000"/>
    <x v="0"/>
    <n v="0"/>
    <n v="0"/>
    <n v="0"/>
    <n v="81431.961035221175"/>
    <n v="24762.287272727273"/>
    <n v="0"/>
    <n v="250435.24830794844"/>
    <n v="250435.24830794844"/>
    <n v="-250435.24830794844"/>
  </r>
  <r>
    <x v="903"/>
    <s v="F POLLAS INICIACION x 40 KL"/>
    <x v="2"/>
    <s v="BULTO"/>
    <n v="80923.5"/>
    <n v="109450"/>
    <x v="0"/>
    <n v="0"/>
    <n v="0"/>
    <n v="0"/>
    <n v="81431.961035221175"/>
    <n v="24762.287272727273"/>
    <n v="0"/>
    <n v="187117.74830794844"/>
    <n v="187117.74830794844"/>
    <n v="-187117.74830794844"/>
  </r>
  <r>
    <x v="904"/>
    <s v="ATOMIK LITRO"/>
    <x v="6"/>
    <s v="LT"/>
    <n v="133900"/>
    <n v="148000"/>
    <x v="18"/>
    <n v="267800"/>
    <n v="296000"/>
    <n v="28200"/>
    <n v="81431.961035221175"/>
    <n v="24762.287272727273"/>
    <n v="0"/>
    <n v="373994.24830794847"/>
    <n v="186997.12415397423"/>
    <n v="-77994.248307948466"/>
  </r>
  <r>
    <x v="905"/>
    <s v="CUTAMYCON x 100 GR"/>
    <x v="5"/>
    <s v="GR"/>
    <n v="35670"/>
    <n v="39800"/>
    <x v="17"/>
    <n v="35670"/>
    <n v="39800"/>
    <n v="4130"/>
    <n v="81431.961035221175"/>
    <n v="24762.287272727273"/>
    <n v="0"/>
    <n v="141864.24830794844"/>
    <n v="141864.24830794844"/>
    <n v="-102064.24830794844"/>
  </r>
  <r>
    <x v="906"/>
    <s v="ALFOSITOL POTASIO x LT"/>
    <x v="1"/>
    <s v="UND"/>
    <n v="61600"/>
    <n v="72000"/>
    <x v="39"/>
    <n v="1478400"/>
    <n v="1728000"/>
    <n v="249600"/>
    <n v="81431.961035221175"/>
    <n v="24762.287272727273"/>
    <n v="0"/>
    <n v="1584594.2483079485"/>
    <n v="66024.760346164519"/>
    <n v="143405.75169205153"/>
  </r>
  <r>
    <x v="907"/>
    <s v="SOGA MARINERA 6MM"/>
    <x v="9"/>
    <s v="MTS"/>
    <n v="641.65599999999995"/>
    <n v="800"/>
    <x v="175"/>
    <n v="272062.14399999997"/>
    <n v="339200"/>
    <n v="67137.856000000029"/>
    <n v="81431.961035221175"/>
    <n v="24762.287272727273"/>
    <n v="0"/>
    <n v="378256.39230794844"/>
    <n v="892.11413280176521"/>
    <n v="-39056.392307948438"/>
  </r>
  <r>
    <x v="908"/>
    <s v="SOGAGANADERA10MM"/>
    <x v="9"/>
    <s v="MTS"/>
    <n v="1336.4358999999999"/>
    <n v="1600"/>
    <x v="176"/>
    <n v="400930.76999999996"/>
    <n v="480000"/>
    <n v="79069.23000000004"/>
    <n v="81431.961035221175"/>
    <n v="24762.287272727273"/>
    <n v="0"/>
    <n v="507125.01830794843"/>
    <n v="1690.4167276931614"/>
    <n v="-27125.018307948427"/>
  </r>
  <r>
    <x v="909"/>
    <s v="SOGA MARINERA 12MM"/>
    <x v="9"/>
    <s v="MTS"/>
    <n v="2037.4609"/>
    <n v="2400"/>
    <x v="177"/>
    <n v="246532.7689"/>
    <n v="290400"/>
    <n v="43867.231100000005"/>
    <n v="81431.961035221175"/>
    <n v="24762.287272727273"/>
    <n v="0"/>
    <n v="352727.01720794843"/>
    <n v="2915.0993157681687"/>
    <n v="-62327.017207948433"/>
  </r>
  <r>
    <x v="910"/>
    <s v="SOGA MARINERA 8MM"/>
    <x v="9"/>
    <s v="MTS"/>
    <n v="932.27470000000005"/>
    <n v="1200"/>
    <x v="178"/>
    <n v="152893.0508"/>
    <n v="196800"/>
    <n v="43906.949200000003"/>
    <n v="81431.961035221175"/>
    <n v="24762.287272727273"/>
    <n v="0"/>
    <n v="259087.29910794843"/>
    <n v="1579.8006043167588"/>
    <n v="-62287.299107948435"/>
  </r>
  <r>
    <x v="911"/>
    <s v="ROFLAXIVEN X 10ML"/>
    <x v="5"/>
    <s v="ML"/>
    <n v="3217"/>
    <n v="6150"/>
    <x v="13"/>
    <n v="9651"/>
    <n v="18450"/>
    <n v="8799"/>
    <n v="81431.961035221175"/>
    <n v="24762.287272727273"/>
    <n v="0"/>
    <n v="115845.24830794845"/>
    <n v="38615.082769316148"/>
    <n v="-97395.248307948452"/>
  </r>
  <r>
    <x v="912"/>
    <s v="CARVASOL x LT"/>
    <x v="1"/>
    <s v="LT"/>
    <n v="19000"/>
    <n v="26500"/>
    <x v="18"/>
    <n v="38000"/>
    <n v="53000"/>
    <n v="15000"/>
    <n v="81431.961035221175"/>
    <n v="24762.287272727273"/>
    <n v="0"/>
    <n v="144194.24830794844"/>
    <n v="72097.124153974219"/>
    <n v="-91194.248307948437"/>
  </r>
  <r>
    <x v="913"/>
    <s v="CERTUS x 100 GR"/>
    <x v="4"/>
    <s v="GR"/>
    <n v="36000"/>
    <n v="42000"/>
    <x v="0"/>
    <n v="0"/>
    <n v="0"/>
    <n v="0"/>
    <n v="81431.961035221175"/>
    <n v="24762.287272727273"/>
    <n v="0"/>
    <n v="142194.24830794844"/>
    <n v="142194.24830794844"/>
    <n v="-142194.24830794844"/>
  </r>
  <r>
    <x v="914"/>
    <s v="ETHIOKILL x 125 ML"/>
    <x v="5"/>
    <s v="ML"/>
    <n v="23369"/>
    <n v="31866.666666666668"/>
    <x v="35"/>
    <n v="93476"/>
    <n v="127466.66666666667"/>
    <n v="33990.666666666672"/>
    <n v="81431.961035221175"/>
    <n v="24762.287272727273"/>
    <n v="0"/>
    <n v="199670.24830794844"/>
    <n v="49917.562076987109"/>
    <n v="-72203.581641281766"/>
  </r>
  <r>
    <x v="915"/>
    <s v="MIRRINGO ARENA x 10 KL"/>
    <x v="2"/>
    <s v="KL"/>
    <n v="44534.678999999996"/>
    <n v="49866.666666666664"/>
    <x v="7"/>
    <n v="489881.46899999998"/>
    <n v="548533.33333333326"/>
    <n v="58651.864333333273"/>
    <n v="81431.961035221175"/>
    <n v="24762.287272727273"/>
    <n v="0"/>
    <n v="596075.71730794839"/>
    <n v="54188.701573449856"/>
    <n v="-47542.383974615135"/>
  </r>
  <r>
    <x v="916"/>
    <s v="NUCHEROL x 50 GR"/>
    <x v="5"/>
    <s v="GR"/>
    <n v="2913.0880000000002"/>
    <n v="3800"/>
    <x v="179"/>
    <n v="725358.91200000001"/>
    <n v="946200"/>
    <n v="220841.08799999999"/>
    <n v="81431.961035221175"/>
    <n v="24762.287272727273"/>
    <n v="0"/>
    <n v="831553.16030794836"/>
    <n v="3339.5709249315196"/>
    <n v="114646.83969205164"/>
  </r>
  <r>
    <x v="917"/>
    <s v="BOLFO SOBRE"/>
    <x v="5"/>
    <s v="SB"/>
    <n v="3262"/>
    <n v="3850"/>
    <x v="30"/>
    <n v="97860"/>
    <n v="115500"/>
    <n v="17640"/>
    <n v="81431.961035221175"/>
    <n v="24762.287272727273"/>
    <n v="0"/>
    <n v="204054.24830794844"/>
    <n v="6801.8082769316143"/>
    <n v="-88554.248307948437"/>
  </r>
  <r>
    <x v="918"/>
    <s v="SAL SOMEX CALCILECHE AL 17%"/>
    <x v="2"/>
    <s v="BT"/>
    <n v="155121.75"/>
    <n v="167283.33333333334"/>
    <x v="67"/>
    <n v="2947313.25"/>
    <n v="3178383.3333333335"/>
    <n v="231070.08333333349"/>
    <n v="81431.961035221175"/>
    <n v="24762.287272727273"/>
    <n v="0"/>
    <n v="3053507.4983079485"/>
    <n v="160710.92096357624"/>
    <n v="124875.83502538502"/>
  </r>
  <r>
    <x v="919"/>
    <s v="RENOVACION SPECIAL"/>
    <x v="0"/>
    <s v="BT"/>
    <n v="59750"/>
    <n v="95000"/>
    <x v="0"/>
    <n v="0"/>
    <n v="0"/>
    <n v="0"/>
    <n v="81431.961035221175"/>
    <n v="24762.287272727273"/>
    <n v="0"/>
    <n v="165944.24830794844"/>
    <n v="165944.24830794844"/>
    <n v="-165944.24830794844"/>
  </r>
  <r>
    <x v="920"/>
    <s v="CORREA MITTO"/>
    <x v="3"/>
    <s v="UND"/>
    <n v="11999.96"/>
    <n v="15000"/>
    <x v="18"/>
    <n v="23999.919999999998"/>
    <n v="30000"/>
    <n v="6000.0800000000017"/>
    <n v="81431.961035221175"/>
    <n v="24762.287272727273"/>
    <n v="0"/>
    <n v="130194.16830794845"/>
    <n v="65097.084153974225"/>
    <n v="-100194.16830794845"/>
  </r>
  <r>
    <x v="921"/>
    <s v="POMADA ALFA x 60 GR"/>
    <x v="5"/>
    <s v="GR"/>
    <n v="14847"/>
    <n v="18600"/>
    <x v="18"/>
    <n v="29694"/>
    <n v="37200"/>
    <n v="7506"/>
    <n v="81431.961035221175"/>
    <n v="24762.287272727273"/>
    <n v="0"/>
    <n v="135888.24830794844"/>
    <n v="67944.124153974219"/>
    <n v="-98688.248307948437"/>
  </r>
  <r>
    <x v="922"/>
    <s v="FULMINATOR X 250cc"/>
    <x v="4"/>
    <s v="CC"/>
    <n v="23600"/>
    <n v="26300"/>
    <x v="15"/>
    <n v="141600"/>
    <n v="157800"/>
    <n v="16200"/>
    <n v="81431.961035221175"/>
    <n v="24762.287272727273"/>
    <n v="0"/>
    <n v="247794.24830794844"/>
    <n v="41299.04138465807"/>
    <n v="-89994.248307948437"/>
  </r>
  <r>
    <x v="923"/>
    <s v="FULMINATOR X 100cc"/>
    <x v="4"/>
    <s v="CC"/>
    <n v="12900"/>
    <n v="15500"/>
    <x v="49"/>
    <n v="103200"/>
    <n v="124000"/>
    <n v="20800"/>
    <n v="81431.961035221175"/>
    <n v="24762.287272727273"/>
    <n v="0"/>
    <n v="209394.24830794844"/>
    <n v="26174.281038493555"/>
    <n v="-85394.248307948437"/>
  </r>
  <r>
    <x v="924"/>
    <s v="PALA CARBONERA BELLOTA"/>
    <x v="9"/>
    <s v="UND"/>
    <n v="23638"/>
    <n v="25500"/>
    <x v="17"/>
    <n v="23638"/>
    <n v="25500"/>
    <n v="1862"/>
    <n v="81431.961035221175"/>
    <n v="24762.287272727273"/>
    <n v="0"/>
    <n v="129832.24830794845"/>
    <n v="129832.24830794845"/>
    <n v="-104332.24830794845"/>
  </r>
  <r>
    <x v="925"/>
    <s v="NEODRY JERG x 10 ML"/>
    <x v="5"/>
    <s v="ML"/>
    <n v="5286"/>
    <n v="7500"/>
    <x v="0"/>
    <n v="0"/>
    <n v="0"/>
    <n v="0"/>
    <n v="81431.961035221175"/>
    <n v="24762.287272727273"/>
    <n v="0"/>
    <n v="111480.24830794845"/>
    <n v="111480.24830794845"/>
    <n v="-111480.24830794845"/>
  </r>
  <r>
    <x v="926"/>
    <s v="HEMOPAR B 12 INY x 30 ML"/>
    <x v="5"/>
    <s v="ML"/>
    <n v="16623"/>
    <n v="22500"/>
    <x v="0"/>
    <n v="0"/>
    <n v="0"/>
    <n v="0"/>
    <n v="81431.961035221175"/>
    <n v="24762.287272727273"/>
    <n v="0"/>
    <n v="122817.24830794845"/>
    <n v="122817.24830794845"/>
    <n v="-122817.24830794845"/>
  </r>
  <r>
    <x v="927"/>
    <s v="BELT x 500 ML"/>
    <x v="4"/>
    <s v="ML"/>
    <n v="375639.03999999998"/>
    <n v="412433.33333333331"/>
    <x v="15"/>
    <n v="2253834.2399999998"/>
    <n v="2474600"/>
    <n v="220765.76000000024"/>
    <n v="81431.961035221175"/>
    <n v="24762.287272727273"/>
    <n v="0"/>
    <n v="2360028.4883079482"/>
    <n v="393338.08138465806"/>
    <n v="114571.51169205178"/>
  </r>
  <r>
    <x v="928"/>
    <s v="NATIVO x LT"/>
    <x v="6"/>
    <s v="LT"/>
    <n v="128187.8"/>
    <n v="157000"/>
    <x v="15"/>
    <n v="769126.8"/>
    <n v="942000"/>
    <n v="172873.19999999995"/>
    <n v="81431.961035221175"/>
    <n v="24762.287272727273"/>
    <n v="0"/>
    <n v="875321.0483079484"/>
    <n v="145886.84138465807"/>
    <n v="66678.951692051603"/>
  </r>
  <r>
    <x v="929"/>
    <s v="R PREM CHAC x 1 KL"/>
    <x v="2"/>
    <s v="KL"/>
    <n v="5880.6799000000001"/>
    <n v="6733.333333333333"/>
    <x v="11"/>
    <n v="135255.63769999999"/>
    <n v="154866.66666666666"/>
    <n v="19611.028966666665"/>
    <n v="81431.961035221175"/>
    <n v="24762.287272727273"/>
    <n v="0"/>
    <n v="241449.88600794843"/>
    <n v="10497.821130780367"/>
    <n v="-86583.219341281772"/>
  </r>
  <r>
    <x v="930"/>
    <s v="R PREM CACH x 2 KL"/>
    <x v="2"/>
    <s v="KL"/>
    <n v="11580.7755"/>
    <n v="12800"/>
    <x v="147"/>
    <n v="1262304.5294999999"/>
    <n v="1395200"/>
    <n v="132895.47050000005"/>
    <n v="81431.961035221175"/>
    <n v="24762.287272727273"/>
    <n v="0"/>
    <n v="1368498.7778079484"/>
    <n v="12555.034658788518"/>
    <n v="26701.222192051588"/>
  </r>
  <r>
    <x v="931"/>
    <s v="BIOFLOX x TABLETA"/>
    <x v="5"/>
    <s v="TABLETA"/>
    <n v="266"/>
    <n v="500"/>
    <x v="0"/>
    <n v="0"/>
    <n v="0"/>
    <n v="0"/>
    <n v="81431.961035221175"/>
    <n v="24762.287272727273"/>
    <n v="0"/>
    <n v="106460.24830794845"/>
    <n v="106460.24830794845"/>
    <n v="-106460.24830794845"/>
  </r>
  <r>
    <x v="932"/>
    <s v="PARACANISS PUPPY X 5ML"/>
    <x v="5"/>
    <s v="UND"/>
    <n v="3143"/>
    <n v="4800"/>
    <x v="0"/>
    <n v="0"/>
    <n v="0"/>
    <n v="0"/>
    <n v="81431.961035221175"/>
    <n v="24762.287272727273"/>
    <n v="0"/>
    <n v="109337.24830794845"/>
    <n v="109337.24830794845"/>
    <n v="-109337.24830794845"/>
  </r>
  <r>
    <x v="933"/>
    <s v="GLUCONATO DE CALCIO PAST"/>
    <x v="5"/>
    <s v="PAST"/>
    <n v="222"/>
    <n v="400"/>
    <x v="15"/>
    <n v="1332"/>
    <n v="2400"/>
    <n v="1068"/>
    <n v="81431.961035221175"/>
    <n v="24762.287272727273"/>
    <n v="0"/>
    <n v="107526.24830794845"/>
    <n v="17921.041384658074"/>
    <n v="-105126.24830794845"/>
  </r>
  <r>
    <x v="934"/>
    <s v="MELOXIC POMADA X 30gr"/>
    <x v="5"/>
    <s v="UND"/>
    <n v="6500"/>
    <n v="9500"/>
    <x v="0"/>
    <n v="0"/>
    <n v="0"/>
    <n v="0"/>
    <n v="81431.961035221175"/>
    <n v="24762.287272727273"/>
    <n v="0"/>
    <n v="112694.24830794845"/>
    <n v="112694.24830794845"/>
    <n v="-112694.24830794845"/>
  </r>
  <r>
    <x v="935"/>
    <s v="CONFIRM LT"/>
    <x v="4"/>
    <s v="LT"/>
    <n v="106422.8"/>
    <n v="125900"/>
    <x v="15"/>
    <n v="638536.80000000005"/>
    <n v="755400"/>
    <n v="116863.19999999995"/>
    <n v="81431.961035221175"/>
    <n v="24762.287272727273"/>
    <n v="0"/>
    <n v="744731.0483079484"/>
    <n v="124121.84138465807"/>
    <n v="10668.951692051603"/>
  </r>
  <r>
    <x v="936"/>
    <s v="EMIVEM 50 x 500 CC"/>
    <x v="5"/>
    <s v="cc"/>
    <n v="18900"/>
    <n v="22800"/>
    <x v="0"/>
    <n v="0"/>
    <n v="0"/>
    <n v="0"/>
    <n v="81431.961035221175"/>
    <n v="24762.287272727273"/>
    <n v="0"/>
    <n v="125094.24830794845"/>
    <n v="125094.24830794845"/>
    <n v="-125094.24830794845"/>
  </r>
  <r>
    <x v="937"/>
    <s v="FORTALEXA N . x 40 GR"/>
    <x v="1"/>
    <s v="GR"/>
    <n v="4950"/>
    <n v="7000"/>
    <x v="180"/>
    <n v="866250"/>
    <n v="1225000"/>
    <n v="358750"/>
    <n v="81431.961035221175"/>
    <n v="24762.287272727273"/>
    <n v="0"/>
    <n v="972444.24830794835"/>
    <n v="5556.8242760454195"/>
    <n v="252555.75169205165"/>
  </r>
  <r>
    <x v="938"/>
    <s v="CEFTRIOL SUS 500mg X19GR"/>
    <x v="5"/>
    <s v="FRS"/>
    <n v="25462"/>
    <n v="32666.666666666668"/>
    <x v="0"/>
    <n v="0"/>
    <n v="0"/>
    <n v="0"/>
    <n v="81431.961035221175"/>
    <n v="24762.287272727273"/>
    <n v="0"/>
    <n v="131656.24830794844"/>
    <n v="131656.24830794844"/>
    <n v="-131656.24830794844"/>
  </r>
  <r>
    <x v="939"/>
    <s v="PAREDON X 120cc"/>
    <x v="5"/>
    <s v="CC"/>
    <n v="18200"/>
    <n v="21600"/>
    <x v="13"/>
    <n v="54600"/>
    <n v="64800"/>
    <n v="10200"/>
    <n v="81431.961035221175"/>
    <n v="24762.287272727273"/>
    <n v="0"/>
    <n v="160794.24830794844"/>
    <n v="53598.082769316148"/>
    <n v="-95994.248307948437"/>
  </r>
  <r>
    <x v="940"/>
    <s v="OVERSEL OVER x 500 ML"/>
    <x v="5"/>
    <s v="ML"/>
    <n v="128513"/>
    <n v="153333.33333333334"/>
    <x v="13"/>
    <n v="385539"/>
    <n v="460000"/>
    <n v="74461"/>
    <n v="81431.961035221175"/>
    <n v="24762.287272727273"/>
    <n v="0"/>
    <n v="491733.24830794847"/>
    <n v="163911.08276931616"/>
    <n v="-31733.248307948466"/>
  </r>
  <r>
    <x v="941"/>
    <s v="FERTIESPECIAL ELEMENTOS MENORES"/>
    <x v="0"/>
    <s v="BTO"/>
    <n v="130000"/>
    <n v="140000"/>
    <x v="35"/>
    <n v="520000"/>
    <n v="560000"/>
    <n v="40000"/>
    <n v="81431.961035221175"/>
    <n v="24762.287272727273"/>
    <n v="0"/>
    <n v="626194.24830794835"/>
    <n v="156548.56207698709"/>
    <n v="-66194.24830794835"/>
  </r>
  <r>
    <x v="942"/>
    <s v="CHUNKY CACH x 2 KL"/>
    <x v="2"/>
    <s v="KL"/>
    <n v="17200"/>
    <n v="18516.666666666668"/>
    <x v="90"/>
    <n v="756800"/>
    <n v="814733.33333333337"/>
    <n v="57933.333333333372"/>
    <n v="81431.961035221175"/>
    <n v="24762.287272727273"/>
    <n v="0"/>
    <n v="862994.24830794835"/>
    <n v="19613.505643362463"/>
    <n v="-48260.914974614978"/>
  </r>
  <r>
    <x v="943"/>
    <s v="CHUNKY ADT x 2 KL"/>
    <x v="2"/>
    <s v="KL"/>
    <n v="13700"/>
    <n v="15000"/>
    <x v="115"/>
    <n v="424700"/>
    <n v="465000"/>
    <n v="40300"/>
    <n v="81431.961035221175"/>
    <n v="24762.287272727273"/>
    <n v="0"/>
    <n v="530894.24830794847"/>
    <n v="17125.62091315963"/>
    <n v="-65894.248307948466"/>
  </r>
  <r>
    <x v="944"/>
    <s v="AMARRE Y CONSIST LT"/>
    <x v="1"/>
    <s v="LT"/>
    <n v="18629.032299999999"/>
    <n v="22500"/>
    <x v="23"/>
    <n v="409838.71059999999"/>
    <n v="495000"/>
    <n v="85161.289400000009"/>
    <n v="81431.961035221175"/>
    <n v="24762.287272727273"/>
    <n v="0"/>
    <n v="516032.95890794846"/>
    <n v="23456.043586724929"/>
    <n v="-21032.958907948458"/>
  </r>
  <r>
    <x v="945"/>
    <s v="FERTIENGROSS X LT"/>
    <x v="1"/>
    <s v="LT"/>
    <n v="35900"/>
    <n v="42000"/>
    <x v="7"/>
    <n v="394900"/>
    <n v="462000"/>
    <n v="67100"/>
    <n v="81431.961035221175"/>
    <n v="24762.287272727273"/>
    <n v="0"/>
    <n v="501094.24830794847"/>
    <n v="45554.02257344986"/>
    <n v="-39094.248307948466"/>
  </r>
  <r>
    <x v="946"/>
    <s v="EL ALEMAN X 20 LTS"/>
    <x v="10"/>
    <s v="20LT"/>
    <n v="499950"/>
    <n v="559666.66666666663"/>
    <x v="3"/>
    <n v="4999500"/>
    <n v="5596666.666666666"/>
    <n v="597166.66666666605"/>
    <n v="81431.961035221175"/>
    <n v="24762.287272727273"/>
    <n v="0"/>
    <n v="5105694.248307948"/>
    <n v="510569.4248307948"/>
    <n v="490972.41835871805"/>
  </r>
  <r>
    <x v="947"/>
    <s v="KENO PURE x LT"/>
    <x v="5"/>
    <s v="LT"/>
    <n v="26500"/>
    <n v="33000"/>
    <x v="0"/>
    <n v="0"/>
    <n v="0"/>
    <n v="0"/>
    <n v="81431.961035221175"/>
    <n v="24762.287272727273"/>
    <n v="0"/>
    <n v="132694.24830794844"/>
    <n v="132694.24830794844"/>
    <n v="-132694.24830794844"/>
  </r>
  <r>
    <x v="948"/>
    <s v="METRIVET OVULOS"/>
    <x v="5"/>
    <s v="UND"/>
    <n v="3164.625"/>
    <n v="3800"/>
    <x v="94"/>
    <n v="193042.125"/>
    <n v="231800"/>
    <n v="38757.875"/>
    <n v="81431.961035221175"/>
    <n v="24762.287272727273"/>
    <n v="0"/>
    <n v="299236.37330794847"/>
    <n v="4905.514316523745"/>
    <n v="-67436.373307948466"/>
  </r>
  <r>
    <x v="949"/>
    <s v="EFISOIL SUPERBIA KILO"/>
    <x v="1"/>
    <s v="KL"/>
    <n v="110000"/>
    <n v="138333"/>
    <x v="76"/>
    <n v="7590000"/>
    <n v="9544977"/>
    <n v="1954977"/>
    <n v="81431.961035221175"/>
    <n v="24762.287272727273"/>
    <n v="0"/>
    <n v="7696194.248307948"/>
    <n v="111539.04707692678"/>
    <n v="1848782.751692052"/>
  </r>
  <r>
    <x v="950"/>
    <s v="NYLON GUADAÑA x MTS"/>
    <x v="9"/>
    <s v="MTS"/>
    <n v="434.50470000000001"/>
    <n v="700"/>
    <x v="181"/>
    <n v="78645.350699999995"/>
    <n v="126700"/>
    <n v="48054.649300000005"/>
    <n v="81431.961035221175"/>
    <n v="24762.287272727273"/>
    <n v="0"/>
    <n v="184839.59900794845"/>
    <n v="1021.2132541875604"/>
    <n v="-58139.599007948447"/>
  </r>
  <r>
    <x v="951"/>
    <s v="MALLA CUADRADA x ROLLO NEGRA"/>
    <x v="9"/>
    <s v="UND"/>
    <n v="162792"/>
    <n v="186200"/>
    <x v="0"/>
    <n v="0"/>
    <n v="0"/>
    <n v="0"/>
    <n v="81431.961035221175"/>
    <n v="24762.287272727273"/>
    <n v="0"/>
    <n v="268986.24830794847"/>
    <n v="268986.24830794847"/>
    <n v="-268986.24830794847"/>
  </r>
  <r>
    <x v="952"/>
    <s v="MALLA CUADRADA x ROLLO VERDE"/>
    <x v="9"/>
    <s v="UND"/>
    <n v="162792"/>
    <n v="186200"/>
    <x v="0"/>
    <n v="0"/>
    <n v="0"/>
    <n v="0"/>
    <n v="81431.961035221175"/>
    <n v="24762.287272727273"/>
    <n v="0"/>
    <n v="268986.24830794847"/>
    <n v="268986.24830794847"/>
    <n v="-268986.24830794847"/>
  </r>
  <r>
    <x v="953"/>
    <s v="MALLA CUADRADA x ROLLO AZUL"/>
    <x v="9"/>
    <s v="UD"/>
    <n v="162792"/>
    <n v="186200"/>
    <x v="0"/>
    <n v="0"/>
    <n v="0"/>
    <n v="0"/>
    <n v="81431.961035221175"/>
    <n v="24762.287272727273"/>
    <n v="0"/>
    <n v="268986.24830794847"/>
    <n v="268986.24830794847"/>
    <n v="-268986.24830794847"/>
  </r>
  <r>
    <x v="954"/>
    <s v="MALLA CUADRADA x ROLLO AMARILLA"/>
    <x v="9"/>
    <s v="UD"/>
    <n v="162792"/>
    <n v="186200"/>
    <x v="0"/>
    <n v="0"/>
    <n v="0"/>
    <n v="0"/>
    <n v="81431.961035221175"/>
    <n v="24762.287272727273"/>
    <n v="0"/>
    <n v="268986.24830794847"/>
    <n v="268986.24830794847"/>
    <n v="-268986.24830794847"/>
  </r>
  <r>
    <x v="955"/>
    <s v="GANADOR EPRI FCO x 50 ML"/>
    <x v="5"/>
    <s v="ML"/>
    <n v="40900"/>
    <n v="48500"/>
    <x v="0"/>
    <n v="0"/>
    <n v="0"/>
    <n v="0"/>
    <n v="81431.961035221175"/>
    <n v="24762.287272727273"/>
    <n v="0"/>
    <n v="147094.24830794844"/>
    <n v="147094.24830794844"/>
    <n v="-147094.24830794844"/>
  </r>
  <r>
    <x v="956"/>
    <s v="VITAVET x 50 ML"/>
    <x v="5"/>
    <s v="ML"/>
    <n v="47600"/>
    <n v="53500"/>
    <x v="0"/>
    <n v="0"/>
    <n v="0"/>
    <n v="0"/>
    <n v="81431.961035221175"/>
    <n v="24762.287272727273"/>
    <n v="0"/>
    <n v="153794.24830794844"/>
    <n v="153794.24830794844"/>
    <n v="-153794.24830794844"/>
  </r>
  <r>
    <x v="957"/>
    <s v="MALLA CUADRADA x ROLLO NARANJA"/>
    <x v="9"/>
    <s v="ROLLO"/>
    <n v="162792"/>
    <n v="186200"/>
    <x v="0"/>
    <n v="0"/>
    <n v="0"/>
    <n v="0"/>
    <n v="81431.961035221175"/>
    <n v="24762.287272727273"/>
    <n v="0"/>
    <n v="268986.24830794847"/>
    <n v="268986.24830794847"/>
    <n v="-268986.24830794847"/>
  </r>
  <r>
    <x v="958"/>
    <s v="MALLA CUADRADA x ROLLO ROJO"/>
    <x v="9"/>
    <s v="ROLLO"/>
    <n v="162792"/>
    <n v="186200"/>
    <x v="0"/>
    <n v="0"/>
    <n v="0"/>
    <n v="0"/>
    <n v="81431.961035221175"/>
    <n v="24762.287272727273"/>
    <n v="0"/>
    <n v="268986.24830794847"/>
    <n v="268986.24830794847"/>
    <n v="-268986.24830794847"/>
  </r>
  <r>
    <x v="959"/>
    <s v="FILPO GATOS x LB"/>
    <x v="2"/>
    <s v="LB"/>
    <n v="3098.9007000000001"/>
    <n v="3683.3333333333335"/>
    <x v="134"/>
    <n v="436944.9987"/>
    <n v="519350"/>
    <n v="82405.001300000004"/>
    <n v="81431.961035221175"/>
    <n v="24762.287272727273"/>
    <n v="0"/>
    <n v="543139.24700794846"/>
    <n v="3852.0513972194926"/>
    <n v="-23789.247007948463"/>
  </r>
  <r>
    <x v="960"/>
    <s v="FILPO GATOSx 8 KL"/>
    <x v="2"/>
    <s v="KL"/>
    <n v="47578.754999999997"/>
    <n v="50933.333333333336"/>
    <x v="69"/>
    <n v="1617677.67"/>
    <n v="1731733.3333333335"/>
    <n v="114055.66333333356"/>
    <n v="81431.961035221175"/>
    <n v="24762.287272727273"/>
    <n v="0"/>
    <n v="1723871.9183079484"/>
    <n v="50702.115244351422"/>
    <n v="7861.4150253850967"/>
  </r>
  <r>
    <x v="961"/>
    <s v="N-LARGE x 250 ML"/>
    <x v="1"/>
    <s v="UND"/>
    <n v="65600"/>
    <n v="72000"/>
    <x v="28"/>
    <n v="459200"/>
    <n v="504000"/>
    <n v="44800"/>
    <n v="81431.961035221175"/>
    <n v="24762.287272727273"/>
    <n v="0"/>
    <n v="565394.24830794835"/>
    <n v="80770.606901135485"/>
    <n v="-61394.24830794835"/>
  </r>
  <r>
    <x v="962"/>
    <s v="RC-203X EMPAQUE RECIPIENTE"/>
    <x v="3"/>
    <s v="UND"/>
    <n v="1400"/>
    <n v="2250"/>
    <x v="83"/>
    <n v="25200"/>
    <n v="40500"/>
    <n v="15300"/>
    <n v="81431.961035221175"/>
    <n v="24762.287272727273"/>
    <n v="0"/>
    <n v="131394.24830794844"/>
    <n v="7299.6804615526908"/>
    <n v="-90894.248307948437"/>
  </r>
  <r>
    <x v="963"/>
    <s v="RC-806/805/820X TORNILLO/TUERCA/ARANDELA"/>
    <x v="3"/>
    <s v="UND"/>
    <n v="1300"/>
    <n v="1800"/>
    <x v="7"/>
    <n v="14300"/>
    <n v="19800"/>
    <n v="5500"/>
    <n v="81431.961035221175"/>
    <n v="24762.287272727273"/>
    <n v="0"/>
    <n v="120494.24830794845"/>
    <n v="10954.02257344986"/>
    <n v="-100694.24830794845"/>
  </r>
  <r>
    <x v="964"/>
    <s v="RC-700EHX CORREA NEG ECONOMICA"/>
    <x v="3"/>
    <s v="UND"/>
    <n v="10900"/>
    <n v="13000"/>
    <x v="0"/>
    <n v="0"/>
    <n v="0"/>
    <n v="0"/>
    <n v="81431.961035221175"/>
    <n v="24762.287272727273"/>
    <n v="0"/>
    <n v="117094.24830794845"/>
    <n v="117094.24830794845"/>
    <n v="-117094.24830794845"/>
  </r>
  <r>
    <x v="965"/>
    <s v="RC-400EX EMBOLO ENSAMBLADO"/>
    <x v="3"/>
    <s v="UND"/>
    <n v="14545.37"/>
    <n v="18866.666666666668"/>
    <x v="35"/>
    <n v="58181.48"/>
    <n v="75466.666666666672"/>
    <n v="17285.186666666668"/>
    <n v="81431.961035221175"/>
    <n v="24762.287272727273"/>
    <n v="0"/>
    <n v="164375.72830794845"/>
    <n v="41093.932076987112"/>
    <n v="-88909.061641281776"/>
  </r>
  <r>
    <x v="966"/>
    <s v="RC-105X TUBO BOMBA METALICO"/>
    <x v="3"/>
    <s v="UND"/>
    <n v="23000"/>
    <n v="28500"/>
    <x v="17"/>
    <n v="23000"/>
    <n v="28500"/>
    <n v="5500"/>
    <n v="81431.961035221175"/>
    <n v="24762.287272727273"/>
    <n v="0"/>
    <n v="129194.24830794845"/>
    <n v="129194.24830794845"/>
    <n v="-100694.24830794845"/>
  </r>
  <r>
    <x v="967"/>
    <s v="RA-105PX TUBO BOMBA PLASTICO"/>
    <x v="3"/>
    <s v="UND"/>
    <n v="10400"/>
    <n v="11700"/>
    <x v="35"/>
    <n v="41600"/>
    <n v="46800"/>
    <n v="5200"/>
    <n v="81431.961035221175"/>
    <n v="24762.287272727273"/>
    <n v="0"/>
    <n v="147794.24830794844"/>
    <n v="36948.562076987109"/>
    <n v="-100994.24830794844"/>
  </r>
  <r>
    <x v="968"/>
    <s v="RC-125EX RACOR MET CHASIS PLAT TUB"/>
    <x v="3"/>
    <s v="UND"/>
    <n v="4130.49"/>
    <n v="6500"/>
    <x v="83"/>
    <n v="74348.819999999992"/>
    <n v="117000"/>
    <n v="42651.180000000008"/>
    <n v="81431.961035221175"/>
    <n v="24762.287272727273"/>
    <n v="0"/>
    <n v="180543.06830794844"/>
    <n v="10030.170461552691"/>
    <n v="-63543.068307948444"/>
  </r>
  <r>
    <x v="969"/>
    <s v="RC-933X FILTRO LLAVE DE PASO"/>
    <x v="3"/>
    <s v="UND"/>
    <n v="4300"/>
    <n v="5000"/>
    <x v="13"/>
    <n v="12900"/>
    <n v="15000"/>
    <n v="2100"/>
    <n v="81431.961035221175"/>
    <n v="24762.287272727273"/>
    <n v="0"/>
    <n v="119094.24830794845"/>
    <n v="39698.082769316148"/>
    <n v="-104094.24830794845"/>
  </r>
  <r>
    <x v="970"/>
    <s v="RA-K2X KIT EMPAQUES ALIADA/ACTIVA"/>
    <x v="3"/>
    <s v="UND"/>
    <n v="3500"/>
    <n v="4200"/>
    <x v="49"/>
    <n v="28000"/>
    <n v="33600"/>
    <n v="5600"/>
    <n v="81431.961035221175"/>
    <n v="24762.287272727273"/>
    <n v="0"/>
    <n v="134194.24830794844"/>
    <n v="16774.281038493555"/>
    <n v="-100594.24830794844"/>
  </r>
  <r>
    <x v="971"/>
    <s v="Y1 PORTABOQUILLA DOBLE"/>
    <x v="3"/>
    <s v="UND"/>
    <n v="21420"/>
    <n v="25000"/>
    <x v="0"/>
    <n v="0"/>
    <n v="0"/>
    <n v="0"/>
    <n v="81431.961035221175"/>
    <n v="24762.287272727273"/>
    <n v="0"/>
    <n v="127614.24830794845"/>
    <n v="127614.24830794845"/>
    <n v="-127614.24830794845"/>
  </r>
  <r>
    <x v="972"/>
    <s v="SOLU ACT INICION x KL"/>
    <x v="0"/>
    <s v="UND"/>
    <n v="6857"/>
    <n v="10833.333333333334"/>
    <x v="3"/>
    <n v="68570"/>
    <n v="108333.33333333334"/>
    <n v="39763.333333333343"/>
    <n v="81431.961035221175"/>
    <n v="24762.287272727273"/>
    <n v="0"/>
    <n v="174764.24830794844"/>
    <n v="17476.424830794844"/>
    <n v="-66430.914974615094"/>
  </r>
  <r>
    <x v="973"/>
    <s v="PROMOCALIER x LT"/>
    <x v="5"/>
    <s v="LT"/>
    <n v="70401.45"/>
    <n v="83500"/>
    <x v="26"/>
    <n v="352007.25"/>
    <n v="417500"/>
    <n v="65492.75"/>
    <n v="81431.961035221175"/>
    <n v="24762.287272727273"/>
    <n v="0"/>
    <n v="458201.49830794847"/>
    <n v="91640.299661589699"/>
    <n v="-40701.498307948466"/>
  </r>
  <r>
    <x v="974"/>
    <s v="GENZURIL JGA x 30 ML"/>
    <x v="5"/>
    <s v="ML"/>
    <n v="19488"/>
    <n v="24800"/>
    <x v="0"/>
    <n v="0"/>
    <n v="0"/>
    <n v="0"/>
    <n v="81431.961035221175"/>
    <n v="24762.287272727273"/>
    <n v="0"/>
    <n v="125682.24830794845"/>
    <n v="125682.24830794845"/>
    <n v="-125682.24830794845"/>
  </r>
  <r>
    <x v="975"/>
    <s v="NF-20 x 10 ML (NORFLOXACINA)"/>
    <x v="5"/>
    <s v="ML"/>
    <n v="3877"/>
    <n v="6200"/>
    <x v="0"/>
    <n v="0"/>
    <n v="0"/>
    <n v="0"/>
    <n v="81431.961035221175"/>
    <n v="24762.287272727273"/>
    <n v="0"/>
    <n v="110071.24830794845"/>
    <n v="110071.24830794845"/>
    <n v="-110071.24830794845"/>
  </r>
  <r>
    <x v="976"/>
    <s v="FLORBIOTICO ORAL x 10 ML"/>
    <x v="5"/>
    <s v="ML"/>
    <n v="5997"/>
    <n v="8500"/>
    <x v="35"/>
    <n v="23988"/>
    <n v="34000"/>
    <n v="10012"/>
    <n v="81431.961035221175"/>
    <n v="24762.287272727273"/>
    <n v="0"/>
    <n v="130182.24830794845"/>
    <n v="32545.562076987113"/>
    <n v="-96182.248307948452"/>
  </r>
  <r>
    <x v="977"/>
    <s v="PARACANIS JGA x 2 ML"/>
    <x v="5"/>
    <s v="ML"/>
    <n v="2812"/>
    <n v="4800"/>
    <x v="13"/>
    <n v="8436"/>
    <n v="14400"/>
    <n v="5964"/>
    <n v="81431.961035221175"/>
    <n v="24762.287272727273"/>
    <n v="0"/>
    <n v="114630.24830794845"/>
    <n v="38210.082769316148"/>
    <n v="-100230.24830794845"/>
  </r>
  <r>
    <x v="978"/>
    <s v="ROFLAXIVEM 5% INY x 50 ML"/>
    <x v="5"/>
    <s v="ML"/>
    <n v="14415"/>
    <n v="16583.333333333332"/>
    <x v="35"/>
    <n v="57660"/>
    <n v="66333.333333333328"/>
    <n v="8673.3333333333285"/>
    <n v="81431.961035221175"/>
    <n v="24762.287272727273"/>
    <n v="0"/>
    <n v="163854.24830794844"/>
    <n v="40963.562076987109"/>
    <n v="-97520.914974615109"/>
  </r>
  <r>
    <x v="979"/>
    <s v="NOVAC-20 FCO x 120 ML"/>
    <x v="5"/>
    <s v="ML"/>
    <n v="5610"/>
    <n v="7300"/>
    <x v="26"/>
    <n v="28050"/>
    <n v="36500"/>
    <n v="8450"/>
    <n v="81431.961035221175"/>
    <n v="24762.287272727273"/>
    <n v="0"/>
    <n v="134244.24830794844"/>
    <n v="26848.849661589687"/>
    <n v="-97744.248307948437"/>
  </r>
  <r>
    <x v="980"/>
    <s v="NEXGARD 10-25 KG TALLA L VERDE"/>
    <x v="5"/>
    <s v="ML"/>
    <n v="37676"/>
    <n v="42500"/>
    <x v="15"/>
    <n v="226056"/>
    <n v="255000"/>
    <n v="28944"/>
    <n v="81431.961035221175"/>
    <n v="24762.287272727273"/>
    <n v="0"/>
    <n v="332250.24830794847"/>
    <n v="55375.041384658078"/>
    <n v="-77250.248307948466"/>
  </r>
  <r>
    <x v="981"/>
    <s v="NEXGARD 4-10 KG TALLA M AZUL"/>
    <x v="5"/>
    <s v="ML"/>
    <n v="31941"/>
    <n v="37500"/>
    <x v="28"/>
    <n v="223587"/>
    <n v="262500"/>
    <n v="38913"/>
    <n v="81431.961035221175"/>
    <n v="24762.287272727273"/>
    <n v="0"/>
    <n v="329781.24830794847"/>
    <n v="47111.606901135492"/>
    <n v="-67281.248307948466"/>
  </r>
  <r>
    <x v="982"/>
    <s v="LIVANAL x 10 ML"/>
    <x v="5"/>
    <s v="ML"/>
    <n v="8907"/>
    <n v="12500"/>
    <x v="26"/>
    <n v="44535"/>
    <n v="62500"/>
    <n v="17965"/>
    <n v="81431.961035221175"/>
    <n v="24762.287272727273"/>
    <n v="0"/>
    <n v="150729.24830794844"/>
    <n v="30145.849661589687"/>
    <n v="-88229.248307948437"/>
  </r>
  <r>
    <x v="983"/>
    <s v="COMPLEX 55 x 20 ML"/>
    <x v="5"/>
    <s v="ML"/>
    <n v="11810"/>
    <n v="15050"/>
    <x v="12"/>
    <n v="165340"/>
    <n v="210700"/>
    <n v="45360"/>
    <n v="81431.961035221175"/>
    <n v="24762.287272727273"/>
    <n v="0"/>
    <n v="271534.24830794847"/>
    <n v="19395.303450567746"/>
    <n v="-60834.248307948466"/>
  </r>
  <r>
    <x v="984"/>
    <s v="PROMOCALIER x 100 ML"/>
    <x v="5"/>
    <s v="ML"/>
    <n v="18379"/>
    <n v="23500"/>
    <x v="49"/>
    <n v="147032"/>
    <n v="188000"/>
    <n v="40968"/>
    <n v="81431.961035221175"/>
    <n v="24762.287272727273"/>
    <n v="0"/>
    <n v="253226.24830794844"/>
    <n v="31653.281038493555"/>
    <n v="-65226.248307948437"/>
  </r>
  <r>
    <x v="985"/>
    <s v="CHUNKY ADT x 25 KL"/>
    <x v="2"/>
    <s v="KL"/>
    <n v="135600"/>
    <n v="148900"/>
    <x v="37"/>
    <n v="2034000"/>
    <n v="2233500"/>
    <n v="199500"/>
    <n v="81431.961035221175"/>
    <n v="24762.287272727273"/>
    <n v="0"/>
    <n v="2140194.2483079485"/>
    <n v="142679.61655386322"/>
    <n v="93305.751692051534"/>
  </r>
  <r>
    <x v="986"/>
    <s v="BIORGAN x 50 ML"/>
    <x v="5"/>
    <s v="UND"/>
    <n v="9900"/>
    <n v="12800"/>
    <x v="17"/>
    <n v="9900"/>
    <n v="12800"/>
    <n v="2900"/>
    <n v="81431.961035221175"/>
    <n v="24762.287272727273"/>
    <n v="0"/>
    <n v="116094.24830794845"/>
    <n v="116094.24830794845"/>
    <n v="-103294.24830794845"/>
  </r>
  <r>
    <x v="987"/>
    <s v="SAL SOMEX 5% x 40 KL"/>
    <x v="2"/>
    <s v="BULTO"/>
    <n v="75600"/>
    <n v="88141.666666666672"/>
    <x v="15"/>
    <n v="453600"/>
    <n v="528850"/>
    <n v="75250"/>
    <n v="81431.961035221175"/>
    <n v="24762.287272727273"/>
    <n v="0"/>
    <n v="559794.24830794835"/>
    <n v="93299.041384658063"/>
    <n v="-30944.24830794835"/>
  </r>
  <r>
    <x v="988"/>
    <s v="RAPTOR PELLETS x 300 GR"/>
    <x v="4"/>
    <s v="GR"/>
    <n v="22700"/>
    <n v="26000"/>
    <x v="67"/>
    <n v="431300"/>
    <n v="494000"/>
    <n v="62700"/>
    <n v="81431.961035221175"/>
    <n v="24762.287272727273"/>
    <n v="0"/>
    <n v="537494.24830794847"/>
    <n v="28289.170963576234"/>
    <n v="-43494.248307948466"/>
  </r>
  <r>
    <x v="989"/>
    <s v="AGUJA DES 20 &quot; 1 PORCINO"/>
    <x v="8"/>
    <s v="und"/>
    <n v="182.07"/>
    <n v="300"/>
    <x v="5"/>
    <n v="8739.36"/>
    <n v="14400"/>
    <n v="5660.6399999999994"/>
    <n v="81431.961035221175"/>
    <n v="24762.287272727273"/>
    <n v="0"/>
    <n v="114933.60830794845"/>
    <n v="2394.4501730822594"/>
    <n v="-100533.60830794845"/>
  </r>
  <r>
    <x v="990"/>
    <s v="AGUJA DESC 18 * 1/2"/>
    <x v="8"/>
    <s v="UND"/>
    <n v="291.66669999999999"/>
    <n v="500"/>
    <x v="39"/>
    <n v="7000.0007999999998"/>
    <n v="12000"/>
    <n v="4999.9992000000002"/>
    <n v="81431.961035221175"/>
    <n v="24762.287272727273"/>
    <n v="0"/>
    <n v="113194.24910794845"/>
    <n v="4716.4270461645183"/>
    <n v="-101194.24910794845"/>
  </r>
  <r>
    <x v="991"/>
    <s v="AGUJA DES 18 &quot; 1 1/2"/>
    <x v="8"/>
    <s v="UND"/>
    <n v="182.07"/>
    <n v="300"/>
    <x v="102"/>
    <n v="6918.66"/>
    <n v="11400"/>
    <n v="4481.34"/>
    <n v="81431.961035221175"/>
    <n v="24762.287272727273"/>
    <n v="0"/>
    <n v="113112.90830794846"/>
    <n v="2976.6554817881174"/>
    <n v="-101712.90830794846"/>
  </r>
  <r>
    <x v="992"/>
    <s v="AGUJA DURATEK 16 x 1/2"/>
    <x v="8"/>
    <s v="UND"/>
    <n v="1606.5"/>
    <n v="2000"/>
    <x v="35"/>
    <n v="6426"/>
    <n v="8000"/>
    <n v="1574"/>
    <n v="81431.961035221175"/>
    <n v="24762.287272727273"/>
    <n v="0"/>
    <n v="112620.24830794845"/>
    <n v="28155.062076987113"/>
    <n v="-104620.24830794845"/>
  </r>
  <r>
    <x v="993"/>
    <s v="ARGOLLA NARIGUERA BRONCE DELGADA"/>
    <x v="8"/>
    <s v="UND"/>
    <n v="8211"/>
    <n v="10800"/>
    <x v="0"/>
    <n v="0"/>
    <n v="0"/>
    <n v="0"/>
    <n v="81431.961035221175"/>
    <n v="24762.287272727273"/>
    <n v="0"/>
    <n v="114405.24830794845"/>
    <n v="114405.24830794845"/>
    <n v="-114405.24830794845"/>
  </r>
  <r>
    <x v="994"/>
    <s v="FILTRO MALLA PLASTICO"/>
    <x v="8"/>
    <s v="UND"/>
    <n v="4641"/>
    <n v="5800"/>
    <x v="15"/>
    <n v="27846"/>
    <n v="34800"/>
    <n v="6954"/>
    <n v="81431.961035221175"/>
    <n v="24762.287272727273"/>
    <n v="0"/>
    <n v="134040.24830794844"/>
    <n v="22340.041384658074"/>
    <n v="-99240.248307948437"/>
  </r>
  <r>
    <x v="995"/>
    <s v="AMINOVIT x 5 LT"/>
    <x v="1"/>
    <s v="GL"/>
    <n v="205000"/>
    <n v="262166.66666666669"/>
    <x v="28"/>
    <n v="1435000"/>
    <n v="1835166.6666666667"/>
    <n v="400166.66666666674"/>
    <n v="81431.961035221175"/>
    <n v="24762.287272727273"/>
    <n v="0"/>
    <n v="1541194.2483079485"/>
    <n v="220170.6069011355"/>
    <n v="293972.41835871828"/>
  </r>
  <r>
    <x v="996"/>
    <s v="AMARRE Y CONSISTENCIA x GALON"/>
    <x v="1"/>
    <s v="GALON"/>
    <n v="64350"/>
    <n v="83500"/>
    <x v="50"/>
    <n v="836550"/>
    <n v="1085500"/>
    <n v="248950"/>
    <n v="81431.961035221175"/>
    <n v="24762.287272727273"/>
    <n v="0"/>
    <n v="942744.24830794835"/>
    <n v="72518.788331380638"/>
    <n v="142755.75169205165"/>
  </r>
  <r>
    <x v="997"/>
    <s v="NEXGARD 25 - 50 KG TALLA XL ROJO"/>
    <x v="5"/>
    <s v="UND"/>
    <n v="45216"/>
    <n v="49600"/>
    <x v="35"/>
    <n v="180864"/>
    <n v="198400"/>
    <n v="17536"/>
    <n v="81431.961035221175"/>
    <n v="24762.287272727273"/>
    <n v="0"/>
    <n v="287058.24830794847"/>
    <n v="71764.562076987117"/>
    <n v="-88658.248307948466"/>
  </r>
  <r>
    <x v="998"/>
    <s v="RONDEL x 2 ML"/>
    <x v="5"/>
    <s v="ML"/>
    <n v="5843"/>
    <n v="9800"/>
    <x v="15"/>
    <n v="35058"/>
    <n v="58800"/>
    <n v="23742"/>
    <n v="81431.961035221175"/>
    <n v="24762.287272727273"/>
    <n v="0"/>
    <n v="141252.24830794844"/>
    <n v="23542.041384658074"/>
    <n v="-82452.248307948437"/>
  </r>
  <r>
    <x v="999"/>
    <s v="GRAMOXONE x 20 LTS"/>
    <x v="10"/>
    <s v="POMA"/>
    <n v="415300"/>
    <n v="470833.33333333331"/>
    <x v="15"/>
    <n v="2491800"/>
    <n v="2825000"/>
    <n v="333200"/>
    <n v="81431.961035221175"/>
    <n v="24762.287272727273"/>
    <n v="0"/>
    <n v="2597994.2483079485"/>
    <n v="432999.04138465808"/>
    <n v="227005.75169205153"/>
  </r>
  <r>
    <x v="1000"/>
    <s v="DIFECOL x LT"/>
    <x v="6"/>
    <s v="LT"/>
    <n v="98000"/>
    <n v="115000"/>
    <x v="26"/>
    <n v="490000"/>
    <n v="575000"/>
    <n v="85000"/>
    <n v="81431.961035221175"/>
    <n v="24762.287272727273"/>
    <n v="0"/>
    <n v="596194.24830794835"/>
    <n v="119238.84966158967"/>
    <n v="-21194.24830794835"/>
  </r>
  <r>
    <x v="1001"/>
    <s v="ALFA 3 SUSP x 30 ML"/>
    <x v="5"/>
    <s v="ml"/>
    <n v="9372"/>
    <n v="12800"/>
    <x v="0"/>
    <n v="0"/>
    <n v="0"/>
    <n v="0"/>
    <n v="81431.961035221175"/>
    <n v="24762.287272727273"/>
    <n v="0"/>
    <n v="115566.24830794845"/>
    <n v="115566.24830794845"/>
    <n v="-115566.24830794845"/>
  </r>
  <r>
    <x v="1002"/>
    <s v="NOVAC-20 x LITRO"/>
    <x v="5"/>
    <s v="LITRO"/>
    <n v="32269"/>
    <n v="41000"/>
    <x v="0"/>
    <n v="0"/>
    <n v="0"/>
    <n v="0"/>
    <n v="81431.961035221175"/>
    <n v="24762.287272727273"/>
    <n v="0"/>
    <n v="138463.24830794844"/>
    <n v="138463.24830794844"/>
    <n v="-138463.24830794844"/>
  </r>
  <r>
    <x v="1003"/>
    <s v="TRONADOR x 20 LT"/>
    <x v="10"/>
    <s v="POMA"/>
    <n v="265000"/>
    <n v="346666.66666666669"/>
    <x v="35"/>
    <n v="1060000"/>
    <n v="1386666.6666666667"/>
    <n v="326666.66666666674"/>
    <n v="81431.961035221175"/>
    <n v="24762.287272727273"/>
    <n v="0"/>
    <n v="1166194.2483079485"/>
    <n v="291548.56207698712"/>
    <n v="220472.41835871828"/>
  </r>
  <r>
    <x v="1004"/>
    <s v="KOYOTE x LT"/>
    <x v="4"/>
    <s v="LT"/>
    <n v="42000"/>
    <n v="49000"/>
    <x v="9"/>
    <n v="672000"/>
    <n v="784000"/>
    <n v="112000"/>
    <n v="81431.961035221175"/>
    <n v="24762.287272727273"/>
    <n v="0"/>
    <n v="778194.24830794835"/>
    <n v="48637.140519246772"/>
    <n v="5805.75169205165"/>
  </r>
  <r>
    <x v="1005"/>
    <s v="AZIMUT 320 SC COEX x 250 CC"/>
    <x v="6"/>
    <s v="CC"/>
    <n v="55232"/>
    <n v="66800"/>
    <x v="12"/>
    <n v="773248"/>
    <n v="935200"/>
    <n v="161952"/>
    <n v="81431.961035221175"/>
    <n v="24762.287272727273"/>
    <n v="0"/>
    <n v="879442.24830794835"/>
    <n v="62817.303450567742"/>
    <n v="55757.75169205165"/>
  </r>
  <r>
    <x v="1006"/>
    <s v="RC-811 TORNILLO EMPAQUE Y REFUERZO RECIPIENTE"/>
    <x v="3"/>
    <s v="UND"/>
    <n v="2500"/>
    <n v="3500"/>
    <x v="17"/>
    <n v="2500"/>
    <n v="3500"/>
    <n v="1000"/>
    <n v="81431.961035221175"/>
    <n v="24762.287272727273"/>
    <n v="0"/>
    <n v="108694.24830794845"/>
    <n v="108694.24830794845"/>
    <n v="-105194.24830794845"/>
  </r>
  <r>
    <x v="1007"/>
    <s v="RC-303X TUERCA MARIPOSA METALICA"/>
    <x v="3"/>
    <s v="UND"/>
    <n v="3678.29"/>
    <n v="4800"/>
    <x v="28"/>
    <n v="25748.03"/>
    <n v="33600"/>
    <n v="7851.9700000000012"/>
    <n v="81431.961035221175"/>
    <n v="24762.287272727273"/>
    <n v="0"/>
    <n v="131942.27830794844"/>
    <n v="18848.896901135489"/>
    <n v="-98342.278307948436"/>
  </r>
  <r>
    <x v="1008"/>
    <s v="RC-920ELPX LLAVE INTEGRA"/>
    <x v="3"/>
    <s v="UND"/>
    <n v="15500"/>
    <n v="17083.333333333332"/>
    <x v="15"/>
    <n v="93000"/>
    <n v="102500"/>
    <n v="9500"/>
    <n v="81431.961035221175"/>
    <n v="24762.287272727273"/>
    <n v="0"/>
    <n v="199194.24830794844"/>
    <n v="33199.04138465807"/>
    <n v="-96694.248307948437"/>
  </r>
  <r>
    <x v="1009"/>
    <s v="RA-501DEX CAMARA DE PRESION BLANCA"/>
    <x v="3"/>
    <s v="UND"/>
    <n v="11163.39"/>
    <n v="13800"/>
    <x v="18"/>
    <n v="22326.78"/>
    <n v="27600"/>
    <n v="5273.2200000000012"/>
    <n v="81431.961035221175"/>
    <n v="24762.287272727273"/>
    <n v="0"/>
    <n v="128521.02830794845"/>
    <n v="64260.514153974225"/>
    <n v="-100921.02830794845"/>
  </r>
  <r>
    <x v="1010"/>
    <s v="RC-120X TUBO DE SALIDA"/>
    <x v="3"/>
    <s v="UND"/>
    <n v="5057.5"/>
    <n v="7200"/>
    <x v="3"/>
    <n v="50575"/>
    <n v="72000"/>
    <n v="21425"/>
    <n v="81431.961035221175"/>
    <n v="24762.287272727273"/>
    <n v="0"/>
    <n v="156769.24830794844"/>
    <n v="15676.924830794844"/>
    <n v="-84769.248307948437"/>
  </r>
  <r>
    <x v="1011"/>
    <s v="RC-803X VARILLA ASCENSO"/>
    <x v="3"/>
    <s v="UND"/>
    <n v="11000"/>
    <n v="13500"/>
    <x v="17"/>
    <n v="11000"/>
    <n v="13500"/>
    <n v="2500"/>
    <n v="81431.961035221175"/>
    <n v="24762.287272727273"/>
    <n v="0"/>
    <n v="117194.24830794845"/>
    <n v="117194.24830794845"/>
    <n v="-103694.24830794845"/>
  </r>
  <r>
    <x v="1012"/>
    <s v="RC-700EA1 CORREA ACOLCHADA"/>
    <x v="3"/>
    <s v="UND"/>
    <n v="21899.999899999999"/>
    <n v="25000"/>
    <x v="49"/>
    <n v="175199.99919999999"/>
    <n v="200000"/>
    <n v="24800.000800000009"/>
    <n v="81431.961035221175"/>
    <n v="24762.287272727273"/>
    <n v="0"/>
    <n v="281394.24750794843"/>
    <n v="35174.280938493554"/>
    <n v="-81394.247507948428"/>
  </r>
  <r>
    <x v="1013"/>
    <s v="RC-817X ABRAZADERA CAMARA"/>
    <x v="3"/>
    <s v="UND"/>
    <n v="2587.06"/>
    <n v="4000"/>
    <x v="13"/>
    <n v="7761.18"/>
    <n v="12000"/>
    <n v="4238.82"/>
    <n v="81431.961035221175"/>
    <n v="24762.287272727273"/>
    <n v="0"/>
    <n v="113955.42830794844"/>
    <n v="37985.142769316146"/>
    <n v="-101955.42830794844"/>
  </r>
  <r>
    <x v="1014"/>
    <s v="RG-818X ABRAZADERA TUBO BOMBA"/>
    <x v="3"/>
    <s v="UND"/>
    <n v="2200"/>
    <n v="2500"/>
    <x v="15"/>
    <n v="13200"/>
    <n v="15000"/>
    <n v="1800"/>
    <n v="81431.961035221175"/>
    <n v="24762.287272727273"/>
    <n v="0"/>
    <n v="119394.24830794845"/>
    <n v="19899.041384658074"/>
    <n v="-104394.24830794845"/>
  </r>
  <r>
    <x v="1015"/>
    <s v="POLIQUEL MG x LT"/>
    <x v="1"/>
    <s v="LT"/>
    <n v="39009.839999999997"/>
    <n v="45200"/>
    <x v="18"/>
    <n v="78019.679999999993"/>
    <n v="90400"/>
    <n v="12380.320000000007"/>
    <n v="81431.961035221175"/>
    <n v="24762.287272727273"/>
    <n v="0"/>
    <n v="184213.92830794843"/>
    <n v="92106.964153974215"/>
    <n v="-93813.92830794843"/>
  </r>
  <r>
    <x v="1016"/>
    <s v="AZIMUT 320 SC x LT"/>
    <x v="6"/>
    <s v="LT"/>
    <n v="198579"/>
    <n v="217166.66666666666"/>
    <x v="13"/>
    <n v="595737"/>
    <n v="651500"/>
    <n v="55763"/>
    <n v="81431.961035221175"/>
    <n v="24762.287272727273"/>
    <n v="0"/>
    <n v="701931.24830794835"/>
    <n v="233977.08276931613"/>
    <n v="-50431.24830794835"/>
  </r>
  <r>
    <x v="1017"/>
    <s v="AVEX X  LITRO"/>
    <x v="5"/>
    <s v="LT"/>
    <n v="49287"/>
    <n v="59000"/>
    <x v="17"/>
    <n v="49287"/>
    <n v="59000"/>
    <n v="9713"/>
    <n v="81431.961035221175"/>
    <n v="24762.287272727273"/>
    <n v="0"/>
    <n v="155481.24830794844"/>
    <n v="155481.24830794844"/>
    <n v="-96481.248307948437"/>
  </r>
  <r>
    <x v="1018"/>
    <s v="LECHUGA GRANDES LAGOS BATAVIA x 1GR"/>
    <x v="11"/>
    <s v="GR"/>
    <n v="600"/>
    <n v="1600"/>
    <x v="49"/>
    <n v="4800"/>
    <n v="12800"/>
    <n v="8000"/>
    <n v="81431.961035221175"/>
    <n v="24762.287272727273"/>
    <n v="0"/>
    <n v="110994.24830794845"/>
    <n v="13874.281038493556"/>
    <n v="-98194.248307948452"/>
  </r>
  <r>
    <x v="1019"/>
    <s v="YUDO 50 ECx LITRO"/>
    <x v="6"/>
    <s v="LITRO"/>
    <n v="31500"/>
    <n v="45000"/>
    <x v="39"/>
    <n v="756000"/>
    <n v="1080000"/>
    <n v="324000"/>
    <n v="81431.961035221175"/>
    <n v="24762.287272727273"/>
    <n v="0"/>
    <n v="862194.24830794835"/>
    <n v="35924.760346164512"/>
    <n v="217805.75169205165"/>
  </r>
  <r>
    <x v="1020"/>
    <s v="CREDIT x SOBRE"/>
    <x v="10"/>
    <s v="SOB"/>
    <n v="3000"/>
    <n v="3800"/>
    <x v="0"/>
    <n v="0"/>
    <n v="0"/>
    <n v="0"/>
    <n v="81431.961035221175"/>
    <n v="24762.287272727273"/>
    <n v="0"/>
    <n v="109194.24830794845"/>
    <n v="109194.24830794845"/>
    <n v="-109194.24830794845"/>
  </r>
  <r>
    <x v="1021"/>
    <s v="FORTALEXA N.V x 200 GR"/>
    <x v="1"/>
    <s v="GR"/>
    <n v="21100"/>
    <n v="24166.666666666668"/>
    <x v="83"/>
    <n v="379800"/>
    <n v="435000"/>
    <n v="55200"/>
    <n v="81431.961035221175"/>
    <n v="24762.287272727273"/>
    <n v="0"/>
    <n v="485994.24830794847"/>
    <n v="26999.680461552693"/>
    <n v="-50994.248307948466"/>
  </r>
  <r>
    <x v="1022"/>
    <s v="TROPEL"/>
    <x v="5"/>
    <s v="ML"/>
    <n v="13000"/>
    <n v="16000"/>
    <x v="19"/>
    <n v="364000"/>
    <n v="448000"/>
    <n v="84000"/>
    <n v="81431.961035221175"/>
    <n v="24762.287272727273"/>
    <n v="0"/>
    <n v="470194.24830794847"/>
    <n v="16792.651725283875"/>
    <n v="-22194.248307948466"/>
  </r>
  <r>
    <x v="1023"/>
    <s v="LANZA ALUMINIO 1.0 MT"/>
    <x v="3"/>
    <s v="UND"/>
    <n v="10710"/>
    <n v="14000"/>
    <x v="0"/>
    <n v="0"/>
    <n v="0"/>
    <n v="0"/>
    <n v="81431.961035221175"/>
    <n v="24762.287272727273"/>
    <n v="0"/>
    <n v="116904.24830794845"/>
    <n v="116904.24830794845"/>
    <n v="-116904.24830794845"/>
  </r>
  <r>
    <x v="1024"/>
    <s v="LANZA ALUMINIO 1.2 RC"/>
    <x v="3"/>
    <s v="UND"/>
    <n v="11999.96"/>
    <n v="14500"/>
    <x v="17"/>
    <n v="11999.96"/>
    <n v="14500"/>
    <n v="2500.0400000000009"/>
    <n v="81431.961035221175"/>
    <n v="24762.287272727273"/>
    <n v="0"/>
    <n v="118194.20830794844"/>
    <n v="118194.20830794844"/>
    <n v="-103694.20830794844"/>
  </r>
  <r>
    <x v="1025"/>
    <s v="RJ-101847EX BOQUILLA 250/150 CC"/>
    <x v="3"/>
    <s v="UND"/>
    <n v="3149.93"/>
    <n v="6000"/>
    <x v="28"/>
    <n v="22049.51"/>
    <n v="42000"/>
    <n v="19950.490000000002"/>
    <n v="81431.961035221175"/>
    <n v="24762.287272727273"/>
    <n v="0"/>
    <n v="128243.75830794845"/>
    <n v="18320.536901135492"/>
    <n v="-86243.758307948447"/>
  </r>
  <r>
    <x v="1026"/>
    <s v="Y1 PORTABOQUILLA BRONCE"/>
    <x v="3"/>
    <s v="UND"/>
    <n v="25499.32"/>
    <n v="28600"/>
    <x v="13"/>
    <n v="76497.959999999992"/>
    <n v="85800"/>
    <n v="9302.0400000000081"/>
    <n v="81431.961035221175"/>
    <n v="24762.287272727273"/>
    <n v="0"/>
    <n v="182692.20830794843"/>
    <n v="60897.402769316141"/>
    <n v="-96892.208307948429"/>
  </r>
  <r>
    <x v="1027"/>
    <s v="RACOR ROJO MANGUERA PLASTICO"/>
    <x v="3"/>
    <s v="UND"/>
    <n v="599.76"/>
    <n v="933.33333333333337"/>
    <x v="49"/>
    <n v="4798.08"/>
    <n v="7466.666666666667"/>
    <n v="2668.586666666667"/>
    <n v="81431.961035221175"/>
    <n v="24762.287272727273"/>
    <n v="0"/>
    <n v="110992.32830794845"/>
    <n v="13874.041038493557"/>
    <n v="-103525.66164128178"/>
  </r>
  <r>
    <x v="1028"/>
    <s v="AISLADOR CERCA VIVA AMARILLO"/>
    <x v="12"/>
    <s v="UND"/>
    <n v="587.86"/>
    <n v="800"/>
    <x v="177"/>
    <n v="71131.06"/>
    <n v="96800"/>
    <n v="25668.940000000002"/>
    <n v="81431.961035221175"/>
    <n v="24762.287272727273"/>
    <n v="0"/>
    <n v="177325.30830794843"/>
    <n v="1465.4984157681688"/>
    <n v="-80525.308307948435"/>
  </r>
  <r>
    <x v="1029"/>
    <s v="TENSOR PEQUEÑO ( Max 500 mts)"/>
    <x v="12"/>
    <s v="UND"/>
    <n v="2963.1"/>
    <n v="3500"/>
    <x v="182"/>
    <n v="435575.7"/>
    <n v="514500"/>
    <n v="78924.299999999988"/>
    <n v="81431.961035221175"/>
    <n v="24762.287272727273"/>
    <n v="0"/>
    <n v="541769.94830794842"/>
    <n v="3685.5098524350233"/>
    <n v="-27269.94830794842"/>
  </r>
  <r>
    <x v="1030"/>
    <s v="AISLADOR TIPO PERA OVALADO AMARILLO"/>
    <x v="12"/>
    <s v="UND"/>
    <n v="841.33"/>
    <n v="1200"/>
    <x v="183"/>
    <n v="174155.31"/>
    <n v="248400"/>
    <n v="74244.69"/>
    <n v="81431.961035221175"/>
    <n v="24762.287272727273"/>
    <n v="0"/>
    <n v="280349.55830794846"/>
    <n v="1354.3456923089298"/>
    <n v="-31949.558307948464"/>
  </r>
  <r>
    <x v="1031"/>
    <s v="CINTA AZUL ULTRA 13mm (200m) 5 FIL"/>
    <x v="12"/>
    <s v="UND"/>
    <n v="70210"/>
    <n v="87000"/>
    <x v="13"/>
    <n v="210630"/>
    <n v="261000"/>
    <n v="50370"/>
    <n v="81431.961035221175"/>
    <n v="24762.287272727273"/>
    <n v="0"/>
    <n v="316824.24830794847"/>
    <n v="105608.08276931616"/>
    <n v="-55824.248307948466"/>
  </r>
  <r>
    <x v="1032"/>
    <s v="CORDON NARANJA ULTRA (200M) 6 FIL"/>
    <x v="12"/>
    <s v="UND"/>
    <n v="47580.959999999999"/>
    <n v="62000"/>
    <x v="18"/>
    <n v="95161.919999999998"/>
    <n v="124000"/>
    <n v="28838.080000000002"/>
    <n v="81431.961035221175"/>
    <n v="24762.287272727273"/>
    <n v="0"/>
    <n v="201356.16830794842"/>
    <n v="100678.08415397421"/>
    <n v="-77356.168307948421"/>
  </r>
  <r>
    <x v="1033"/>
    <s v="MANIGUETA PORTILLO AMARILLA"/>
    <x v="12"/>
    <s v="UND"/>
    <n v="4702.88"/>
    <n v="5383.333333333333"/>
    <x v="73"/>
    <n v="282172.79999999999"/>
    <n v="323000"/>
    <n v="40827.200000000012"/>
    <n v="81431.961035221175"/>
    <n v="24762.287272727273"/>
    <n v="0"/>
    <n v="388367.04830794845"/>
    <n v="6472.7841384658077"/>
    <n v="-65367.048307948455"/>
  </r>
  <r>
    <x v="1034"/>
    <s v="RECIBIDOR DE MANIGUETAS"/>
    <x v="12"/>
    <s v="UND"/>
    <n v="1468.46"/>
    <n v="1900"/>
    <x v="12"/>
    <n v="20558.440000000002"/>
    <n v="26600"/>
    <n v="6041.5599999999977"/>
    <n v="81431.961035221175"/>
    <n v="24762.287272727273"/>
    <n v="0"/>
    <n v="126752.68830794845"/>
    <n v="9053.763450567747"/>
    <n v="-100152.68830794845"/>
  </r>
  <r>
    <x v="1035"/>
    <s v="AISLADOR PUNTILLA GRANDE"/>
    <x v="12"/>
    <s v="UND"/>
    <n v="240.38"/>
    <n v="350"/>
    <x v="184"/>
    <n v="412732.46"/>
    <n v="600950"/>
    <n v="188217.53999999998"/>
    <n v="81431.961035221175"/>
    <n v="24762.287272727273"/>
    <n v="0"/>
    <n v="518926.70830794849"/>
    <n v="302.22871770992924"/>
    <n v="82023.291692051513"/>
  </r>
  <r>
    <x v="1036"/>
    <s v="RESORTE PORTILLO 3MTS LARGO GLAV CALIENTE"/>
    <x v="12"/>
    <s v="UND"/>
    <n v="7049.56"/>
    <n v="8900"/>
    <x v="26"/>
    <n v="35247.800000000003"/>
    <n v="44500"/>
    <n v="9252.1999999999971"/>
    <n v="81431.961035221175"/>
    <n v="24762.287272727273"/>
    <n v="0"/>
    <n v="141442.04830794845"/>
    <n v="28288.409661589692"/>
    <n v="-96942.048307948455"/>
  </r>
  <r>
    <x v="1037"/>
    <s v="RESORTE PORTILLO 3MTS CORTO GLAV CALIENTE"/>
    <x v="12"/>
    <s v="UND"/>
    <n v="7049.56"/>
    <n v="9000"/>
    <x v="31"/>
    <n v="63446.04"/>
    <n v="81000"/>
    <n v="17553.96"/>
    <n v="81431.961035221175"/>
    <n v="24762.287272727273"/>
    <n v="0"/>
    <n v="169640.28830794845"/>
    <n v="18848.920923105383"/>
    <n v="-88640.288307948445"/>
  </r>
  <r>
    <x v="1038"/>
    <s v="IMPULSOR ULTRA 120 VTS (15KM)"/>
    <x v="12"/>
    <s v="UND"/>
    <n v="146534.22"/>
    <n v="167833.33333333334"/>
    <x v="13"/>
    <n v="439602.66000000003"/>
    <n v="503500"/>
    <n v="63897.339999999967"/>
    <n v="81431.961035221175"/>
    <n v="24762.287272727273"/>
    <n v="0"/>
    <n v="545796.9083079485"/>
    <n v="181932.30276931616"/>
    <n v="-42296.908307948499"/>
  </r>
  <r>
    <x v="1039"/>
    <s v="IMPULSOR ULTRA 120 VTS (45KMS)"/>
    <x v="12"/>
    <s v="UND"/>
    <n v="158415.4418"/>
    <n v="178250"/>
    <x v="15"/>
    <n v="950492.65079999994"/>
    <n v="1069500"/>
    <n v="119007.34920000006"/>
    <n v="81431.961035221175"/>
    <n v="24762.287272727273"/>
    <n v="0"/>
    <n v="1056686.8991079484"/>
    <n v="176114.48318465808"/>
    <n v="12813.100892051589"/>
  </r>
  <r>
    <x v="1040"/>
    <s v="WEEDAR SL X LT"/>
    <x v="10"/>
    <s v="LT"/>
    <n v="24000"/>
    <n v="30000"/>
    <x v="0"/>
    <n v="0"/>
    <n v="0"/>
    <n v="0"/>
    <n v="81431.961035221175"/>
    <n v="24762.287272727273"/>
    <n v="0"/>
    <n v="130194.24830794845"/>
    <n v="130194.24830794845"/>
    <n v="-130194.24830794845"/>
  </r>
  <r>
    <x v="1041"/>
    <s v="WEEDAR SL x GALON"/>
    <x v="10"/>
    <s v="GALON"/>
    <n v="56000"/>
    <n v="63000"/>
    <x v="0"/>
    <n v="0"/>
    <n v="0"/>
    <n v="0"/>
    <n v="81431.961035221175"/>
    <n v="24762.287272727273"/>
    <n v="0"/>
    <n v="162194.24830794844"/>
    <n v="162194.24830794844"/>
    <n v="-162194.24830794844"/>
  </r>
  <r>
    <x v="1042"/>
    <s v="SAL SOMEX BOVIMIN x 40 KL"/>
    <x v="2"/>
    <s v="UND"/>
    <n v="100595.25"/>
    <n v="107816.66666666667"/>
    <x v="50"/>
    <n v="1307738.25"/>
    <n v="1401616.6666666667"/>
    <n v="93878.416666666744"/>
    <n v="81431.961035221175"/>
    <n v="24762.287272727273"/>
    <n v="0"/>
    <n v="1413932.4983079485"/>
    <n v="108764.03833138065"/>
    <n v="-12315.831641281722"/>
  </r>
  <r>
    <x v="1043"/>
    <s v="Q-DA CAN x 15 KL"/>
    <x v="2"/>
    <s v="KL"/>
    <n v="51200.000099999997"/>
    <n v="55283.333333333336"/>
    <x v="30"/>
    <n v="1536000.003"/>
    <n v="1658500"/>
    <n v="122499.99699999997"/>
    <n v="81431.961035221175"/>
    <n v="24762.287272727273"/>
    <n v="0"/>
    <n v="1642194.2513079485"/>
    <n v="54739.808376931614"/>
    <n v="16305.748692051508"/>
  </r>
  <r>
    <x v="1044"/>
    <s v="FEXTRAN B12 x 50 ML"/>
    <x v="5"/>
    <s v="ML"/>
    <n v="19281"/>
    <n v="25500"/>
    <x v="0"/>
    <n v="0"/>
    <n v="0"/>
    <n v="0"/>
    <n v="81431.961035221175"/>
    <n v="24762.287272727273"/>
    <n v="0"/>
    <n v="125475.24830794845"/>
    <n v="125475.24830794845"/>
    <n v="-125475.24830794845"/>
  </r>
  <r>
    <x v="1045"/>
    <s v="YODOFOX x LT"/>
    <x v="5"/>
    <s v="LT"/>
    <n v="29680.142899999999"/>
    <n v="34000"/>
    <x v="28"/>
    <n v="207761.00029999999"/>
    <n v="238000"/>
    <n v="30238.999700000015"/>
    <n v="81431.961035221175"/>
    <n v="24762.287272727273"/>
    <n v="0"/>
    <n v="313955.24860794848"/>
    <n v="44850.749801135498"/>
    <n v="-75955.248607948481"/>
  </r>
  <r>
    <x v="1046"/>
    <s v="PORCIFER B12 x 10ML"/>
    <x v="5"/>
    <s v="ML"/>
    <n v="6132"/>
    <n v="8000"/>
    <x v="28"/>
    <n v="42924"/>
    <n v="56000"/>
    <n v="13076"/>
    <n v="81431.961035221175"/>
    <n v="24762.287272727273"/>
    <n v="0"/>
    <n v="149118.24830794844"/>
    <n v="21302.606901135492"/>
    <n v="-93118.248307948437"/>
  </r>
  <r>
    <x v="1047"/>
    <s v="CIPERMETRINA E.C 15% FCO x 1000 ML"/>
    <x v="5"/>
    <s v="ML"/>
    <n v="49738"/>
    <n v="59000"/>
    <x v="0"/>
    <n v="0"/>
    <n v="0"/>
    <n v="0"/>
    <n v="81431.961035221175"/>
    <n v="24762.287272727273"/>
    <n v="0"/>
    <n v="155932.24830794844"/>
    <n v="155932.24830794844"/>
    <n v="-155932.24830794844"/>
  </r>
  <r>
    <x v="1048"/>
    <s v="OXITOCINA OVER x ML"/>
    <x v="5"/>
    <s v="ML"/>
    <n v="6032"/>
    <n v="9600"/>
    <x v="69"/>
    <n v="205088"/>
    <n v="326400"/>
    <n v="121312"/>
    <n v="81431.961035221175"/>
    <n v="24762.287272727273"/>
    <n v="0"/>
    <n v="311282.24830794847"/>
    <n v="9155.3602443514246"/>
    <n v="15117.751692051534"/>
  </r>
  <r>
    <x v="1049"/>
    <s v="BAÑOL 20.8 x 120ML"/>
    <x v="5"/>
    <s v="ML"/>
    <n v="13919.5"/>
    <n v="17000"/>
    <x v="26"/>
    <n v="69597.5"/>
    <n v="85000"/>
    <n v="15402.5"/>
    <n v="81431.961035221175"/>
    <n v="24762.287272727273"/>
    <n v="0"/>
    <n v="175791.74830794844"/>
    <n v="35158.349661589687"/>
    <n v="-90791.748307948437"/>
  </r>
  <r>
    <x v="1050"/>
    <s v="RESORTE TIJERA #7"/>
    <x v="9"/>
    <s v="NUD"/>
    <n v="3380.3600999999999"/>
    <n v="5500"/>
    <x v="17"/>
    <n v="3380.3600999999999"/>
    <n v="5500"/>
    <n v="2119.6399000000001"/>
    <n v="81431.961035221175"/>
    <n v="24762.287272727273"/>
    <n v="0"/>
    <n v="109574.60840794846"/>
    <n v="109574.60840794846"/>
    <n v="-104074.60840794846"/>
  </r>
  <r>
    <x v="1051"/>
    <s v="SECAMIL CJ X 4und"/>
    <x v="5"/>
    <s v="CJ"/>
    <n v="46095"/>
    <n v="41800"/>
    <x v="9"/>
    <n v="737520"/>
    <n v="668800"/>
    <n v="-68720"/>
    <n v="81431.961035221175"/>
    <n v="24762.287272727273"/>
    <n v="0"/>
    <n v="843714.24830794835"/>
    <n v="52732.140519246772"/>
    <n v="-174914.24830794835"/>
  </r>
  <r>
    <x v="1052"/>
    <s v="GALLOMIX TABLETA"/>
    <x v="5"/>
    <s v="UND"/>
    <n v="443.58300000000003"/>
    <n v="650"/>
    <x v="52"/>
    <n v="15525.405000000001"/>
    <n v="22750"/>
    <n v="7224.5949999999993"/>
    <n v="81431.961035221175"/>
    <n v="24762.287272727273"/>
    <n v="0"/>
    <n v="121719.65330794845"/>
    <n v="3477.7043802270987"/>
    <n v="-98969.653307948451"/>
  </r>
  <r>
    <x v="1053"/>
    <s v="MACETA cod 0204  8cm"/>
    <x v="9"/>
    <s v="UND"/>
    <n v="1130.5"/>
    <n v="1350"/>
    <x v="185"/>
    <n v="93831.5"/>
    <n v="112050"/>
    <n v="18218.5"/>
    <n v="81431.961035221175"/>
    <n v="24762.287272727273"/>
    <n v="0"/>
    <n v="200025.74830794844"/>
    <n v="2409.9487747945595"/>
    <n v="-87975.748307948437"/>
  </r>
  <r>
    <x v="1054"/>
    <s v="MACETA cod 0211  10cm"/>
    <x v="9"/>
    <s v="UND"/>
    <n v="1356.6"/>
    <n v="1633.3333333333333"/>
    <x v="109"/>
    <n v="97675.199999999997"/>
    <n v="117600"/>
    <n v="19924.800000000003"/>
    <n v="81431.961035221175"/>
    <n v="24762.287272727273"/>
    <n v="0"/>
    <n v="203869.44830794845"/>
    <n v="2831.5201153881731"/>
    <n v="-86269.448307948449"/>
  </r>
  <r>
    <x v="1055"/>
    <s v="MACETA cod 0216  12cm"/>
    <x v="9"/>
    <s v="UND"/>
    <n v="1695.75"/>
    <n v="1950"/>
    <x v="45"/>
    <n v="45785.25"/>
    <n v="52650"/>
    <n v="6864.75"/>
    <n v="81431.961035221175"/>
    <n v="24762.287272727273"/>
    <n v="0"/>
    <n v="151979.49830794844"/>
    <n v="5628.8703077017935"/>
    <n v="-99329.498307948437"/>
  </r>
  <r>
    <x v="1056"/>
    <s v="MACETA cod 0343  14cm"/>
    <x v="9"/>
    <s v="UND"/>
    <n v="2261"/>
    <n v="2700"/>
    <x v="90"/>
    <n v="99484"/>
    <n v="118800"/>
    <n v="19316"/>
    <n v="81431.961035221175"/>
    <n v="24762.287272727273"/>
    <n v="0"/>
    <n v="205678.24830794844"/>
    <n v="4674.5056433624641"/>
    <n v="-86878.248307948437"/>
  </r>
  <r>
    <x v="1057"/>
    <s v="MACETA cod 0232  17cm"/>
    <x v="9"/>
    <s v="UND"/>
    <n v="2826.25"/>
    <n v="3500"/>
    <x v="186"/>
    <n v="178053.75"/>
    <n v="220500"/>
    <n v="42446.25"/>
    <n v="81431.961035221175"/>
    <n v="24762.287272727273"/>
    <n v="0"/>
    <n v="284247.99830794847"/>
    <n v="4511.8729890150553"/>
    <n v="-63747.998307948466"/>
  </r>
  <r>
    <x v="1058"/>
    <s v="GUAYABA ROJA FERCON"/>
    <x v="11"/>
    <s v="sob"/>
    <n v="1680"/>
    <n v="3000"/>
    <x v="17"/>
    <n v="1680"/>
    <n v="3000"/>
    <n v="1320"/>
    <n v="81431.961035221175"/>
    <n v="24762.287272727273"/>
    <n v="0"/>
    <n v="107874.24830794845"/>
    <n v="107874.24830794845"/>
    <n v="-104874.24830794845"/>
  </r>
  <r>
    <x v="1059"/>
    <s v="PENSAMIENTO CASI NEGRO"/>
    <x v="11"/>
    <s v="SOB"/>
    <n v="2480"/>
    <n v="3200"/>
    <x v="17"/>
    <n v="2480"/>
    <n v="3200"/>
    <n v="720"/>
    <n v="81431.961035221175"/>
    <n v="24762.287272727273"/>
    <n v="0"/>
    <n v="108674.24830794845"/>
    <n v="108674.24830794845"/>
    <n v="-105474.24830794845"/>
  </r>
  <r>
    <x v="1060"/>
    <s v="PETUNIA HIBRIDA"/>
    <x v="11"/>
    <s v="SOB"/>
    <n v="2800"/>
    <n v="3366.6666666666665"/>
    <x v="28"/>
    <n v="19600"/>
    <n v="23566.666666666664"/>
    <n v="3966.6666666666642"/>
    <n v="81431.961035221175"/>
    <n v="24762.287272727273"/>
    <n v="0"/>
    <n v="125794.24830794845"/>
    <n v="17970.606901135492"/>
    <n v="-102227.58164128178"/>
  </r>
  <r>
    <x v="1061"/>
    <s v="FERTILIZANTE ORQUIDEAS"/>
    <x v="1"/>
    <s v="UND"/>
    <n v="8910"/>
    <n v="12300"/>
    <x v="0"/>
    <n v="0"/>
    <n v="0"/>
    <n v="0"/>
    <n v="81431.961035221175"/>
    <n v="24762.287272727273"/>
    <n v="0"/>
    <n v="115104.24830794845"/>
    <n v="115104.24830794845"/>
    <n v="-115104.24830794845"/>
  </r>
  <r>
    <x v="1062"/>
    <s v="MARGARITA CRISANTEMO BLANCA"/>
    <x v="11"/>
    <s v="UND"/>
    <n v="2480"/>
    <n v="4100"/>
    <x v="31"/>
    <n v="22320"/>
    <n v="36900"/>
    <n v="14580"/>
    <n v="81431.961035221175"/>
    <n v="24762.287272727273"/>
    <n v="0"/>
    <n v="128514.24830794845"/>
    <n v="14279.360923105383"/>
    <n v="-91614.248307948452"/>
  </r>
  <r>
    <x v="1063"/>
    <s v="HINOJO SOBRE"/>
    <x v="11"/>
    <s v="SOB"/>
    <n v="2480"/>
    <n v="4100"/>
    <x v="18"/>
    <n v="4960"/>
    <n v="8200"/>
    <n v="3240"/>
    <n v="81431.961035221175"/>
    <n v="24762.287272727273"/>
    <n v="0"/>
    <n v="111154.24830794845"/>
    <n v="55577.124153974226"/>
    <n v="-102954.24830794845"/>
  </r>
  <r>
    <x v="1064"/>
    <s v="PENSAMIENTO GIGANTE ROJO"/>
    <x v="11"/>
    <s v="SOB"/>
    <n v="2800"/>
    <n v="3350"/>
    <x v="3"/>
    <n v="28000"/>
    <n v="33500"/>
    <n v="5500"/>
    <n v="81431.961035221175"/>
    <n v="24762.287272727273"/>
    <n v="0"/>
    <n v="134194.24830794844"/>
    <n v="13419.424830794844"/>
    <n v="-100694.24830794844"/>
  </r>
  <r>
    <x v="1065"/>
    <s v="GRANADILLA SOBRE"/>
    <x v="11"/>
    <s v="SOB"/>
    <n v="1680"/>
    <n v="3883.3333333333335"/>
    <x v="15"/>
    <n v="10080"/>
    <n v="23300"/>
    <n v="13220"/>
    <n v="81431.961035221175"/>
    <n v="24762.287272727273"/>
    <n v="0"/>
    <n v="116274.24830794845"/>
    <n v="19379.041384658074"/>
    <n v="-92974.248307948452"/>
  </r>
  <r>
    <x v="1066"/>
    <s v="PENSAMIENTO GIGANTE MEZCLA"/>
    <x v="11"/>
    <s v="SOBRE"/>
    <n v="2800"/>
    <n v="3200"/>
    <x v="21"/>
    <n v="33600"/>
    <n v="38400"/>
    <n v="4800"/>
    <n v="81431.961035221175"/>
    <n v="24762.287272727273"/>
    <n v="0"/>
    <n v="139794.24830794844"/>
    <n v="11649.520692329037"/>
    <n v="-101394.24830794844"/>
  </r>
  <r>
    <x v="1067"/>
    <s v="PENSAMIENTO AZUL OSCURO"/>
    <x v="11"/>
    <s v="SOBRE"/>
    <n v="2480"/>
    <n v="3350"/>
    <x v="18"/>
    <n v="4960"/>
    <n v="6700"/>
    <n v="1740"/>
    <n v="81431.961035221175"/>
    <n v="24762.287272727273"/>
    <n v="0"/>
    <n v="111154.24830794845"/>
    <n v="55577.124153974226"/>
    <n v="-104454.24830794845"/>
  </r>
  <r>
    <x v="1068"/>
    <s v="ZINNIA SOBRE"/>
    <x v="11"/>
    <s v="SOBRE"/>
    <n v="2800"/>
    <n v="4100"/>
    <x v="15"/>
    <n v="16800"/>
    <n v="24600"/>
    <n v="7800"/>
    <n v="81431.961035221175"/>
    <n v="24762.287272727273"/>
    <n v="0"/>
    <n v="122994.24830794845"/>
    <n v="20499.041384658074"/>
    <n v="-98394.248307948452"/>
  </r>
  <r>
    <x v="1069"/>
    <s v="HABICHUELA L. AZUL x 20 GR GER"/>
    <x v="11"/>
    <s v="und"/>
    <n v="1500"/>
    <n v="2000"/>
    <x v="9"/>
    <n v="24000"/>
    <n v="32000"/>
    <n v="8000"/>
    <n v="81431.961035221175"/>
    <n v="24762.287272727273"/>
    <n v="0"/>
    <n v="130194.24830794845"/>
    <n v="8137.1405192467782"/>
    <n v="-98194.248307948452"/>
  </r>
  <r>
    <x v="1070"/>
    <s v="CEBOLLA LARGA x 5 GR GERM"/>
    <x v="11"/>
    <s v="UND"/>
    <n v="2000"/>
    <n v="2500"/>
    <x v="17"/>
    <n v="2000"/>
    <n v="2500"/>
    <n v="500"/>
    <n v="81431.961035221175"/>
    <n v="24762.287272727273"/>
    <n v="0"/>
    <n v="108194.24830794845"/>
    <n v="108194.24830794845"/>
    <n v="-105694.24830794845"/>
  </r>
  <r>
    <x v="1071"/>
    <s v="CALENDULA X 2 GR GERM"/>
    <x v="11"/>
    <s v="UND"/>
    <n v="1500"/>
    <n v="2200"/>
    <x v="18"/>
    <n v="3000"/>
    <n v="4400"/>
    <n v="1400"/>
    <n v="81431.961035221175"/>
    <n v="24762.287272727273"/>
    <n v="0"/>
    <n v="109194.24830794845"/>
    <n v="54597.124153974226"/>
    <n v="-104794.24830794845"/>
  </r>
  <r>
    <x v="1072"/>
    <s v="ALBAHACA x 2 GR GERM"/>
    <x v="11"/>
    <s v="UND"/>
    <n v="1400"/>
    <n v="1800"/>
    <x v="17"/>
    <n v="1400"/>
    <n v="1800"/>
    <n v="400"/>
    <n v="81431.961035221175"/>
    <n v="24762.287272727273"/>
    <n v="0"/>
    <n v="107594.24830794845"/>
    <n v="107594.24830794845"/>
    <n v="-105794.24830794845"/>
  </r>
  <r>
    <x v="1073"/>
    <s v="TRANQUILAN CJA x 20 TABS"/>
    <x v="5"/>
    <s v="UND"/>
    <n v="1121.3"/>
    <n v="1600"/>
    <x v="26"/>
    <n v="5606.5"/>
    <n v="8000"/>
    <n v="2393.5"/>
    <n v="81431.961035221175"/>
    <n v="24762.287272727273"/>
    <n v="0"/>
    <n v="111800.74830794845"/>
    <n v="22360.14966158969"/>
    <n v="-103800.74830794845"/>
  </r>
  <r>
    <x v="1074"/>
    <s v="VACUNA RABIA (CONTRA LA RABIA)"/>
    <x v="5"/>
    <s v="TAB"/>
    <n v="7802"/>
    <n v="9600"/>
    <x v="15"/>
    <n v="46812"/>
    <n v="57600"/>
    <n v="10788"/>
    <n v="81431.961035221175"/>
    <n v="24762.287272727273"/>
    <n v="0"/>
    <n v="153006.24830794844"/>
    <n v="25501.041384658074"/>
    <n v="-95406.248307948437"/>
  </r>
  <r>
    <x v="1075"/>
    <s v="VACUNA VIRATEC 9 (QUINTUPLE ADULTO)"/>
    <x v="5"/>
    <s v="UND"/>
    <n v="13351.142900000001"/>
    <n v="16000"/>
    <x v="26"/>
    <n v="66755.714500000002"/>
    <n v="80000"/>
    <n v="13244.285499999998"/>
    <n v="81431.961035221175"/>
    <n v="24762.287272727273"/>
    <n v="0"/>
    <n v="172949.96280794844"/>
    <n v="34589.992561589686"/>
    <n v="-92949.962807948439"/>
  </r>
  <r>
    <x v="1076"/>
    <s v="VACUNA VIRATEC 5 PUPPY (QUINTUPLE)"/>
    <x v="5"/>
    <s v="UND"/>
    <n v="14391.178599999999"/>
    <n v="17866.666666666668"/>
    <x v="18"/>
    <n v="28782.357199999999"/>
    <n v="35733.333333333336"/>
    <n v="6950.9761333333372"/>
    <n v="81431.961035221175"/>
    <n v="24762.287272727273"/>
    <n v="0"/>
    <n v="134976.60550794844"/>
    <n v="67488.302753974218"/>
    <n v="-99243.272174615093"/>
  </r>
  <r>
    <x v="1077"/>
    <s v="CERRERO 200 SL x LT"/>
    <x v="10"/>
    <s v="LT"/>
    <n v="22208.15"/>
    <n v="27416.666666666668"/>
    <x v="25"/>
    <n v="466371.15"/>
    <n v="575750"/>
    <n v="109378.84999999998"/>
    <n v="81431.961035221175"/>
    <n v="24762.287272727273"/>
    <n v="0"/>
    <n v="572565.39830794849"/>
    <n v="27265.018967045165"/>
    <n v="3184.6016920515103"/>
  </r>
  <r>
    <x v="1078"/>
    <s v="CERRERO SL x GL"/>
    <x v="10"/>
    <s v="GALON"/>
    <n v="84196.6"/>
    <n v="96366.666666666672"/>
    <x v="39"/>
    <n v="2020718.4000000001"/>
    <n v="2312800"/>
    <n v="292081.59999999986"/>
    <n v="81431.961035221175"/>
    <n v="24762.287272727273"/>
    <n v="0"/>
    <n v="2126912.6483079484"/>
    <n v="88621.360346164511"/>
    <n v="185887.35169205163"/>
  </r>
  <r>
    <x v="1079"/>
    <s v="FUMIGADORA A MOTOR DE LANZA"/>
    <x v="3"/>
    <s v="UND"/>
    <n v="795375"/>
    <n v="875000"/>
    <x v="17"/>
    <n v="795375"/>
    <n v="875000"/>
    <n v="79625"/>
    <n v="81431.961035221175"/>
    <n v="24762.287272727273"/>
    <n v="0"/>
    <n v="901569.24830794835"/>
    <n v="901569.24830794835"/>
    <n v="-26569.24830794835"/>
  </r>
  <r>
    <x v="1080"/>
    <s v="ESTACIONARIA COMPACTA 6.5 BOMBA 30 CERAMIC"/>
    <x v="3"/>
    <s v="UND"/>
    <n v="1419500"/>
    <n v="1580000"/>
    <x v="0"/>
    <n v="0"/>
    <n v="0"/>
    <n v="0"/>
    <n v="81431.961035221175"/>
    <n v="24762.287272727273"/>
    <n v="0"/>
    <n v="1525694.2483079485"/>
    <n v="1525694.2483079485"/>
    <n v="-1525694.2483079485"/>
  </r>
  <r>
    <x v="1081"/>
    <s v="ESTACIONARIA GASOLINA 7HP BOMBA 30 ACERO"/>
    <x v="3"/>
    <s v="UND"/>
    <n v="1323402"/>
    <n v="1525000"/>
    <x v="0"/>
    <n v="0"/>
    <n v="0"/>
    <n v="0"/>
    <n v="81431.961035221175"/>
    <n v="24762.287272727273"/>
    <n v="0"/>
    <n v="1429596.2483079485"/>
    <n v="1429596.2483079485"/>
    <n v="-1429596.2483079485"/>
  </r>
  <r>
    <x v="1082"/>
    <s v="ESTACIONARIA GASOLINA 6.5 HP BOMBA 22"/>
    <x v="3"/>
    <s v="UND"/>
    <n v="1232437.5"/>
    <n v="1480000"/>
    <x v="17"/>
    <n v="1232437.5"/>
    <n v="1480000"/>
    <n v="247562.5"/>
    <n v="81431.961035221175"/>
    <n v="24762.287272727273"/>
    <n v="0"/>
    <n v="1338631.7483079485"/>
    <n v="1338631.7483079485"/>
    <n v="141368.25169205153"/>
  </r>
  <r>
    <x v="1083"/>
    <s v="EL ALEMAN X LT"/>
    <x v="10"/>
    <s v="LT"/>
    <n v="25740"/>
    <n v="31000"/>
    <x v="38"/>
    <n v="849420"/>
    <n v="1023000"/>
    <n v="173580"/>
    <n v="81431.961035221175"/>
    <n v="24762.287272727273"/>
    <n v="0"/>
    <n v="955614.24830794835"/>
    <n v="28958.007524483284"/>
    <n v="67385.75169205165"/>
  </r>
  <r>
    <x v="1084"/>
    <s v="CERRERO X 20LT"/>
    <x v="10"/>
    <s v="BIDON"/>
    <n v="363023.5"/>
    <n v="421666.66666666669"/>
    <x v="21"/>
    <n v="4356282"/>
    <n v="5060000"/>
    <n v="703718"/>
    <n v="81431.961035221175"/>
    <n v="24762.287272727273"/>
    <n v="0"/>
    <n v="4462476.248307948"/>
    <n v="371873.02069232898"/>
    <n v="597523.751692052"/>
  </r>
  <r>
    <x v="1085"/>
    <s v="CYPROX x LT"/>
    <x v="6"/>
    <s v="LT"/>
    <n v="110000"/>
    <n v="133400"/>
    <x v="21"/>
    <n v="1320000"/>
    <n v="1600800"/>
    <n v="280800"/>
    <n v="81431.961035221175"/>
    <n v="24762.287272727273"/>
    <n v="0"/>
    <n v="1426194.2483079485"/>
    <n v="118849.52069232904"/>
    <n v="174605.75169205153"/>
  </r>
  <r>
    <x v="1086"/>
    <s v="DELMOX 50 * 500 ML"/>
    <x v="5"/>
    <s v="UND"/>
    <n v="21851"/>
    <n v="28600"/>
    <x v="18"/>
    <n v="43702"/>
    <n v="57200"/>
    <n v="13498"/>
    <n v="81431.961035221175"/>
    <n v="24762.287272727273"/>
    <n v="0"/>
    <n v="149896.24830794844"/>
    <n v="74948.124153974219"/>
    <n v="-92696.248307948437"/>
  </r>
  <r>
    <x v="1087"/>
    <s v="BOLDENONA 50 SERVI x 10 ML"/>
    <x v="5"/>
    <s v="ML"/>
    <n v="7930"/>
    <n v="10500"/>
    <x v="18"/>
    <n v="15860"/>
    <n v="21000"/>
    <n v="5140"/>
    <n v="81431.961035221175"/>
    <n v="24762.287272727273"/>
    <n v="0"/>
    <n v="122054.24830794845"/>
    <n v="61027.124153974226"/>
    <n v="-101054.24830794845"/>
  </r>
  <r>
    <x v="1088"/>
    <s v="HEMOPAR B12 S.I x 100 ML"/>
    <x v="5"/>
    <s v="ML"/>
    <n v="37811"/>
    <n v="45000"/>
    <x v="0"/>
    <n v="0"/>
    <n v="0"/>
    <n v="0"/>
    <n v="81431.961035221175"/>
    <n v="24762.287272727273"/>
    <n v="0"/>
    <n v="144005.24830794844"/>
    <n v="144005.24830794844"/>
    <n v="-144005.24830794844"/>
  </r>
  <r>
    <x v="1089"/>
    <s v="IMPULSOR x 10 ML"/>
    <x v="5"/>
    <s v="ML"/>
    <n v="10987.2857"/>
    <n v="14500"/>
    <x v="17"/>
    <n v="10987.2857"/>
    <n v="14500"/>
    <n v="3512.7142999999996"/>
    <n v="81431.961035221175"/>
    <n v="24762.287272727273"/>
    <n v="0"/>
    <n v="117181.53400794846"/>
    <n v="117181.53400794846"/>
    <n v="-102681.53400794846"/>
  </r>
  <r>
    <x v="1090"/>
    <s v="RO-818NEX ABRAZADERA TUBO BOMBA"/>
    <x v="3"/>
    <s v="UND"/>
    <n v="2050"/>
    <n v="2500"/>
    <x v="0"/>
    <n v="0"/>
    <n v="0"/>
    <n v="0"/>
    <n v="81431.961035221175"/>
    <n v="24762.287272727273"/>
    <n v="0"/>
    <n v="108244.24830794845"/>
    <n v="108244.24830794845"/>
    <n v="-108244.24830794845"/>
  </r>
  <r>
    <x v="1091"/>
    <s v="RC-301X EMP DE LANZA"/>
    <x v="3"/>
    <s v="UND"/>
    <n v="1231.6500000000001"/>
    <n v="1800"/>
    <x v="13"/>
    <n v="3694.9500000000003"/>
    <n v="5400"/>
    <n v="1705.0499999999997"/>
    <n v="81431.961035221175"/>
    <n v="24762.287272727273"/>
    <n v="0"/>
    <n v="109889.19830794845"/>
    <n v="36629.73276931615"/>
    <n v="-104489.19830794845"/>
  </r>
  <r>
    <x v="1092"/>
    <s v="RC-933LNX FILTRO LARGO LLAVE DE PASO"/>
    <x v="3"/>
    <s v="UND"/>
    <n v="4289.95"/>
    <n v="5800"/>
    <x v="0"/>
    <n v="0"/>
    <n v="0"/>
    <n v="0"/>
    <n v="81431.961035221175"/>
    <n v="24762.287272727273"/>
    <n v="0"/>
    <n v="110484.19830794845"/>
    <n v="110484.19830794845"/>
    <n v="-110484.19830794845"/>
  </r>
  <r>
    <x v="1093"/>
    <s v="RA-931X TUBO LLAVE DE PASO STEEL PLAST"/>
    <x v="3"/>
    <s v="UND"/>
    <n v="3117.8"/>
    <n v="4000"/>
    <x v="18"/>
    <n v="6235.6"/>
    <n v="8000"/>
    <n v="1764.3999999999996"/>
    <n v="81431.961035221175"/>
    <n v="24762.287272727273"/>
    <n v="0"/>
    <n v="112429.84830794846"/>
    <n v="56214.924153974229"/>
    <n v="-104429.84830794846"/>
  </r>
  <r>
    <x v="1094"/>
    <s v="RC-931CIX TUBO LLAVE DE PASO METALICA"/>
    <x v="3"/>
    <s v="UND"/>
    <n v="3628.31"/>
    <n v="5200"/>
    <x v="17"/>
    <n v="3628.31"/>
    <n v="5200"/>
    <n v="1571.69"/>
    <n v="81431.961035221175"/>
    <n v="24762.287272727273"/>
    <n v="0"/>
    <n v="109822.55830794845"/>
    <n v="109822.55830794845"/>
    <n v="-104622.55830794845"/>
  </r>
  <r>
    <x v="1095"/>
    <s v="RC-302EX TUBO SALIDA CAMARA CON MARIPOSA"/>
    <x v="3"/>
    <s v="UND"/>
    <n v="6534.29"/>
    <n v="8200"/>
    <x v="0"/>
    <n v="0"/>
    <n v="0"/>
    <n v="0"/>
    <n v="81431.961035221175"/>
    <n v="24762.287272727273"/>
    <n v="0"/>
    <n v="112728.53830794845"/>
    <n v="112728.53830794845"/>
    <n v="-112728.53830794845"/>
  </r>
  <r>
    <x v="1096"/>
    <s v="RG-819 LPEX CODO LANZA PLASTICA"/>
    <x v="3"/>
    <s v="UND"/>
    <n v="2097.9699999999998"/>
    <n v="2600"/>
    <x v="13"/>
    <n v="6293.91"/>
    <n v="7800"/>
    <n v="1506.0900000000001"/>
    <n v="81431.961035221175"/>
    <n v="24762.287272727273"/>
    <n v="0"/>
    <n v="112488.15830794846"/>
    <n v="37496.052769316149"/>
    <n v="-104688.15830794846"/>
  </r>
  <r>
    <x v="1097"/>
    <s v="RC-522X MANGUERA BOMBA A CAMARA"/>
    <x v="3"/>
    <s v="UND"/>
    <n v="9800"/>
    <n v="12000"/>
    <x v="26"/>
    <n v="49000"/>
    <n v="60000"/>
    <n v="11000"/>
    <n v="81431.961035221175"/>
    <n v="24762.287272727273"/>
    <n v="0"/>
    <n v="155194.24830794844"/>
    <n v="31038.849661589687"/>
    <n v="-95194.248307948437"/>
  </r>
  <r>
    <x v="1098"/>
    <s v="RC-524X T DE CONEXION METAL CHASIS INO"/>
    <x v="3"/>
    <s v="UND"/>
    <n v="13779.01"/>
    <n v="16800"/>
    <x v="13"/>
    <n v="41337.03"/>
    <n v="50400"/>
    <n v="9062.9700000000012"/>
    <n v="81431.961035221175"/>
    <n v="24762.287272727273"/>
    <n v="0"/>
    <n v="147531.27830794844"/>
    <n v="49177.092769316143"/>
    <n v="-97131.278307948436"/>
  </r>
  <r>
    <x v="1099"/>
    <s v="RC-523TX T DE CONEXION INTEGRA"/>
    <x v="3"/>
    <s v="UND"/>
    <n v="1625.54"/>
    <n v="2200"/>
    <x v="18"/>
    <n v="3251.08"/>
    <n v="4400"/>
    <n v="1148.92"/>
    <n v="81431.961035221175"/>
    <n v="24762.287272727273"/>
    <n v="0"/>
    <n v="109445.32830794845"/>
    <n v="54722.664153974227"/>
    <n v="-105045.32830794845"/>
  </r>
  <r>
    <x v="1100"/>
    <s v="RA-521AX T DE CONEXION ALIADA"/>
    <x v="3"/>
    <s v="UND"/>
    <n v="1625.54"/>
    <n v="2500"/>
    <x v="18"/>
    <n v="3251.08"/>
    <n v="5000"/>
    <n v="1748.92"/>
    <n v="81431.961035221175"/>
    <n v="24762.287272727273"/>
    <n v="0"/>
    <n v="109445.32830794845"/>
    <n v="54722.664153974227"/>
    <n v="-104445.32830794845"/>
  </r>
  <r>
    <x v="1101"/>
    <s v="RC-501EX CAMARA DE PRESION ENSAMBLADA CLASICA"/>
    <x v="3"/>
    <s v="UND"/>
    <n v="11163.39"/>
    <n v="13400"/>
    <x v="35"/>
    <n v="44653.56"/>
    <n v="53600"/>
    <n v="8946.4400000000023"/>
    <n v="81431.961035221175"/>
    <n v="24762.287272727273"/>
    <n v="0"/>
    <n v="150847.80830794843"/>
    <n v="37711.952076987109"/>
    <n v="-97247.808307948435"/>
  </r>
  <r>
    <x v="1102"/>
    <s v="RO-817NX ABRAZADERA CAMARA ALIADA"/>
    <x v="3"/>
    <s v="UND"/>
    <n v="2381.19"/>
    <n v="3000"/>
    <x v="18"/>
    <n v="4762.38"/>
    <n v="6000"/>
    <n v="1237.6199999999999"/>
    <n v="81431.961035221175"/>
    <n v="24762.287272727273"/>
    <n v="0"/>
    <n v="110956.62830794846"/>
    <n v="55478.314153974228"/>
    <n v="-104956.62830794846"/>
  </r>
  <r>
    <x v="1103"/>
    <s v="RC-504X ANILLO CAMARA"/>
    <x v="3"/>
    <s v="UND"/>
    <n v="821.1"/>
    <n v="1200"/>
    <x v="0"/>
    <n v="0"/>
    <n v="0"/>
    <n v="0"/>
    <n v="81431.961035221175"/>
    <n v="24762.287272727273"/>
    <n v="0"/>
    <n v="107015.34830794846"/>
    <n v="107015.34830794846"/>
    <n v="-107015.34830794846"/>
  </r>
  <r>
    <x v="1104"/>
    <s v="RC-921X CUERPO LLAVE STEEL PLAST"/>
    <x v="3"/>
    <s v="UND"/>
    <n v="7652.89"/>
    <n v="10500"/>
    <x v="0"/>
    <n v="0"/>
    <n v="0"/>
    <n v="0"/>
    <n v="81431.961035221175"/>
    <n v="24762.287272727273"/>
    <n v="0"/>
    <n v="113847.13830794845"/>
    <n v="113847.13830794845"/>
    <n v="-113847.13830794845"/>
  </r>
  <r>
    <x v="1105"/>
    <s v="RC-100EX  BOMBA COMPLETA"/>
    <x v="3"/>
    <s v="UND"/>
    <n v="70388.5"/>
    <n v="85500"/>
    <x v="13"/>
    <n v="211165.5"/>
    <n v="256500"/>
    <n v="45334.5"/>
    <n v="81431.961035221175"/>
    <n v="24762.287272727273"/>
    <n v="0"/>
    <n v="317359.74830794847"/>
    <n v="105786.58276931616"/>
    <n v="-60859.748307948466"/>
  </r>
  <r>
    <x v="1106"/>
    <s v="RC-320EX LLAVE DE PASO METALICA"/>
    <x v="3"/>
    <s v="UND"/>
    <n v="15522.36"/>
    <n v="18000"/>
    <x v="17"/>
    <n v="15522.36"/>
    <n v="18000"/>
    <n v="2477.6399999999994"/>
    <n v="81431.961035221175"/>
    <n v="24762.287272727273"/>
    <n v="0"/>
    <n v="121716.60830794845"/>
    <n v="121716.60830794845"/>
    <n v="-103716.60830794845"/>
  </r>
  <r>
    <x v="1107"/>
    <s v="RC-410EX TAPA EMBOLO"/>
    <x v="3"/>
    <s v="UND"/>
    <n v="1774.29"/>
    <n v="2500"/>
    <x v="15"/>
    <n v="10645.74"/>
    <n v="15000"/>
    <n v="4354.26"/>
    <n v="81431.961035221175"/>
    <n v="24762.287272727273"/>
    <n v="0"/>
    <n v="116839.98830794846"/>
    <n v="19473.331384658075"/>
    <n v="-101839.98830794846"/>
  </r>
  <r>
    <x v="1108"/>
    <s v="RM-K812PLSX KIT PIN EN U ARANDELA PLASTICA"/>
    <x v="3"/>
    <s v="UND"/>
    <n v="1579.13"/>
    <n v="2500"/>
    <x v="18"/>
    <n v="3158.26"/>
    <n v="5000"/>
    <n v="1841.7399999999998"/>
    <n v="81431.961035221175"/>
    <n v="24762.287272727273"/>
    <n v="0"/>
    <n v="109352.50830794845"/>
    <n v="54676.254153974223"/>
    <n v="-104352.50830794845"/>
  </r>
  <r>
    <x v="1109"/>
    <s v="RA-200-20BE RECIPIENTE PLASTICO BLANCO"/>
    <x v="3"/>
    <s v="UND"/>
    <n v="38600"/>
    <n v="46000"/>
    <x v="17"/>
    <n v="38600"/>
    <n v="46000"/>
    <n v="7400"/>
    <n v="81431.961035221175"/>
    <n v="24762.287272727273"/>
    <n v="0"/>
    <n v="144794.24830794844"/>
    <n v="144794.24830794844"/>
    <n v="-98794.248307948437"/>
  </r>
  <r>
    <x v="1110"/>
    <s v="RC-201X FILTRO RECIPIENTE"/>
    <x v="3"/>
    <s v="UND"/>
    <n v="9892.1299999999992"/>
    <n v="10500"/>
    <x v="13"/>
    <n v="29676.39"/>
    <n v="31500"/>
    <n v="1823.6100000000006"/>
    <n v="81431.961035221175"/>
    <n v="24762.287272727273"/>
    <n v="0"/>
    <n v="135870.63830794845"/>
    <n v="45290.212769316153"/>
    <n v="-104370.63830794845"/>
  </r>
  <r>
    <x v="1111"/>
    <s v="RC-343EX ADAPTADOR LNZA ALUMINIO LLAVE PLASTICA"/>
    <x v="3"/>
    <s v="UND"/>
    <n v="1880.5967000000001"/>
    <n v="2500"/>
    <x v="17"/>
    <n v="1880.5967000000001"/>
    <n v="2500"/>
    <n v="619.40329999999994"/>
    <n v="81431.961035221175"/>
    <n v="24762.287272727273"/>
    <n v="0"/>
    <n v="108074.84500794845"/>
    <n v="108074.84500794845"/>
    <n v="-105574.84500794845"/>
  </r>
  <r>
    <x v="1112"/>
    <s v="RC-420-30CCX GOTERO LUBRICADOR DE 30 CC"/>
    <x v="3"/>
    <s v="UND"/>
    <n v="3332"/>
    <n v="3916.6666666666665"/>
    <x v="13"/>
    <n v="9996"/>
    <n v="11750"/>
    <n v="1754"/>
    <n v="81431.961035221175"/>
    <n v="24762.287272727273"/>
    <n v="0"/>
    <n v="116190.24830794845"/>
    <n v="38730.082769316148"/>
    <n v="-104440.24830794845"/>
  </r>
  <r>
    <x v="1113"/>
    <s v="RC-K6NX KIT LLAVE DE PASO"/>
    <x v="3"/>
    <s v="UND"/>
    <n v="2894.08"/>
    <n v="3500"/>
    <x v="0"/>
    <n v="0"/>
    <n v="0"/>
    <n v="0"/>
    <n v="81431.961035221175"/>
    <n v="24762.287272727273"/>
    <n v="0"/>
    <n v="109088.32830794845"/>
    <n v="109088.32830794845"/>
    <n v="-109088.32830794845"/>
  </r>
  <r>
    <x v="1114"/>
    <s v="FS-406 CONEXION CRUZ PARA MANGUERA 8.5 MM"/>
    <x v="3"/>
    <s v="UND"/>
    <n v="4194.75"/>
    <n v="6500"/>
    <x v="0"/>
    <n v="0"/>
    <n v="0"/>
    <n v="0"/>
    <n v="81431.961035221175"/>
    <n v="24762.287272727273"/>
    <n v="0"/>
    <n v="110388.99830794845"/>
    <n v="110388.99830794845"/>
    <n v="-110388.99830794845"/>
  </r>
  <r>
    <x v="1115"/>
    <s v="FS-407 TE EPINA DE PESCADO MANG 8.5 M.M"/>
    <x v="3"/>
    <s v="UND"/>
    <n v="5087.25"/>
    <n v="6800"/>
    <x v="17"/>
    <n v="5087.25"/>
    <n v="6800"/>
    <n v="1712.75"/>
    <n v="81431.961035221175"/>
    <n v="24762.287272727273"/>
    <n v="0"/>
    <n v="111281.49830794845"/>
    <n v="111281.49830794845"/>
    <n v="-104481.49830794845"/>
  </r>
  <r>
    <x v="1116"/>
    <s v="FS-408 TE ESPINA DE ESCADO ROSCADO"/>
    <x v="3"/>
    <s v="UND"/>
    <n v="6158.25"/>
    <n v="7500"/>
    <x v="0"/>
    <n v="0"/>
    <n v="0"/>
    <n v="0"/>
    <n v="81431.961035221175"/>
    <n v="24762.287272727273"/>
    <n v="0"/>
    <n v="112352.49830794845"/>
    <n v="112352.49830794845"/>
    <n v="-112352.49830794845"/>
  </r>
  <r>
    <x v="1117"/>
    <s v="FS-303 LLAVE DE PASO MACHO/HEMBRA"/>
    <x v="3"/>
    <s v="UND"/>
    <n v="6426"/>
    <n v="7000"/>
    <x v="15"/>
    <n v="38556"/>
    <n v="42000"/>
    <n v="3444"/>
    <n v="81431.961035221175"/>
    <n v="24762.287272727273"/>
    <n v="0"/>
    <n v="144750.24830794844"/>
    <n v="24125.041384658074"/>
    <n v="-102750.24830794844"/>
  </r>
  <r>
    <x v="1118"/>
    <s v="SG-502 PORTA BOQUILLA DE DOS SALIDAS"/>
    <x v="3"/>
    <s v="UND"/>
    <n v="18117.75"/>
    <n v="19600"/>
    <x v="18"/>
    <n v="36235.5"/>
    <n v="39200"/>
    <n v="2964.5"/>
    <n v="81431.961035221175"/>
    <n v="24762.287272727273"/>
    <n v="0"/>
    <n v="142429.74830794844"/>
    <n v="71214.874153974219"/>
    <n v="-103229.74830794844"/>
  </r>
  <r>
    <x v="1119"/>
    <s v="RA-818EX ABRAZADERA PLASTICA TUBO BOMBA"/>
    <x v="3"/>
    <s v="UND"/>
    <n v="3900"/>
    <n v="4500"/>
    <x v="0"/>
    <n v="0"/>
    <n v="0"/>
    <n v="0"/>
    <n v="81431.961035221175"/>
    <n v="24762.287272727273"/>
    <n v="0"/>
    <n v="110094.24830794845"/>
    <n v="110094.24830794845"/>
    <n v="-110094.24830794845"/>
  </r>
  <r>
    <x v="1120"/>
    <s v="RC-121X MANG RECIPIENTE A BOMBA"/>
    <x v="3"/>
    <s v="UND"/>
    <n v="1500"/>
    <n v="2500"/>
    <x v="28"/>
    <n v="10500"/>
    <n v="17500"/>
    <n v="7000"/>
    <n v="81431.961035221175"/>
    <n v="24762.287272727273"/>
    <n v="0"/>
    <n v="116694.24830794845"/>
    <n v="16670.606901135492"/>
    <n v="-99194.248307948452"/>
  </r>
  <r>
    <x v="1121"/>
    <s v="RC-808X TUERCA SUJECION CABEZOTE"/>
    <x v="3"/>
    <s v="UND"/>
    <n v="615.23"/>
    <n v="1200"/>
    <x v="18"/>
    <n v="1230.46"/>
    <n v="2400"/>
    <n v="1169.54"/>
    <n v="81431.961035221175"/>
    <n v="24762.287272727273"/>
    <n v="0"/>
    <n v="107424.70830794846"/>
    <n v="53712.354153974229"/>
    <n v="-105024.70830794846"/>
  </r>
  <r>
    <x v="1122"/>
    <s v="RG-100X CABEZOTE PLASTICO"/>
    <x v="3"/>
    <s v="UND"/>
    <n v="6564.04"/>
    <n v="6800"/>
    <x v="0"/>
    <n v="0"/>
    <n v="0"/>
    <n v="0"/>
    <n v="81431.961035221175"/>
    <n v="24762.287272727273"/>
    <n v="0"/>
    <n v="112758.28830794845"/>
    <n v="112758.28830794845"/>
    <n v="-112758.28830794845"/>
  </r>
  <r>
    <x v="1123"/>
    <s v="SAL SOMEX CRIA x 40 KL"/>
    <x v="2"/>
    <s v="BULTO"/>
    <n v="103335.75"/>
    <n v="116250"/>
    <x v="0"/>
    <n v="0"/>
    <n v="0"/>
    <n v="0"/>
    <n v="81431.961035221175"/>
    <n v="24762.287272727273"/>
    <n v="0"/>
    <n v="209529.99830794844"/>
    <n v="209529.99830794844"/>
    <n v="-209529.99830794844"/>
  </r>
  <r>
    <x v="1124"/>
    <s v="SAL SOMEX DESTETOS x 30 KL"/>
    <x v="2"/>
    <s v="BULTO"/>
    <n v="80514"/>
    <n v="90250"/>
    <x v="0"/>
    <n v="0"/>
    <n v="0"/>
    <n v="0"/>
    <n v="81431.961035221175"/>
    <n v="24762.287272727273"/>
    <n v="0"/>
    <n v="186708.24830794844"/>
    <n v="186708.24830794844"/>
    <n v="-186708.24830794844"/>
  </r>
  <r>
    <x v="1125"/>
    <s v="CHUNKY GATOS S/C 1.5 KL"/>
    <x v="2"/>
    <s v="UND"/>
    <n v="16350"/>
    <n v="19500"/>
    <x v="0"/>
    <n v="0"/>
    <n v="0"/>
    <n v="0"/>
    <n v="81431.961035221175"/>
    <n v="24762.287272727273"/>
    <n v="0"/>
    <n v="122544.24830794845"/>
    <n v="122544.24830794845"/>
    <n v="-122544.24830794845"/>
  </r>
  <r>
    <x v="1126"/>
    <s v="RC-202DEX TAPA RECPIENTE EMPACADA"/>
    <x v="3"/>
    <s v="UND"/>
    <n v="10900"/>
    <n v="13933.333333333334"/>
    <x v="13"/>
    <n v="32700"/>
    <n v="41800"/>
    <n v="9100"/>
    <n v="81431.961035221175"/>
    <n v="24762.287272727273"/>
    <n v="0"/>
    <n v="138894.24830794844"/>
    <n v="46298.082769316148"/>
    <n v="-97094.248307948437"/>
  </r>
  <r>
    <x v="1127"/>
    <s v="RC-100X CABEZOTE METALICO FUMIG CLASICA"/>
    <x v="3"/>
    <s v="UND"/>
    <n v="40499.999900000003"/>
    <n v="45200"/>
    <x v="0"/>
    <n v="0"/>
    <n v="0"/>
    <n v="0"/>
    <n v="81431.961035221175"/>
    <n v="24762.287272727273"/>
    <n v="0"/>
    <n v="146694.24820794843"/>
    <n v="146694.24820794843"/>
    <n v="-146694.24820794843"/>
  </r>
  <r>
    <x v="1128"/>
    <s v="RC-H-KIT REPUESTOS PANTALLA PARA HERBICI"/>
    <x v="3"/>
    <s v="UND"/>
    <n v="6299.9998999999998"/>
    <n v="8500"/>
    <x v="0"/>
    <n v="0"/>
    <n v="0"/>
    <n v="0"/>
    <n v="81431.961035221175"/>
    <n v="24762.287272727273"/>
    <n v="0"/>
    <n v="112494.24820794845"/>
    <n v="112494.24820794845"/>
    <n v="-112494.24820794845"/>
  </r>
  <r>
    <x v="1129"/>
    <s v="CHASIS INOXIDABLE PROMOCIONAL CLASICA/IND"/>
    <x v="3"/>
    <s v="UND"/>
    <n v="32700"/>
    <n v="38600"/>
    <x v="17"/>
    <n v="32700"/>
    <n v="38600"/>
    <n v="5900"/>
    <n v="81431.961035221175"/>
    <n v="24762.287272727273"/>
    <n v="0"/>
    <n v="138894.24830794844"/>
    <n v="138894.24830794844"/>
    <n v="-100294.24830794844"/>
  </r>
  <r>
    <x v="1130"/>
    <s v="RECIPIENTE 20 LTS RC -200-20E CLASICA"/>
    <x v="3"/>
    <s v="UND"/>
    <n v="38700"/>
    <n v="45200"/>
    <x v="18"/>
    <n v="77400"/>
    <n v="90400"/>
    <n v="13000"/>
    <n v="81431.961035221175"/>
    <n v="24762.287272727273"/>
    <n v="0"/>
    <n v="183594.24830794844"/>
    <n v="91797.124153974219"/>
    <n v="-93194.248307948437"/>
  </r>
  <r>
    <x v="1131"/>
    <s v="SAFERSOIL x LB"/>
    <x v="6"/>
    <s v="UND"/>
    <n v="34500"/>
    <n v="42500"/>
    <x v="17"/>
    <n v="34500"/>
    <n v="42500"/>
    <n v="8000"/>
    <n v="81431.961035221175"/>
    <n v="24762.287272727273"/>
    <n v="0"/>
    <n v="140694.24830794844"/>
    <n v="140694.24830794844"/>
    <n v="-98194.248307948437"/>
  </r>
  <r>
    <x v="1132"/>
    <s v="VOSTOK x 375 GR SOBRE"/>
    <x v="6"/>
    <s v="UND"/>
    <n v="16800"/>
    <n v="20500"/>
    <x v="36"/>
    <n v="487200"/>
    <n v="594500"/>
    <n v="107300"/>
    <n v="81431.961035221175"/>
    <n v="24762.287272727273"/>
    <n v="0"/>
    <n v="593394.24830794835"/>
    <n v="20461.870631308564"/>
    <n v="1105.75169205165"/>
  </r>
  <r>
    <x v="1133"/>
    <s v="FERTILIZANTE PARA ORQUIDEAS x SOBRE"/>
    <x v="1"/>
    <s v="UND"/>
    <n v="981"/>
    <n v="1300"/>
    <x v="22"/>
    <n v="42183"/>
    <n v="55900"/>
    <n v="13717"/>
    <n v="81431.961035221175"/>
    <n v="24762.287272727273"/>
    <n v="0"/>
    <n v="148377.24830794844"/>
    <n v="3450.633681580196"/>
    <n v="-92477.248307948437"/>
  </r>
  <r>
    <x v="1134"/>
    <s v="PROMALINA x 120 ML"/>
    <x v="1"/>
    <s v="ML"/>
    <n v="67000"/>
    <n v="80333.333333333328"/>
    <x v="51"/>
    <n v="1675000"/>
    <n v="2008333.3333333333"/>
    <n v="333333.33333333326"/>
    <n v="81431.961035221175"/>
    <n v="24762.287272727273"/>
    <n v="0"/>
    <n v="1781194.2483079485"/>
    <n v="71247.76993231794"/>
    <n v="227139.08502538479"/>
  </r>
  <r>
    <x v="1135"/>
    <s v="PROMALINA x 500 ML"/>
    <x v="1"/>
    <s v="Ml"/>
    <n v="278000"/>
    <n v="317000"/>
    <x v="13"/>
    <n v="834000"/>
    <n v="951000"/>
    <n v="117000"/>
    <n v="81431.961035221175"/>
    <n v="24762.287272727273"/>
    <n v="0"/>
    <n v="940194.24830794835"/>
    <n v="313398.0827693161"/>
    <n v="10805.75169205165"/>
  </r>
  <r>
    <x v="1136"/>
    <s v="CURAXIL x LB"/>
    <x v="6"/>
    <s v="LB"/>
    <n v="13000"/>
    <n v="19750"/>
    <x v="15"/>
    <n v="78000"/>
    <n v="118500"/>
    <n v="40500"/>
    <n v="81431.961035221175"/>
    <n v="24762.287272727273"/>
    <n v="0"/>
    <n v="184194.24830794844"/>
    <n v="30699.041384658074"/>
    <n v="-65694.248307948437"/>
  </r>
  <r>
    <x v="1137"/>
    <s v="LOCKED SL x LT"/>
    <x v="4"/>
    <s v="ML"/>
    <n v="184000"/>
    <n v="218000"/>
    <x v="25"/>
    <n v="3864000"/>
    <n v="4578000"/>
    <n v="714000"/>
    <n v="81431.961035221175"/>
    <n v="24762.287272727273"/>
    <n v="0"/>
    <n v="3970194.2483079485"/>
    <n v="189056.86896704516"/>
    <n v="607805.75169205153"/>
  </r>
  <r>
    <x v="1138"/>
    <s v="VERDICT x LT"/>
    <x v="10"/>
    <s v="LT"/>
    <n v="110891"/>
    <n v="128400"/>
    <x v="18"/>
    <n v="221782"/>
    <n v="256800"/>
    <n v="35018"/>
    <n v="81431.961035221175"/>
    <n v="24762.287272727273"/>
    <n v="0"/>
    <n v="327976.24830794847"/>
    <n v="163988.12415397423"/>
    <n v="-71176.248307948466"/>
  </r>
  <r>
    <x v="1139"/>
    <s v="KADABRA x LT"/>
    <x v="4"/>
    <s v="UND"/>
    <n v="275375.24"/>
    <n v="318333.33333333331"/>
    <x v="18"/>
    <n v="550750.48"/>
    <n v="636666.66666666663"/>
    <n v="85916.186666666646"/>
    <n v="81431.961035221175"/>
    <n v="24762.287272727273"/>
    <n v="0"/>
    <n v="656944.72830794833"/>
    <n v="328472.36415397417"/>
    <n v="-20278.061641281703"/>
  </r>
  <r>
    <x v="1140"/>
    <s v="KADABRA x 150 CC"/>
    <x v="4"/>
    <s v="CC"/>
    <n v="44816"/>
    <n v="52600"/>
    <x v="7"/>
    <n v="492976"/>
    <n v="578600"/>
    <n v="85624"/>
    <n v="81431.961035221175"/>
    <n v="24762.287272727273"/>
    <n v="0"/>
    <n v="599170.24830794835"/>
    <n v="54470.022573449853"/>
    <n v="-20570.24830794835"/>
  </r>
  <r>
    <x v="1141"/>
    <s v="MAMITOLINA GEL X 250Gr"/>
    <x v="5"/>
    <s v="Gr"/>
    <n v="17554.88"/>
    <n v="22000"/>
    <x v="0"/>
    <n v="0"/>
    <n v="0"/>
    <n v="0"/>
    <n v="81431.961035221175"/>
    <n v="24762.287272727273"/>
    <n v="0"/>
    <n v="123749.12830794846"/>
    <n v="123749.12830794846"/>
    <n v="-123749.12830794846"/>
  </r>
  <r>
    <x v="1142"/>
    <s v="TRILLA x KL"/>
    <x v="10"/>
    <s v="KL"/>
    <n v="64750"/>
    <n v="73983.333333333328"/>
    <x v="78"/>
    <n v="2913750"/>
    <n v="3329250"/>
    <n v="415500"/>
    <n v="81431.961035221175"/>
    <n v="24762.287272727273"/>
    <n v="0"/>
    <n v="3019944.2483079485"/>
    <n v="67109.872184621083"/>
    <n v="309305.75169205153"/>
  </r>
  <r>
    <x v="1143"/>
    <s v="PAJARINA"/>
    <x v="2"/>
    <s v="UND"/>
    <n v="1880.0039999999999"/>
    <n v="2200"/>
    <x v="0"/>
    <n v="0"/>
    <n v="0"/>
    <n v="0"/>
    <n v="81431.961035221175"/>
    <n v="24762.287272727273"/>
    <n v="0"/>
    <n v="108074.25230794845"/>
    <n v="108074.25230794845"/>
    <n v="-108074.25230794845"/>
  </r>
  <r>
    <x v="1144"/>
    <s v="MALLA METALICA 1.80 x MTS"/>
    <x v="7"/>
    <s v="UND"/>
    <n v="4708.3333000000002"/>
    <n v="5700"/>
    <x v="0"/>
    <n v="0"/>
    <n v="0"/>
    <n v="0"/>
    <n v="81431.961035221175"/>
    <n v="24762.287272727273"/>
    <n v="0"/>
    <n v="110902.58160794845"/>
    <n v="110902.58160794845"/>
    <n v="-110902.58160794845"/>
  </r>
  <r>
    <x v="1145"/>
    <s v="NUTRISTIM CALCIO x LT"/>
    <x v="1"/>
    <s v="LT"/>
    <n v="24702"/>
    <n v="32000"/>
    <x v="50"/>
    <n v="321126"/>
    <n v="416000"/>
    <n v="94874"/>
    <n v="81431.961035221175"/>
    <n v="24762.287272727273"/>
    <n v="0"/>
    <n v="427320.24830794847"/>
    <n v="32870.788331380652"/>
    <n v="-11320.248307948466"/>
  </r>
  <r>
    <x v="1146"/>
    <s v="RC-923 VASTAGO ENSAM. METALICO"/>
    <x v="3"/>
    <s v="UND"/>
    <n v="6200"/>
    <n v="9000"/>
    <x v="17"/>
    <n v="6200"/>
    <n v="9000"/>
    <n v="2800"/>
    <n v="81431.961035221175"/>
    <n v="24762.287272727273"/>
    <n v="0"/>
    <n v="112394.24830794845"/>
    <n v="112394.24830794845"/>
    <n v="-103394.24830794845"/>
  </r>
  <r>
    <x v="1147"/>
    <s v="RA-605ZX KIT VARILLA CHASIS ALI-ACT"/>
    <x v="3"/>
    <s v="UN"/>
    <n v="7500"/>
    <n v="9000"/>
    <x v="0"/>
    <n v="0"/>
    <n v="0"/>
    <n v="0"/>
    <n v="81431.961035221175"/>
    <n v="24762.287272727273"/>
    <n v="0"/>
    <n v="113694.24830794845"/>
    <n v="113694.24830794845"/>
    <n v="-113694.24830794845"/>
  </r>
  <r>
    <x v="1148"/>
    <s v="TRUCHAS INICIO x20kl"/>
    <x v="2"/>
    <s v="UND"/>
    <n v="188600"/>
    <n v="198500"/>
    <x v="0"/>
    <n v="0"/>
    <n v="0"/>
    <n v="0"/>
    <n v="81431.961035221175"/>
    <n v="24762.287272727273"/>
    <n v="0"/>
    <n v="294794.24830794847"/>
    <n v="294794.24830794847"/>
    <n v="-294794.24830794847"/>
  </r>
  <r>
    <x v="1149"/>
    <s v="TRUCHAS DESARROLLO"/>
    <x v="2"/>
    <s v="BULTO"/>
    <n v="168945"/>
    <n v="176500"/>
    <x v="0"/>
    <n v="0"/>
    <n v="0"/>
    <n v="0"/>
    <n v="81431.961035221175"/>
    <n v="24762.287272727273"/>
    <n v="0"/>
    <n v="275139.24830794847"/>
    <n v="275139.24830794847"/>
    <n v="-275139.24830794847"/>
  </r>
  <r>
    <x v="1150"/>
    <s v="TRUCHAS ENGORDE 43%"/>
    <x v="2"/>
    <s v="UND"/>
    <n v="152700"/>
    <n v="165000"/>
    <x v="0"/>
    <n v="0"/>
    <n v="0"/>
    <n v="0"/>
    <n v="81431.961035221175"/>
    <n v="24762.287272727273"/>
    <n v="0"/>
    <n v="258894.24830794844"/>
    <n v="258894.24830794844"/>
    <n v="-258894.24830794844"/>
  </r>
  <r>
    <x v="1151"/>
    <s v="PLANTULAS DE MORA"/>
    <x v="11"/>
    <s v="UND"/>
    <n v="1200"/>
    <n v="1500"/>
    <x v="0"/>
    <n v="0"/>
    <n v="0"/>
    <n v="0"/>
    <n v="81431.961035221175"/>
    <n v="24762.287272727273"/>
    <n v="0"/>
    <n v="107394.24830794845"/>
    <n v="107394.24830794845"/>
    <n v="-107394.24830794845"/>
  </r>
  <r>
    <x v="1152"/>
    <s v="FOSSCA Bt x 50 ECOLINE"/>
    <x v="0"/>
    <s v="BT"/>
    <n v="92000"/>
    <n v="102000"/>
    <x v="0"/>
    <n v="0"/>
    <n v="0"/>
    <n v="0"/>
    <n v="81431.961035221175"/>
    <n v="24762.287272727273"/>
    <n v="0"/>
    <n v="198194.24830794844"/>
    <n v="198194.24830794844"/>
    <n v="-198194.24830794844"/>
  </r>
  <r>
    <x v="1153"/>
    <s v="FS-106 LANZA FUMIGACION 1/2*46 CM"/>
    <x v="3"/>
    <s v="UND"/>
    <n v="27700"/>
    <n v="33000"/>
    <x v="35"/>
    <n v="110800"/>
    <n v="132000"/>
    <n v="21200"/>
    <n v="81431.961035221175"/>
    <n v="24762.287272727273"/>
    <n v="0"/>
    <n v="216994.24830794844"/>
    <n v="54248.562076987109"/>
    <n v="-84994.248307948437"/>
  </r>
  <r>
    <x v="1154"/>
    <s v="LNZM-06 LNZA MOTORIZADOS 60 CM"/>
    <x v="3"/>
    <s v="UND"/>
    <n v="24000"/>
    <n v="32000"/>
    <x v="35"/>
    <n v="96000"/>
    <n v="128000"/>
    <n v="32000"/>
    <n v="81431.961035221175"/>
    <n v="24762.287272727273"/>
    <n v="0"/>
    <n v="202194.24830794844"/>
    <n v="50548.562076987109"/>
    <n v="-74194.248307948437"/>
  </r>
  <r>
    <x v="1155"/>
    <s v="NEOCLORDELIN SECADO"/>
    <x v="5"/>
    <s v="UND"/>
    <n v="32204"/>
    <n v="42000"/>
    <x v="17"/>
    <n v="32204"/>
    <n v="42000"/>
    <n v="9796"/>
    <n v="81431.961035221175"/>
    <n v="24762.287272727273"/>
    <n v="0"/>
    <n v="138398.24830794844"/>
    <n v="138398.24830794844"/>
    <n v="-96398.248307948437"/>
  </r>
  <r>
    <x v="1156"/>
    <s v="HISTOVACUNA PAPILOMA BOVINA x 20 ML"/>
    <x v="5"/>
    <s v="UND"/>
    <n v="24000"/>
    <n v="28000"/>
    <x v="0"/>
    <n v="0"/>
    <n v="0"/>
    <n v="0"/>
    <n v="81431.961035221175"/>
    <n v="24762.287272727273"/>
    <n v="0"/>
    <n v="130194.24830794845"/>
    <n v="130194.24830794845"/>
    <n v="-130194.24830794845"/>
  </r>
  <r>
    <x v="1157"/>
    <s v="SAFERMIX x LB"/>
    <x v="4"/>
    <s v="UND"/>
    <n v="41300"/>
    <n v="45000"/>
    <x v="18"/>
    <n v="82600"/>
    <n v="90000"/>
    <n v="7400"/>
    <n v="81431.961035221175"/>
    <n v="24762.287272727273"/>
    <n v="0"/>
    <n v="188794.24830794844"/>
    <n v="94397.124153974219"/>
    <n v="-98794.248307948437"/>
  </r>
  <r>
    <x v="1158"/>
    <s v="MICORRIZA x 10 KL"/>
    <x v="1"/>
    <s v="UND"/>
    <n v="25750"/>
    <n v="32000"/>
    <x v="0"/>
    <n v="0"/>
    <n v="0"/>
    <n v="0"/>
    <n v="81431.961035221175"/>
    <n v="24762.287272727273"/>
    <n v="0"/>
    <n v="131944.24830794844"/>
    <n v="131944.24830794844"/>
    <n v="-131944.24830794844"/>
  </r>
  <r>
    <x v="1159"/>
    <s v="PLANTULAS DE AGUACATE"/>
    <x v="11"/>
    <s v="UND"/>
    <n v="12000"/>
    <n v="16500"/>
    <x v="0"/>
    <n v="0"/>
    <n v="0"/>
    <n v="0"/>
    <n v="81431.961035221175"/>
    <n v="24762.287272727273"/>
    <n v="0"/>
    <n v="118194.24830794845"/>
    <n v="118194.24830794845"/>
    <n v="-118194.24830794845"/>
  </r>
  <r>
    <x v="1160"/>
    <s v="ARO GUADAÑA"/>
    <x v="9"/>
    <s v="UND"/>
    <n v="35000"/>
    <n v="52000"/>
    <x v="0"/>
    <n v="0"/>
    <n v="0"/>
    <n v="0"/>
    <n v="81431.961035221175"/>
    <n v="24762.287272727273"/>
    <n v="0"/>
    <n v="141194.24830794844"/>
    <n v="141194.24830794844"/>
    <n v="-141194.24830794844"/>
  </r>
  <r>
    <x v="1161"/>
    <s v="EFISOIL HUMUS x 5 KL"/>
    <x v="1"/>
    <s v="UND"/>
    <n v="205000"/>
    <n v="258250"/>
    <x v="18"/>
    <n v="410000"/>
    <n v="516500"/>
    <n v="106500"/>
    <n v="81431.961035221175"/>
    <n v="24762.287272727273"/>
    <n v="0"/>
    <n v="516194.24830794847"/>
    <n v="258097.12415397423"/>
    <n v="305.75169205153361"/>
  </r>
  <r>
    <x v="1162"/>
    <s v="MICORRIZA x 50 KL"/>
    <x v="1"/>
    <s v="UND"/>
    <n v="67800"/>
    <n v="76000"/>
    <x v="0"/>
    <n v="0"/>
    <n v="0"/>
    <n v="0"/>
    <n v="81431.961035221175"/>
    <n v="24762.287272727273"/>
    <n v="0"/>
    <n v="173994.24830794844"/>
    <n v="173994.24830794844"/>
    <n v="-173994.24830794844"/>
  </r>
  <r>
    <x v="1163"/>
    <s v="FLUYEX x LT"/>
    <x v="1"/>
    <s v="ML"/>
    <n v="22799.9954"/>
    <n v="28000"/>
    <x v="0"/>
    <n v="0"/>
    <n v="0"/>
    <n v="0"/>
    <n v="81431.961035221175"/>
    <n v="24762.287272727273"/>
    <n v="0"/>
    <n v="128994.24370794845"/>
    <n v="128994.24370794845"/>
    <n v="-128994.24370794845"/>
  </r>
  <r>
    <x v="1164"/>
    <s v="EVOFERT PROMOTOR x LT"/>
    <x v="1"/>
    <s v="LT"/>
    <n v="108975"/>
    <n v="127000"/>
    <x v="14"/>
    <n v="5775675"/>
    <n v="6731000"/>
    <n v="955325"/>
    <n v="81431.961035221175"/>
    <n v="24762.287272727273"/>
    <n v="0"/>
    <n v="5881869.248307948"/>
    <n v="110978.66506241412"/>
    <n v="849130.751692052"/>
  </r>
  <r>
    <x v="1165"/>
    <s v="EVOFERT PRODUCCION x LT"/>
    <x v="1"/>
    <s v="LT"/>
    <n v="42112"/>
    <n v="49700"/>
    <x v="170"/>
    <n v="3200512"/>
    <n v="3777200"/>
    <n v="576688"/>
    <n v="81431.961035221175"/>
    <n v="24762.287272727273"/>
    <n v="0"/>
    <n v="3306706.2483079485"/>
    <n v="43509.29274089406"/>
    <n v="470493.75169205153"/>
  </r>
  <r>
    <x v="1166"/>
    <s v="CURBIIX FUSION X LT"/>
    <x v="4"/>
    <s v="LT"/>
    <n v="133417.01999999999"/>
    <n v="158500"/>
    <x v="49"/>
    <n v="1067336.1599999999"/>
    <n v="1268000"/>
    <n v="200663.84000000008"/>
    <n v="81431.961035221175"/>
    <n v="24762.287272727273"/>
    <n v="0"/>
    <n v="1173530.4083079484"/>
    <n v="146691.30103849355"/>
    <n v="94469.591692051617"/>
  </r>
  <r>
    <x v="1167"/>
    <s v="ALFOSITOL POTASION x GL"/>
    <x v="1"/>
    <s v="UND"/>
    <n v="272800"/>
    <n v="272166.66666666669"/>
    <x v="35"/>
    <n v="1091200"/>
    <n v="1088666.6666666667"/>
    <n v="-2533.3333333332557"/>
    <n v="81431.961035221175"/>
    <n v="24762.287272727273"/>
    <n v="0"/>
    <n v="1197394.2483079485"/>
    <n v="299348.56207698712"/>
    <n v="-108727.58164128172"/>
  </r>
  <r>
    <x v="1168"/>
    <s v="AISLADOR MANGUERA LISA (ROLLO x 50 MTS)"/>
    <x v="12"/>
    <s v="UND"/>
    <n v="23372.79"/>
    <n v="28000"/>
    <x v="31"/>
    <n v="210355.11000000002"/>
    <n v="252000"/>
    <n v="41644.889999999985"/>
    <n v="81431.961035221175"/>
    <n v="24762.287272727273"/>
    <n v="0"/>
    <n v="316549.35830794851"/>
    <n v="35172.150923105393"/>
    <n v="-64549.358307948511"/>
  </r>
  <r>
    <x v="1169"/>
    <s v="CHUNKY CACH x LB"/>
    <x v="2"/>
    <s v="UND"/>
    <n v="3700.0005000000001"/>
    <n v="4200"/>
    <x v="0"/>
    <n v="0"/>
    <n v="0"/>
    <n v="0"/>
    <n v="81431.961035221175"/>
    <n v="24762.287272727273"/>
    <n v="0"/>
    <n v="109894.24880794845"/>
    <n v="109894.24880794845"/>
    <n v="-109894.24880794845"/>
  </r>
  <r>
    <x v="1170"/>
    <s v="CHUNKY ADT x LB"/>
    <x v="2"/>
    <s v="UND"/>
    <n v="2949.9960000000001"/>
    <n v="3200"/>
    <x v="0"/>
    <n v="0"/>
    <n v="0"/>
    <n v="0"/>
    <n v="81431.961035221175"/>
    <n v="24762.287272727273"/>
    <n v="0"/>
    <n v="109144.24430794845"/>
    <n v="109144.24430794845"/>
    <n v="-109144.24430794845"/>
  </r>
  <r>
    <x v="1171"/>
    <s v="CHUNKY GATOS x LB"/>
    <x v="2"/>
    <s v="UND"/>
    <n v="4200"/>
    <n v="4900"/>
    <x v="69"/>
    <n v="142800"/>
    <n v="166600"/>
    <n v="23800"/>
    <n v="81431.961035221175"/>
    <n v="24762.287272727273"/>
    <n v="0"/>
    <n v="248994.24830794844"/>
    <n v="7323.3602443514246"/>
    <n v="-82394.248307948437"/>
  </r>
  <r>
    <x v="1172"/>
    <s v="SOLU ACTIV PROD x 9.5"/>
    <x v="0"/>
    <s v="UND"/>
    <n v="67070"/>
    <n v="86166.666666666672"/>
    <x v="132"/>
    <n v="2146240"/>
    <n v="2757333.3333333335"/>
    <n v="611093.33333333349"/>
    <n v="81431.961035221175"/>
    <n v="24762.287272727273"/>
    <n v="0"/>
    <n v="2252434.2483079485"/>
    <n v="70388.57025962339"/>
    <n v="504899.08502538502"/>
  </r>
  <r>
    <x v="1173"/>
    <s v="SOLU ACT PROD x KL"/>
    <x v="0"/>
    <s v="UND"/>
    <n v="7055"/>
    <n v="9966.6666666666661"/>
    <x v="30"/>
    <n v="211650"/>
    <n v="299000"/>
    <n v="87350"/>
    <n v="283519.42464527232"/>
    <n v="24762.287272727273"/>
    <n v="106174.11764705883"/>
    <n v="626105.82956505846"/>
    <n v="20870.194318835282"/>
    <n v="-327105.82956505846"/>
  </r>
  <r>
    <x v="1174"/>
    <s v="NITRONS CAB x 25 KL"/>
    <x v="0"/>
    <s v="UND"/>
    <n v="53125"/>
    <n v="85600"/>
    <x v="0"/>
    <n v="0"/>
    <n v="0"/>
    <n v="0"/>
    <n v="81431.961035221175"/>
    <n v="24762.287272727273"/>
    <n v="0"/>
    <n v="159319.24830794844"/>
    <n v="159319.24830794844"/>
    <n v="-159319.24830794844"/>
  </r>
  <r>
    <x v="1175"/>
    <s v="ALAMBRE DE PUA 14x200MTS"/>
    <x v="9"/>
    <s v="LT"/>
    <n v="130662"/>
    <n v="158000"/>
    <x v="17"/>
    <n v="130662"/>
    <n v="158000"/>
    <n v="27338"/>
    <n v="81431.961035221175"/>
    <n v="24762.287272727273"/>
    <n v="0"/>
    <n v="236856.24830794844"/>
    <n v="236856.24830794844"/>
    <n v="-78856.248307948437"/>
  </r>
  <r>
    <x v="1176"/>
    <s v="EVOFERT PROMOTOR x  GALON"/>
    <x v="1"/>
    <s v="GALON"/>
    <n v="414105"/>
    <n v="457000"/>
    <x v="15"/>
    <n v="2484630"/>
    <n v="2742000"/>
    <n v="257370"/>
    <n v="81431.961035221175"/>
    <n v="24762.287272727273"/>
    <n v="0"/>
    <n v="2590824.2483079485"/>
    <n v="431804.04138465808"/>
    <n v="151175.75169205153"/>
  </r>
  <r>
    <x v="1177"/>
    <s v="RAFAGA x 250 CC"/>
    <x v="4"/>
    <s v="UND"/>
    <n v="13800"/>
    <n v="16500"/>
    <x v="49"/>
    <n v="110400"/>
    <n v="132000"/>
    <n v="21600"/>
    <n v="81431.961035221175"/>
    <n v="24762.287272727273"/>
    <n v="0"/>
    <n v="216594.24830794844"/>
    <n v="27074.281038493555"/>
    <n v="-84594.248307948437"/>
  </r>
  <r>
    <x v="1178"/>
    <s v="SOLU ACT 18-18-18"/>
    <x v="0"/>
    <s v="UND"/>
    <n v="59042.5"/>
    <n v="82000"/>
    <x v="18"/>
    <n v="118085"/>
    <n v="164000"/>
    <n v="45915"/>
    <n v="81431.961035221175"/>
    <n v="24762.287272727273"/>
    <n v="0"/>
    <n v="224279.24830794844"/>
    <n v="112139.62415397422"/>
    <n v="-60279.248307948437"/>
  </r>
  <r>
    <x v="1179"/>
    <s v="CAMARA PRESION MITTO"/>
    <x v="3"/>
    <s v="UND"/>
    <n v="17999.939999999999"/>
    <n v="21000"/>
    <x v="18"/>
    <n v="35999.879999999997"/>
    <n v="42000"/>
    <n v="6000.1200000000026"/>
    <n v="81431.961035221175"/>
    <n v="24762.287272727273"/>
    <n v="0"/>
    <n v="142194.12830794844"/>
    <n v="71097.064153974221"/>
    <n v="-100194.12830794844"/>
  </r>
  <r>
    <x v="1180"/>
    <s v="TUBO BOMBA CON CABEZOTE MITTO"/>
    <x v="3"/>
    <s v="UND"/>
    <n v="32999.89"/>
    <n v="37833.333333333336"/>
    <x v="13"/>
    <n v="98999.67"/>
    <n v="113500"/>
    <n v="14500.330000000002"/>
    <n v="81431.961035221175"/>
    <n v="24762.287272727273"/>
    <n v="0"/>
    <n v="205193.91830794842"/>
    <n v="68397.97276931614"/>
    <n v="-91693.918307948421"/>
  </r>
  <r>
    <x v="1181"/>
    <s v="CHASIS PLASTICO MITTO"/>
    <x v="3"/>
    <s v="UND"/>
    <n v="43999.06"/>
    <n v="51666.666666666664"/>
    <x v="0"/>
    <n v="0"/>
    <n v="0"/>
    <n v="0"/>
    <n v="81431.961035221175"/>
    <n v="24762.287272727273"/>
    <n v="0"/>
    <n v="150193.30830794843"/>
    <n v="150193.30830794843"/>
    <n v="-150193.30830794843"/>
  </r>
  <r>
    <x v="1182"/>
    <s v="ESFERAS MITTO INOX"/>
    <x v="3"/>
    <s v="UND"/>
    <n v="2499"/>
    <n v="3200"/>
    <x v="0"/>
    <n v="0"/>
    <n v="0"/>
    <n v="0"/>
    <n v="81431.961035221175"/>
    <n v="24762.287272727273"/>
    <n v="0"/>
    <n v="108693.24830794845"/>
    <n v="108693.24830794845"/>
    <n v="-108693.24830794845"/>
  </r>
  <r>
    <x v="1183"/>
    <s v="VARILLA EMBOLO MITTO COMPLETA"/>
    <x v="3"/>
    <s v="UND"/>
    <n v="20999.93"/>
    <n v="25083.333333333332"/>
    <x v="17"/>
    <n v="20999.93"/>
    <n v="25083.333333333332"/>
    <n v="4083.4033333333318"/>
    <n v="81431.961035221175"/>
    <n v="24762.287272727273"/>
    <n v="0"/>
    <n v="127194.17830794844"/>
    <n v="127194.17830794844"/>
    <n v="-102110.84497461512"/>
  </r>
  <r>
    <x v="1184"/>
    <s v="CODO BC LAZA ESTACIONARIA"/>
    <x v="3"/>
    <s v="UND"/>
    <n v="5950"/>
    <n v="7300"/>
    <x v="15"/>
    <n v="35700"/>
    <n v="43800"/>
    <n v="8100"/>
    <n v="81431.961035221175"/>
    <n v="24762.287272727273"/>
    <n v="0"/>
    <n v="141894.24830794844"/>
    <n v="23649.041384658074"/>
    <n v="-98094.248307948437"/>
  </r>
  <r>
    <x v="1185"/>
    <s v="DISCO BOQUILLA ESTAC D3"/>
    <x v="3"/>
    <s v="UND"/>
    <n v="2618"/>
    <n v="6000"/>
    <x v="35"/>
    <n v="10472"/>
    <n v="24000"/>
    <n v="13528"/>
    <n v="81431.961035221175"/>
    <n v="24762.287272727273"/>
    <n v="0"/>
    <n v="116666.24830794845"/>
    <n v="29166.562076987113"/>
    <n v="-92666.248307948452"/>
  </r>
  <r>
    <x v="1186"/>
    <s v="EVOFERT INICIO x LT"/>
    <x v="1"/>
    <s v="UND"/>
    <n v="39690"/>
    <n v="48000"/>
    <x v="187"/>
    <n v="4445280"/>
    <n v="5376000"/>
    <n v="930720"/>
    <n v="81431.961035221175"/>
    <n v="24762.287272727273"/>
    <n v="0"/>
    <n v="4551474.248307948"/>
    <n v="40638.162931320963"/>
    <n v="824525.751692052"/>
  </r>
  <r>
    <x v="1187"/>
    <s v="EVOFERT PRODUCCION x GALON"/>
    <x v="1"/>
    <s v="GALON"/>
    <n v="156627"/>
    <n v="175000"/>
    <x v="67"/>
    <n v="2975913"/>
    <n v="3325000"/>
    <n v="349087"/>
    <n v="81431.961035221175"/>
    <n v="24762.287272727273"/>
    <n v="0"/>
    <n v="3082107.2483079485"/>
    <n v="162216.17096357624"/>
    <n v="242892.75169205153"/>
  </r>
  <r>
    <x v="1188"/>
    <s v="EXACTUS 75 WG x 150 GR"/>
    <x v="10"/>
    <s v="GR"/>
    <n v="23100"/>
    <n v="27500"/>
    <x v="47"/>
    <n v="1178100"/>
    <n v="1402500"/>
    <n v="224400"/>
    <n v="81431.961035221175"/>
    <n v="24762.287272727273"/>
    <n v="0"/>
    <n v="1284294.2483079485"/>
    <n v="25182.240162900951"/>
    <n v="118205.75169205153"/>
  </r>
  <r>
    <x v="1189"/>
    <s v="VASTO 10 WG x 150 GR"/>
    <x v="4"/>
    <s v="GR"/>
    <n v="45700"/>
    <n v="49066.666666666664"/>
    <x v="28"/>
    <n v="319900"/>
    <n v="343466.66666666663"/>
    <n v="23566.666666666628"/>
    <n v="81431.961035221175"/>
    <n v="24762.287272727273"/>
    <n v="0"/>
    <n v="426094.24830794847"/>
    <n v="60870.606901135492"/>
    <n v="-82627.581641281839"/>
  </r>
  <r>
    <x v="1190"/>
    <s v="FUMIGADORA DE GALON"/>
    <x v="9"/>
    <s v="GALON"/>
    <n v="28000"/>
    <n v="34000"/>
    <x v="13"/>
    <n v="84000"/>
    <n v="102000"/>
    <n v="18000"/>
    <n v="81431.961035221175"/>
    <n v="24762.287272727273"/>
    <n v="0"/>
    <n v="190194.24830794844"/>
    <n v="63398.082769316148"/>
    <n v="-88194.248307948437"/>
  </r>
  <r>
    <x v="1191"/>
    <s v="RACOR MARIPOSA MITTO"/>
    <x v="3"/>
    <s v="UND"/>
    <n v="3600"/>
    <n v="4200"/>
    <x v="17"/>
    <n v="3600"/>
    <n v="4200"/>
    <n v="600"/>
    <n v="81431.961035221175"/>
    <n v="24762.287272727273"/>
    <n v="0"/>
    <n v="109794.24830794845"/>
    <n v="109794.24830794845"/>
    <n v="-105594.24830794845"/>
  </r>
  <r>
    <x v="1192"/>
    <s v="ALAMBRE CERCA ELECTRICA 1040 C.14 x 25 KG"/>
    <x v="12"/>
    <s v="UND"/>
    <n v="243395.46"/>
    <n v="268200"/>
    <x v="18"/>
    <n v="486790.92"/>
    <n v="536400"/>
    <n v="49609.080000000016"/>
    <n v="81431.961035221175"/>
    <n v="24762.287272727273"/>
    <n v="0"/>
    <n v="592985.16830794839"/>
    <n v="296492.5841539742"/>
    <n v="-56585.168307948392"/>
  </r>
  <r>
    <x v="1193"/>
    <s v="ANTRIBAXOL x 30 ML"/>
    <x v="5"/>
    <s v="und"/>
    <n v="14486"/>
    <n v="18600"/>
    <x v="0"/>
    <n v="0"/>
    <n v="0"/>
    <n v="0"/>
    <n v="81431.961035221175"/>
    <n v="24762.287272727273"/>
    <n v="0"/>
    <n v="120680.24830794845"/>
    <n v="120680.24830794845"/>
    <n v="-120680.24830794845"/>
  </r>
  <r>
    <x v="1194"/>
    <s v="ATAKAR X 500"/>
    <x v="5"/>
    <s v="UND"/>
    <n v="70000"/>
    <n v="81000"/>
    <x v="13"/>
    <n v="210000"/>
    <n v="243000"/>
    <n v="33000"/>
    <n v="81431.961035221175"/>
    <n v="24762.287272727273"/>
    <n v="0"/>
    <n v="316194.24830794847"/>
    <n v="105398.08276931616"/>
    <n v="-73194.248307948466"/>
  </r>
  <r>
    <x v="1195"/>
    <s v="BAYTRIL x LT"/>
    <x v="5"/>
    <s v="UND"/>
    <n v="49287"/>
    <n v="225000"/>
    <x v="0"/>
    <n v="0"/>
    <n v="0"/>
    <n v="0"/>
    <n v="81431.961035221175"/>
    <n v="24762.287272727273"/>
    <n v="0"/>
    <n v="155481.24830794844"/>
    <n v="155481.24830794844"/>
    <n v="-155481.24830794844"/>
  </r>
  <r>
    <x v="1196"/>
    <s v="CACODIL B-15 x 50 ML"/>
    <x v="5"/>
    <s v="UND"/>
    <n v="19962"/>
    <n v="45000"/>
    <x v="0"/>
    <n v="0"/>
    <n v="0"/>
    <n v="0"/>
    <n v="81431.961035221175"/>
    <n v="24762.287272727273"/>
    <n v="0"/>
    <n v="126156.24830794845"/>
    <n v="126156.24830794845"/>
    <n v="-126156.24830794845"/>
  </r>
  <r>
    <x v="1197"/>
    <s v="CACODIL B12 x 100"/>
    <x v="5"/>
    <s v="UND"/>
    <n v="39456"/>
    <n v="45000"/>
    <x v="18"/>
    <n v="78912"/>
    <n v="90000"/>
    <n v="11088"/>
    <n v="81431.961035221175"/>
    <n v="24762.287272727273"/>
    <n v="0"/>
    <n v="185106.24830794844"/>
    <n v="92553.124153974219"/>
    <n v="-95106.248307948437"/>
  </r>
  <r>
    <x v="1198"/>
    <s v="CACODIL B12 x 50 ML"/>
    <x v="5"/>
    <s v="UND"/>
    <n v="22826"/>
    <n v="32500"/>
    <x v="28"/>
    <n v="159782"/>
    <n v="227500"/>
    <n v="67718"/>
    <n v="81431.961035221175"/>
    <n v="24762.287272727273"/>
    <n v="0"/>
    <n v="265976.24830794847"/>
    <n v="37996.606901135492"/>
    <n v="-38476.248307948466"/>
  </r>
  <r>
    <x v="1199"/>
    <s v="CACODIL B15 x 100 ML"/>
    <x v="5"/>
    <s v="UND"/>
    <n v="30061"/>
    <n v="45000"/>
    <x v="0"/>
    <n v="0"/>
    <n v="0"/>
    <n v="0"/>
    <n v="81431.961035221175"/>
    <n v="24762.287272727273"/>
    <n v="0"/>
    <n v="136255.24830794844"/>
    <n v="136255.24830794844"/>
    <n v="-136255.24830794844"/>
  </r>
  <r>
    <x v="1200"/>
    <s v="CACODIL B15 x 250 ML"/>
    <x v="5"/>
    <s v="UND"/>
    <n v="62262"/>
    <n v="95000"/>
    <x v="18"/>
    <n v="124524"/>
    <n v="190000"/>
    <n v="65476"/>
    <n v="81431.961035221175"/>
    <n v="24762.287272727273"/>
    <n v="0"/>
    <n v="230718.24830794844"/>
    <n v="115359.12415397422"/>
    <n v="-40718.248307948437"/>
  </r>
  <r>
    <x v="1201"/>
    <s v="CALMAYEC x 500 ML"/>
    <x v="5"/>
    <s v="UND"/>
    <n v="19314"/>
    <n v="29500"/>
    <x v="17"/>
    <n v="19314"/>
    <n v="29500"/>
    <n v="10186"/>
    <n v="81431.961035221175"/>
    <n v="24762.287272727273"/>
    <n v="0"/>
    <n v="125508.24830794845"/>
    <n v="125508.24830794845"/>
    <n v="-96008.248307948452"/>
  </r>
  <r>
    <x v="1202"/>
    <s v="CEBADOR x 100 ML"/>
    <x v="5"/>
    <s v="UND"/>
    <n v="25828"/>
    <n v="32500"/>
    <x v="17"/>
    <n v="25828"/>
    <n v="32500"/>
    <n v="6672"/>
    <n v="81431.961035221175"/>
    <n v="24762.287272727273"/>
    <n v="0"/>
    <n v="132022.24830794844"/>
    <n v="132022.24830794844"/>
    <n v="-99522.248307948437"/>
  </r>
  <r>
    <x v="1203"/>
    <s v="CEBADOR x 500 ML"/>
    <x v="5"/>
    <s v="UND"/>
    <n v="75000"/>
    <n v="97000"/>
    <x v="13"/>
    <n v="225000"/>
    <n v="291000"/>
    <n v="66000"/>
    <n v="81431.961035221175"/>
    <n v="24762.287272727273"/>
    <n v="0"/>
    <n v="331194.24830794847"/>
    <n v="110398.08276931616"/>
    <n v="-40194.248307948466"/>
  </r>
  <r>
    <x v="1204"/>
    <s v="CREMA DERMICA"/>
    <x v="5"/>
    <s v="UND"/>
    <n v="23038"/>
    <n v="35000"/>
    <x v="0"/>
    <n v="0"/>
    <n v="0"/>
    <n v="0"/>
    <n v="81431.961035221175"/>
    <n v="24762.287272727273"/>
    <n v="0"/>
    <n v="129232.24830794845"/>
    <n v="129232.24830794845"/>
    <n v="-129232.24830794845"/>
  </r>
  <r>
    <x v="1205"/>
    <s v="PRONALGIN x 20 ML"/>
    <x v="5"/>
    <s v="UND"/>
    <n v="6982"/>
    <n v="8500"/>
    <x v="28"/>
    <n v="48874"/>
    <n v="59500"/>
    <n v="10626"/>
    <n v="81431.961035221175"/>
    <n v="24762.287272727273"/>
    <n v="0"/>
    <n v="155068.24830794844"/>
    <n v="22152.606901135492"/>
    <n v="-95568.248307948437"/>
  </r>
  <r>
    <x v="1206"/>
    <s v="SULFEMIN SOBRE x 25 GR"/>
    <x v="5"/>
    <s v="UND"/>
    <n v="5806"/>
    <n v="8500"/>
    <x v="15"/>
    <n v="34836"/>
    <n v="51000"/>
    <n v="16164"/>
    <n v="81431.961035221175"/>
    <n v="24762.287272727273"/>
    <n v="0"/>
    <n v="141030.24830794844"/>
    <n v="23505.041384658074"/>
    <n v="-90030.248307948437"/>
  </r>
  <r>
    <x v="1207"/>
    <s v="TIOBAC x 50 ML"/>
    <x v="5"/>
    <s v="UND"/>
    <n v="45535"/>
    <n v="55200"/>
    <x v="18"/>
    <n v="91070"/>
    <n v="110400"/>
    <n v="19330"/>
    <n v="81431.961035221175"/>
    <n v="24762.287272727273"/>
    <n v="0"/>
    <n v="197264.24830794844"/>
    <n v="98632.124153974219"/>
    <n v="-86864.248307948437"/>
  </r>
  <r>
    <x v="1208"/>
    <s v="VERMIZOL x 20 ML"/>
    <x v="5"/>
    <s v="UND"/>
    <n v="6428"/>
    <n v="8500"/>
    <x v="3"/>
    <n v="64280"/>
    <n v="85000"/>
    <n v="20720"/>
    <n v="81431.961035221175"/>
    <n v="24762.287272727273"/>
    <n v="0"/>
    <n v="170474.24830794844"/>
    <n v="17047.424830794844"/>
    <n v="-85474.248307948437"/>
  </r>
  <r>
    <x v="1209"/>
    <s v="DIURIDEM x 20 ML"/>
    <x v="5"/>
    <s v="UND"/>
    <n v="25110"/>
    <n v="32500"/>
    <x v="18"/>
    <n v="50220"/>
    <n v="65000"/>
    <n v="14780"/>
    <n v="81431.961035221175"/>
    <n v="24762.287272727273"/>
    <n v="0"/>
    <n v="156414.24830794844"/>
    <n v="78207.124153974219"/>
    <n v="-91414.248307948437"/>
  </r>
  <r>
    <x v="1210"/>
    <s v="DIURIDEM x 50 ML"/>
    <x v="5"/>
    <s v="UND"/>
    <n v="52092"/>
    <n v="63000"/>
    <x v="13"/>
    <n v="156276"/>
    <n v="189000"/>
    <n v="32724"/>
    <n v="81431.961035221175"/>
    <n v="24762.287272727273"/>
    <n v="0"/>
    <n v="262470.24830794847"/>
    <n v="87490.082769316155"/>
    <n v="-73470.248307948466"/>
  </r>
  <r>
    <x v="1211"/>
    <s v="EQUANTEL JER x 6.42 GR"/>
    <x v="5"/>
    <s v="UND"/>
    <n v="12615"/>
    <n v="14200"/>
    <x v="0"/>
    <n v="0"/>
    <n v="0"/>
    <n v="0"/>
    <n v="81431.961035221175"/>
    <n v="24762.287272727273"/>
    <n v="0"/>
    <n v="118809.24830794845"/>
    <n v="118809.24830794845"/>
    <n v="-118809.24830794845"/>
  </r>
  <r>
    <x v="1212"/>
    <s v="FIPRO TOP STOP x  0.67 ML"/>
    <x v="5"/>
    <s v="UND"/>
    <n v="11157"/>
    <n v="15000"/>
    <x v="0"/>
    <n v="0"/>
    <n v="0"/>
    <n v="0"/>
    <n v="81431.961035221175"/>
    <n v="24762.287272727273"/>
    <n v="0"/>
    <n v="117351.24830794845"/>
    <n v="117351.24830794845"/>
    <n v="-117351.24830794845"/>
  </r>
  <r>
    <x v="1213"/>
    <s v="FOSFOSAN x 100 ML"/>
    <x v="5"/>
    <s v="UND"/>
    <n v="46237"/>
    <n v="52000"/>
    <x v="18"/>
    <n v="92474"/>
    <n v="104000"/>
    <n v="11526"/>
    <n v="81431.961035221175"/>
    <n v="24762.287272727273"/>
    <n v="0"/>
    <n v="198668.24830794844"/>
    <n v="99334.124153974219"/>
    <n v="-94668.248307948437"/>
  </r>
  <r>
    <x v="1214"/>
    <s v="KETODOL 100 x 10 ML"/>
    <x v="5"/>
    <s v="UND"/>
    <n v="11455"/>
    <n v="14500"/>
    <x v="0"/>
    <n v="0"/>
    <n v="0"/>
    <n v="0"/>
    <n v="81431.961035221175"/>
    <n v="24762.287272727273"/>
    <n v="0"/>
    <n v="117649.24830794845"/>
    <n v="117649.24830794845"/>
    <n v="-117649.24830794845"/>
  </r>
  <r>
    <x v="1215"/>
    <s v="KETODOL 100 x 30 ML"/>
    <x v="5"/>
    <s v="UND"/>
    <n v="18480"/>
    <n v="22500"/>
    <x v="26"/>
    <n v="92400"/>
    <n v="112500"/>
    <n v="20100"/>
    <n v="81431.961035221175"/>
    <n v="24762.287272727273"/>
    <n v="0"/>
    <n v="198594.24830794844"/>
    <n v="39718.849661589687"/>
    <n v="-86094.248307948437"/>
  </r>
  <r>
    <x v="1216"/>
    <s v="NEO SERPA RAT CEBO x 30 GR"/>
    <x v="5"/>
    <s v="UND"/>
    <n v="2743"/>
    <n v="4033.3333333333335"/>
    <x v="115"/>
    <n v="85033"/>
    <n v="125033.33333333334"/>
    <n v="40000.333333333343"/>
    <n v="81431.961035221175"/>
    <n v="24762.287272727273"/>
    <n v="0"/>
    <n v="191227.24830794844"/>
    <n v="6168.620913159627"/>
    <n v="-66193.914974615094"/>
  </r>
  <r>
    <x v="1217"/>
    <s v="CLOXASEC CAJA JER x 10 ML"/>
    <x v="5"/>
    <s v="UND"/>
    <n v="15750"/>
    <n v="19966.666666666668"/>
    <x v="49"/>
    <n v="126000"/>
    <n v="159733.33333333334"/>
    <n v="33733.333333333343"/>
    <n v="81431.961035221175"/>
    <n v="24762.287272727273"/>
    <n v="0"/>
    <n v="232194.24830794844"/>
    <n v="29024.281038493555"/>
    <n v="-72460.914974615094"/>
  </r>
  <r>
    <x v="1218"/>
    <s v="THILAM 247 x LT"/>
    <x v="4"/>
    <s v="UND"/>
    <n v="110030.7692"/>
    <n v="128333"/>
    <x v="188"/>
    <n v="8032246.1515999995"/>
    <n v="9368309"/>
    <n v="1336062.8484000005"/>
    <n v="81431.961035221175"/>
    <n v="24762.287272727273"/>
    <n v="0"/>
    <n v="8138440.3999079475"/>
    <n v="111485.48493024586"/>
    <n v="1229868.6000920525"/>
  </r>
  <r>
    <x v="1219"/>
    <s v="SERPICO 40 WP x 40 GR"/>
    <x v="6"/>
    <s v="UND"/>
    <n v="16500"/>
    <n v="20500"/>
    <x v="12"/>
    <n v="231000"/>
    <n v="287000"/>
    <n v="56000"/>
    <n v="81431.961035221175"/>
    <n v="24762.287272727273"/>
    <n v="0"/>
    <n v="337194.24830794847"/>
    <n v="24085.303450567746"/>
    <n v="-50194.248307948466"/>
  </r>
  <r>
    <x v="1220"/>
    <s v="THIAMETHOXAN TOP x LT"/>
    <x v="4"/>
    <s v="LT"/>
    <n v="104000"/>
    <n v="125000"/>
    <x v="31"/>
    <n v="936000"/>
    <n v="1125000"/>
    <n v="189000"/>
    <n v="81431.961035221175"/>
    <n v="24762.287272727273"/>
    <n v="0"/>
    <n v="1042194.2483079483"/>
    <n v="115799.36092310537"/>
    <n v="82805.75169205165"/>
  </r>
  <r>
    <x v="1221"/>
    <s v="STIMULATE x LT"/>
    <x v="1"/>
    <s v="LT"/>
    <n v="167800"/>
    <n v="189333"/>
    <x v="17"/>
    <n v="167800"/>
    <n v="189333"/>
    <n v="21533"/>
    <n v="81431.961035221175"/>
    <n v="24762.287272727273"/>
    <n v="0"/>
    <n v="273994.24830794847"/>
    <n v="273994.24830794847"/>
    <n v="-84661.248307948466"/>
  </r>
  <r>
    <x v="1222"/>
    <s v="FORGE x 250 CC"/>
    <x v="1"/>
    <s v="CC"/>
    <n v="49500"/>
    <n v="56200"/>
    <x v="0"/>
    <n v="0"/>
    <n v="0"/>
    <n v="0"/>
    <n v="81431.961035221175"/>
    <n v="24762.287272727273"/>
    <n v="0"/>
    <n v="155694.24830794844"/>
    <n v="155694.24830794844"/>
    <n v="-155694.24830794844"/>
  </r>
  <r>
    <x v="1223"/>
    <s v="FORGE x LT"/>
    <x v="1"/>
    <s v="LT"/>
    <n v="191000"/>
    <n v="214000"/>
    <x v="17"/>
    <n v="191000"/>
    <n v="214000"/>
    <n v="23000"/>
    <n v="81431.961035221175"/>
    <n v="24762.287272727273"/>
    <n v="0"/>
    <n v="297194.24830794847"/>
    <n v="297194.24830794847"/>
    <n v="-83194.248307948466"/>
  </r>
  <r>
    <x v="1224"/>
    <s v="TALCO x 120 GR"/>
    <x v="5"/>
    <s v="UND"/>
    <n v="15500"/>
    <n v="18800"/>
    <x v="18"/>
    <n v="31000"/>
    <n v="37600"/>
    <n v="6600"/>
    <n v="81431.961035221175"/>
    <n v="24762.287272727273"/>
    <n v="0"/>
    <n v="137194.24830794844"/>
    <n v="68597.124153974219"/>
    <n v="-99594.248307948437"/>
  </r>
  <r>
    <x v="1225"/>
    <s v="CILANTRO PATIMORADO x  400 GR"/>
    <x v="11"/>
    <s v="UND"/>
    <n v="16800"/>
    <n v="22166.666666666668"/>
    <x v="12"/>
    <n v="235200"/>
    <n v="310333.33333333337"/>
    <n v="75133.333333333372"/>
    <n v="81431.961035221175"/>
    <n v="24762.287272727273"/>
    <n v="0"/>
    <n v="341394.24830794847"/>
    <n v="24385.303450567746"/>
    <n v="-31060.914974615094"/>
  </r>
  <r>
    <x v="1226"/>
    <s v="CIPROVIC x 25 GR SOBRE"/>
    <x v="5"/>
    <s v="UND"/>
    <n v="8046.4"/>
    <n v="10500"/>
    <x v="31"/>
    <n v="72417.599999999991"/>
    <n v="94500"/>
    <n v="22082.400000000009"/>
    <n v="81431.961035221175"/>
    <n v="24762.287272727273"/>
    <n v="0"/>
    <n v="178611.84830794841"/>
    <n v="19845.760923105379"/>
    <n v="-84111.848307948414"/>
  </r>
  <r>
    <x v="1227"/>
    <s v="VETAPEN 3.000.000"/>
    <x v="5"/>
    <s v="UND"/>
    <n v="11931"/>
    <n v="14500"/>
    <x v="0"/>
    <n v="0"/>
    <n v="0"/>
    <n v="0"/>
    <n v="81431.961035221175"/>
    <n v="24762.287272727273"/>
    <n v="0"/>
    <n v="118125.24830794845"/>
    <n v="118125.24830794845"/>
    <n v="-118125.24830794845"/>
  </r>
  <r>
    <x v="1228"/>
    <s v="FOSYCAL TERNEROS x 120 ML"/>
    <x v="5"/>
    <s v="UND"/>
    <n v="13598"/>
    <n v="17000"/>
    <x v="18"/>
    <n v="27196"/>
    <n v="34000"/>
    <n v="6804"/>
    <n v="81431.961035221175"/>
    <n v="24762.287272727273"/>
    <n v="0"/>
    <n v="133390.24830794844"/>
    <n v="66695.124153974219"/>
    <n v="-99390.248307948437"/>
  </r>
  <r>
    <x v="1229"/>
    <s v="TILOVET 20% x 50 ML"/>
    <x v="5"/>
    <s v="ML"/>
    <n v="16942"/>
    <n v="22000"/>
    <x v="13"/>
    <n v="50826"/>
    <n v="66000"/>
    <n v="15174"/>
    <n v="81431.961035221175"/>
    <n v="24762.287272727273"/>
    <n v="0"/>
    <n v="157020.24830794844"/>
    <n v="52340.082769316148"/>
    <n v="-91020.248307948437"/>
  </r>
  <r>
    <x v="1230"/>
    <s v="ANAPLASMOL x 10 AMP"/>
    <x v="5"/>
    <s v="UND"/>
    <n v="16556.666000000001"/>
    <n v="20000"/>
    <x v="0"/>
    <n v="0"/>
    <n v="0"/>
    <n v="0"/>
    <n v="81431.961035221175"/>
    <n v="24762.287272727273"/>
    <n v="0"/>
    <n v="122750.91430794845"/>
    <n v="122750.91430794845"/>
    <n v="-122750.91430794845"/>
  </r>
  <r>
    <x v="1231"/>
    <s v="ACELGA ESTANDAR FERCON"/>
    <x v="11"/>
    <s v="SOBRE"/>
    <n v="1480"/>
    <n v="1900"/>
    <x v="36"/>
    <n v="42920"/>
    <n v="55100"/>
    <n v="12180"/>
    <n v="81431.961035221175"/>
    <n v="24762.287272727273"/>
    <n v="0"/>
    <n v="149114.24830794844"/>
    <n v="5141.8706313085668"/>
    <n v="-94014.248307948437"/>
  </r>
  <r>
    <x v="1232"/>
    <s v="CEBOLLA LARGA x STANDARD I 1 GR SGA"/>
    <x v="11"/>
    <s v="sobre"/>
    <n v="2230"/>
    <n v="2633.3333333333335"/>
    <x v="25"/>
    <n v="46830"/>
    <n v="55300"/>
    <n v="8470"/>
    <n v="81431.961035221175"/>
    <n v="24762.287272727273"/>
    <n v="0"/>
    <n v="153024.24830794844"/>
    <n v="7286.868967045164"/>
    <n v="-97724.248307948437"/>
  </r>
  <r>
    <x v="1233"/>
    <s v="CILANTRO X 100 GR"/>
    <x v="11"/>
    <s v="UND"/>
    <n v="6080"/>
    <n v="6766.666666666667"/>
    <x v="21"/>
    <n v="72960"/>
    <n v="81200"/>
    <n v="8240"/>
    <n v="81431.961035221175"/>
    <n v="24762.287272727273"/>
    <n v="0"/>
    <n v="179154.24830794844"/>
    <n v="14929.520692329037"/>
    <n v="-97954.248307948437"/>
  </r>
  <r>
    <x v="1234"/>
    <s v="CILANTRO PATIMORADO x 5 GR SGA"/>
    <x v="11"/>
    <s v="UND"/>
    <n v="1190"/>
    <n v="2016.6666666666667"/>
    <x v="67"/>
    <n v="22610"/>
    <n v="38316.666666666672"/>
    <n v="15706.666666666672"/>
    <n v="81431.961035221175"/>
    <n v="24762.287272727273"/>
    <n v="0"/>
    <n v="128804.24830794845"/>
    <n v="6779.1709635762345"/>
    <n v="-90487.58164128178"/>
  </r>
  <r>
    <x v="1235"/>
    <s v="CILANTRO PATIMORADO x 20 GR"/>
    <x v="11"/>
    <s v="SOBRE"/>
    <n v="1000"/>
    <n v="2366.6666666666665"/>
    <x v="115"/>
    <n v="31000"/>
    <n v="73366.666666666657"/>
    <n v="42366.666666666657"/>
    <n v="81431.961035221175"/>
    <n v="24762.287272727273"/>
    <n v="0"/>
    <n v="137194.24830794844"/>
    <n v="4425.620913159627"/>
    <n v="-63827.58164128178"/>
  </r>
  <r>
    <x v="1236"/>
    <s v="PEPINO POINSET x 5GR"/>
    <x v="11"/>
    <s v="SOBRE"/>
    <n v="2230"/>
    <n v="3200"/>
    <x v="0"/>
    <n v="0"/>
    <n v="0"/>
    <n v="0"/>
    <n v="81431.961035221175"/>
    <n v="24762.287272727273"/>
    <n v="0"/>
    <n v="108424.24830794845"/>
    <n v="108424.24830794845"/>
    <n v="-108424.24830794845"/>
  </r>
  <r>
    <x v="1237"/>
    <s v="REMOLACHA ESATDAR FERCON x SOB"/>
    <x v="11"/>
    <s v="SOBRE"/>
    <n v="1480"/>
    <n v="2266.6666666666665"/>
    <x v="13"/>
    <n v="4440"/>
    <n v="6800"/>
    <n v="2360"/>
    <n v="81431.961035221175"/>
    <n v="24762.287272727273"/>
    <n v="0"/>
    <n v="110634.24830794845"/>
    <n v="36878.082769316148"/>
    <n v="-103834.24830794845"/>
  </r>
  <r>
    <x v="1238"/>
    <s v="DESCALLADOR DOBLE FILO"/>
    <x v="8"/>
    <s v="UND"/>
    <n v="17255"/>
    <n v="19000"/>
    <x v="0"/>
    <n v="0"/>
    <n v="0"/>
    <n v="0"/>
    <n v="81431.961035221175"/>
    <n v="24762.287272727273"/>
    <n v="0"/>
    <n v="123449.24830794845"/>
    <n v="123449.24830794845"/>
    <n v="-123449.24830794845"/>
  </r>
  <r>
    <x v="1239"/>
    <s v="UTHANE 80 WP"/>
    <x v="6"/>
    <s v="SOBRE"/>
    <n v="17000"/>
    <n v="19800"/>
    <x v="21"/>
    <n v="204000"/>
    <n v="237600"/>
    <n v="33600"/>
    <n v="81431.961035221175"/>
    <n v="24762.287272727273"/>
    <n v="0"/>
    <n v="310194.24830794847"/>
    <n v="25849.520692329039"/>
    <n v="-72594.248307948466"/>
  </r>
  <r>
    <x v="1240"/>
    <s v="ACIERTO 500 CC"/>
    <x v="4"/>
    <s v="CC"/>
    <n v="19300"/>
    <n v="23800"/>
    <x v="13"/>
    <n v="57900"/>
    <n v="71400"/>
    <n v="13500"/>
    <n v="81431.961035221175"/>
    <n v="24762.287272727273"/>
    <n v="0"/>
    <n v="164094.24830794844"/>
    <n v="54698.082769316148"/>
    <n v="-92694.248307948437"/>
  </r>
  <r>
    <x v="1241"/>
    <s v="MEDROXIPROGESTERONA x 1 ML"/>
    <x v="5"/>
    <s v="UND"/>
    <n v="11123.8"/>
    <n v="14150"/>
    <x v="37"/>
    <n v="166857"/>
    <n v="212250"/>
    <n v="45393"/>
    <n v="81431.961035221175"/>
    <n v="24762.287272727273"/>
    <n v="0"/>
    <n v="273051.24830794847"/>
    <n v="18203.41655386323"/>
    <n v="-60801.248307948466"/>
  </r>
  <r>
    <x v="1242"/>
    <s v="REVICAL OVER x 500 ML"/>
    <x v="5"/>
    <s v="ML"/>
    <n v="26093"/>
    <n v="32000"/>
    <x v="35"/>
    <n v="104372"/>
    <n v="128000"/>
    <n v="23628"/>
    <n v="81431.961035221175"/>
    <n v="24762.287272727273"/>
    <n v="0"/>
    <n v="210566.24830794844"/>
    <n v="52641.562076987109"/>
    <n v="-82566.248307948437"/>
  </r>
  <r>
    <x v="1243"/>
    <s v="CEFEXIM 20% x 30 G"/>
    <x v="5"/>
    <s v="SOBRE"/>
    <n v="6017"/>
    <n v="7000"/>
    <x v="40"/>
    <n v="216612"/>
    <n v="252000"/>
    <n v="35388"/>
    <n v="81431.961035221175"/>
    <n v="24762.287272727273"/>
    <n v="0"/>
    <n v="322806.24830794847"/>
    <n v="8966.8402307763463"/>
    <n v="-70806.248307948466"/>
  </r>
  <r>
    <x v="1244"/>
    <s v="MATARRAZ FCO 30 ML"/>
    <x v="5"/>
    <s v="UND"/>
    <n v="8051"/>
    <n v="9800"/>
    <x v="13"/>
    <n v="24153"/>
    <n v="29400"/>
    <n v="5247"/>
    <n v="81431.961035221175"/>
    <n v="24762.287272727273"/>
    <n v="0"/>
    <n v="130347.24830794845"/>
    <n v="43449.082769316148"/>
    <n v="-100947.24830794845"/>
  </r>
  <r>
    <x v="1245"/>
    <s v="OVERMIX x TAB"/>
    <x v="5"/>
    <s v="TABLETA"/>
    <n v="4025.5"/>
    <n v="5000"/>
    <x v="116"/>
    <n v="148943.5"/>
    <n v="185000"/>
    <n v="36056.5"/>
    <n v="81431.961035221175"/>
    <n v="24762.287272727273"/>
    <n v="0"/>
    <n v="255137.74830794844"/>
    <n v="6895.6148191337415"/>
    <n v="-70137.748307948437"/>
  </r>
  <r>
    <x v="1246"/>
    <s v="OREGERAS CARAVANAS BOGALVET"/>
    <x v="5"/>
    <s v="UND"/>
    <n v="5499.9"/>
    <n v="6800"/>
    <x v="0"/>
    <n v="0"/>
    <n v="0"/>
    <n v="0"/>
    <n v="81431.961035221175"/>
    <n v="24762.287272727273"/>
    <n v="0"/>
    <n v="111694.14830794845"/>
    <n v="111694.14830794845"/>
    <n v="-111694.14830794845"/>
  </r>
  <r>
    <x v="1247"/>
    <s v="ABONISSA FOL x LT"/>
    <x v="1"/>
    <s v="LT"/>
    <n v="33333"/>
    <n v="38000"/>
    <x v="17"/>
    <n v="33333"/>
    <n v="38000"/>
    <n v="4667"/>
    <n v="81431.961035221175"/>
    <n v="24762.287272727273"/>
    <n v="0"/>
    <n v="139527.24830794844"/>
    <n v="139527.24830794844"/>
    <n v="-101527.24830794844"/>
  </r>
  <r>
    <x v="1248"/>
    <s v="EVOFERT CAB ZN X LT"/>
    <x v="1"/>
    <s v="LT"/>
    <n v="37230"/>
    <n v="42500"/>
    <x v="107"/>
    <n v="1824270"/>
    <n v="2082500"/>
    <n v="258230"/>
    <n v="81431.961035221175"/>
    <n v="24762.287272727273"/>
    <n v="0"/>
    <n v="1930464.2483079485"/>
    <n v="39397.229557305072"/>
    <n v="152035.75169205153"/>
  </r>
  <r>
    <x v="1249"/>
    <s v="EVOFERT COMPLETO x LT"/>
    <x v="1"/>
    <s v="LT"/>
    <n v="34685"/>
    <n v="40500"/>
    <x v="16"/>
    <n v="1942360"/>
    <n v="2268000"/>
    <n v="325640"/>
    <n v="81431.961035221175"/>
    <n v="24762.287272727273"/>
    <n v="0"/>
    <n v="2048554.2483079485"/>
    <n v="36581.325862641934"/>
    <n v="219445.75169205153"/>
  </r>
  <r>
    <x v="1250"/>
    <s v="GALIGAN 240EC x LT"/>
    <x v="10"/>
    <s v="UND"/>
    <n v="105327"/>
    <n v="121800"/>
    <x v="18"/>
    <n v="210654"/>
    <n v="243600"/>
    <n v="32946"/>
    <n v="81431.961035221175"/>
    <n v="24762.287272727273"/>
    <n v="0"/>
    <n v="316848.24830794847"/>
    <n v="158424.12415397423"/>
    <n v="-73248.248307948466"/>
  </r>
  <r>
    <x v="1251"/>
    <s v="POTENT K x LT"/>
    <x v="1"/>
    <s v="LT"/>
    <n v="49000"/>
    <n v="58500"/>
    <x v="35"/>
    <n v="196000"/>
    <n v="234000"/>
    <n v="38000"/>
    <n v="81431.961035221175"/>
    <n v="24762.287272727273"/>
    <n v="0"/>
    <n v="302194.24830794847"/>
    <n v="75548.562076987117"/>
    <n v="-68194.248307948466"/>
  </r>
  <r>
    <x v="1252"/>
    <s v="ZIRAM X 750gr"/>
    <x v="6"/>
    <s v="GR"/>
    <n v="20000"/>
    <n v="24000"/>
    <x v="0"/>
    <n v="0"/>
    <n v="0"/>
    <n v="0"/>
    <n v="81431.961035221175"/>
    <n v="24762.287272727273"/>
    <n v="0"/>
    <n v="126194.24830794845"/>
    <n v="126194.24830794845"/>
    <n v="-126194.24830794845"/>
  </r>
  <r>
    <x v="1253"/>
    <s v="LLAVE TRIUNFO PLAST"/>
    <x v="3"/>
    <s v="UND"/>
    <n v="11000.36"/>
    <n v="16000"/>
    <x v="31"/>
    <n v="99003.24"/>
    <n v="144000"/>
    <n v="44996.759999999995"/>
    <n v="81431.961035221175"/>
    <n v="24762.287272727273"/>
    <n v="0"/>
    <n v="205197.48830794843"/>
    <n v="22799.720923105382"/>
    <n v="-61197.488307948428"/>
  </r>
  <r>
    <x v="1254"/>
    <s v="LANZA TRIUNFO ACERO"/>
    <x v="3"/>
    <s v="UND"/>
    <n v="13999.16"/>
    <n v="17000"/>
    <x v="49"/>
    <n v="111993.28"/>
    <n v="136000"/>
    <n v="24006.720000000001"/>
    <n v="81431.961035221175"/>
    <n v="24762.287272727273"/>
    <n v="0"/>
    <n v="218187.52830794844"/>
    <n v="27273.441038493555"/>
    <n v="-82187.528307948436"/>
  </r>
  <r>
    <x v="1255"/>
    <s v="BOQUILLA EST RECTA"/>
    <x v="3"/>
    <s v="UND"/>
    <n v="12999.56"/>
    <n v="16000"/>
    <x v="18"/>
    <n v="25999.119999999999"/>
    <n v="32000"/>
    <n v="6000.880000000001"/>
    <n v="81431.961035221175"/>
    <n v="24762.287272727273"/>
    <n v="0"/>
    <n v="132193.36830794843"/>
    <n v="66096.684153974216"/>
    <n v="-100193.36830794843"/>
  </r>
  <r>
    <x v="1256"/>
    <s v="FLUYEX GALON"/>
    <x v="1"/>
    <s v="GALON"/>
    <n v="104085.13499999999"/>
    <n v="122300"/>
    <x v="13"/>
    <n v="312255.40499999997"/>
    <n v="366900"/>
    <n v="54644.59500000003"/>
    <n v="81431.961035221175"/>
    <n v="24762.287272727273"/>
    <n v="0"/>
    <n v="418449.65330794844"/>
    <n v="139483.21776931614"/>
    <n v="-51549.653307948436"/>
  </r>
  <r>
    <x v="1257"/>
    <s v="MALLA CUADRADA x ROLLO 1.50 MTS"/>
    <x v="9"/>
    <s v="UND"/>
    <n v="285000"/>
    <n v="315200"/>
    <x v="0"/>
    <n v="0"/>
    <n v="0"/>
    <n v="0"/>
    <n v="81431.961035221175"/>
    <n v="24762.287272727273"/>
    <n v="0"/>
    <n v="391194.24830794847"/>
    <n v="391194.24830794847"/>
    <n v="-391194.24830794847"/>
  </r>
  <r>
    <x v="1258"/>
    <s v="MALLA CUADRADA x MT 1.50 MTS"/>
    <x v="9"/>
    <s v="MTS"/>
    <n v="10807.223"/>
    <n v="12500"/>
    <x v="12"/>
    <n v="151301.122"/>
    <n v="175000"/>
    <n v="23698.877999999997"/>
    <n v="81431.961035221175"/>
    <n v="24762.287272727273"/>
    <n v="0"/>
    <n v="257495.37030794844"/>
    <n v="18392.526450567744"/>
    <n v="-82495.37030794844"/>
  </r>
  <r>
    <x v="1259"/>
    <s v="EVOFERT INICIO GALON"/>
    <x v="1"/>
    <s v="GALON"/>
    <n v="150710"/>
    <n v="177000"/>
    <x v="96"/>
    <n v="3014200"/>
    <n v="3540000"/>
    <n v="525800"/>
    <n v="81431.961035221175"/>
    <n v="24762.287272727273"/>
    <n v="0"/>
    <n v="3120394.2483079485"/>
    <n v="156019.71241539743"/>
    <n v="419605.75169205153"/>
  </r>
  <r>
    <x v="1260"/>
    <s v="F CAMPO CERDOS x BTO"/>
    <x v="2"/>
    <s v="BTO"/>
    <n v="76702.5"/>
    <n v="93833.333333333328"/>
    <x v="18"/>
    <n v="153405"/>
    <n v="187666.66666666666"/>
    <n v="34261.666666666657"/>
    <n v="81431.961035221175"/>
    <n v="24762.287272727273"/>
    <n v="0"/>
    <n v="259599.24830794844"/>
    <n v="129799.62415397422"/>
    <n v="-71932.58164128178"/>
  </r>
  <r>
    <x v="1261"/>
    <s v="F SAL 8 CON SE x 10 KL"/>
    <x v="2"/>
    <s v="UND"/>
    <n v="31043.25"/>
    <n v="35600"/>
    <x v="17"/>
    <n v="31043.25"/>
    <n v="35600"/>
    <n v="4556.75"/>
    <n v="81431.961035221175"/>
    <n v="24762.287272727273"/>
    <n v="0"/>
    <n v="137237.49830794844"/>
    <n v="137237.49830794844"/>
    <n v="-101637.49830794844"/>
  </r>
  <r>
    <x v="1262"/>
    <s v="F SAL 6 CON SE x 40 KL"/>
    <x v="2"/>
    <s v="kl"/>
    <n v="89386.5"/>
    <n v="72000"/>
    <x v="0"/>
    <n v="0"/>
    <n v="0"/>
    <n v="0"/>
    <n v="81431.961035221175"/>
    <n v="24762.287272727273"/>
    <n v="0"/>
    <n v="195580.74830794844"/>
    <n v="195580.74830794844"/>
    <n v="-195580.74830794844"/>
  </r>
  <r>
    <x v="1263"/>
    <s v="PRAMECTINA AVES UND"/>
    <x v="5"/>
    <s v="UND"/>
    <n v="911.7"/>
    <n v="1500"/>
    <x v="0"/>
    <n v="0"/>
    <n v="0"/>
    <n v="0"/>
    <n v="81431.961035221175"/>
    <n v="24762.287272727273"/>
    <n v="0"/>
    <n v="107105.94830794845"/>
    <n v="107105.94830794845"/>
    <n v="-107105.94830794845"/>
  </r>
  <r>
    <x v="1264"/>
    <s v="VECICLOX FRS X200ML SPRAY"/>
    <x v="5"/>
    <s v="ML"/>
    <n v="33881"/>
    <n v="42000"/>
    <x v="0"/>
    <n v="0"/>
    <n v="0"/>
    <n v="0"/>
    <n v="81431.961035221175"/>
    <n v="24762.287272727273"/>
    <n v="0"/>
    <n v="140075.24830794844"/>
    <n v="140075.24830794844"/>
    <n v="-140075.24830794844"/>
  </r>
  <r>
    <x v="1265"/>
    <s v="ALBENDAZOL 25% X200ML"/>
    <x v="5"/>
    <s v="ML"/>
    <n v="35022"/>
    <n v="42000"/>
    <x v="26"/>
    <n v="175110"/>
    <n v="210000"/>
    <n v="34890"/>
    <n v="81431.961035221175"/>
    <n v="24762.287272727273"/>
    <n v="0"/>
    <n v="281304.24830794847"/>
    <n v="56260.849661589695"/>
    <n v="-71304.248307948466"/>
  </r>
  <r>
    <x v="1266"/>
    <s v="ELEMENT x LT"/>
    <x v="6"/>
    <s v="LT"/>
    <n v="87200"/>
    <n v="107400"/>
    <x v="13"/>
    <n v="261600"/>
    <n v="322200"/>
    <n v="60600"/>
    <n v="81431.961035221175"/>
    <n v="24762.287272727273"/>
    <n v="0"/>
    <n v="367794.24830794847"/>
    <n v="122598.08276931616"/>
    <n v="-45594.248307948466"/>
  </r>
  <r>
    <x v="1267"/>
    <s v="ELEMENT x 250 CC"/>
    <x v="6"/>
    <s v="CC"/>
    <n v="26000"/>
    <n v="32000"/>
    <x v="26"/>
    <n v="130000"/>
    <n v="160000"/>
    <n v="30000"/>
    <n v="81431.961035221175"/>
    <n v="24762.287272727273"/>
    <n v="0"/>
    <n v="236194.24830794844"/>
    <n v="47238.849661589687"/>
    <n v="-76194.248307948437"/>
  </r>
  <r>
    <x v="1268"/>
    <s v="THILAM x 250 CC"/>
    <x v="4"/>
    <s v="CC"/>
    <n v="35538.461499999998"/>
    <n v="42000"/>
    <x v="83"/>
    <n v="639692.30699999991"/>
    <n v="756000"/>
    <n v="116307.69300000009"/>
    <n v="81431.961035221175"/>
    <n v="24762.287272727273"/>
    <n v="0"/>
    <n v="745886.55530794838"/>
    <n v="41438.14196155269"/>
    <n v="10113.44469205162"/>
  </r>
  <r>
    <x v="1269"/>
    <s v="YARA NITRABOR X KL"/>
    <x v="0"/>
    <s v="UND"/>
    <n v="3800"/>
    <n v="4966.666666666667"/>
    <x v="38"/>
    <n v="125400"/>
    <n v="163900"/>
    <n v="38500"/>
    <n v="81431.961035221175"/>
    <n v="24762.287272727273"/>
    <n v="0"/>
    <n v="231594.24830794844"/>
    <n v="7018.007524483286"/>
    <n v="-67694.248307948437"/>
  </r>
  <r>
    <x v="1270"/>
    <s v="ACTIVADOR x 500 G"/>
    <x v="1"/>
    <s v="UND"/>
    <n v="50000"/>
    <n v="62000"/>
    <x v="13"/>
    <n v="150000"/>
    <n v="186000"/>
    <n v="36000"/>
    <n v="81431.961035221175"/>
    <n v="24762.287272727273"/>
    <n v="0"/>
    <n v="256194.24830794844"/>
    <n v="85398.082769316141"/>
    <n v="-70194.248307948437"/>
  </r>
  <r>
    <x v="1271"/>
    <s v="CYPROX x 100CC"/>
    <x v="6"/>
    <s v="CC"/>
    <n v="15500"/>
    <n v="20500"/>
    <x v="21"/>
    <n v="186000"/>
    <n v="246000"/>
    <n v="60000"/>
    <n v="81431.961035221175"/>
    <n v="24762.287272727273"/>
    <n v="0"/>
    <n v="292194.24830794847"/>
    <n v="24349.520692329039"/>
    <n v="-46194.248307948466"/>
  </r>
  <r>
    <x v="1272"/>
    <s v="BOLDENONA 50 x 250 ML"/>
    <x v="5"/>
    <s v="UND"/>
    <n v="104100"/>
    <n v="122000"/>
    <x v="17"/>
    <n v="104100"/>
    <n v="122000"/>
    <n v="17900"/>
    <n v="81431.961035221175"/>
    <n v="24762.287272727273"/>
    <n v="0"/>
    <n v="210294.24830794844"/>
    <n v="210294.24830794844"/>
    <n v="-88294.248307948437"/>
  </r>
  <r>
    <x v="1273"/>
    <s v="CHUNKY GATOS x 18 KL"/>
    <x v="2"/>
    <s v="UND"/>
    <n v="132000"/>
    <n v="150233.33333333334"/>
    <x v="35"/>
    <n v="528000"/>
    <n v="600933.33333333337"/>
    <n v="72933.333333333372"/>
    <n v="81431.961035221175"/>
    <n v="24762.287272727273"/>
    <n v="0"/>
    <n v="634194.24830794835"/>
    <n v="158548.56207698709"/>
    <n v="-33260.914974614978"/>
  </r>
  <r>
    <x v="1274"/>
    <s v="SANIDERM CREMA x 40 GR"/>
    <x v="5"/>
    <s v="UND"/>
    <n v="12773.6875"/>
    <n v="16200"/>
    <x v="17"/>
    <n v="12773.6875"/>
    <n v="16200"/>
    <n v="3426.3125"/>
    <n v="81431.961035221175"/>
    <n v="24762.287272727273"/>
    <n v="0"/>
    <n v="118967.93580794845"/>
    <n v="118967.93580794845"/>
    <n v="-102767.93580794845"/>
  </r>
  <r>
    <x v="1275"/>
    <s v="BONAVIT INY FCO x 100 ML"/>
    <x v="5"/>
    <s v="UND"/>
    <n v="16212.857099999999"/>
    <n v="19800"/>
    <x v="15"/>
    <n v="97277.142599999992"/>
    <n v="118800"/>
    <n v="21522.857400000008"/>
    <n v="81431.961035221175"/>
    <n v="24762.287272727273"/>
    <n v="0"/>
    <n v="203471.39090794843"/>
    <n v="33911.898484658072"/>
    <n v="-84671.390907948429"/>
  </r>
  <r>
    <x v="1276"/>
    <s v="BAÑOL 20.8% x 20 ML"/>
    <x v="5"/>
    <s v="UND"/>
    <n v="4947"/>
    <n v="6000"/>
    <x v="15"/>
    <n v="29682"/>
    <n v="36000"/>
    <n v="6318"/>
    <n v="81431.961035221175"/>
    <n v="24762.287272727273"/>
    <n v="0"/>
    <n v="135876.24830794844"/>
    <n v="22646.041384658074"/>
    <n v="-99876.248307948437"/>
  </r>
  <r>
    <x v="1277"/>
    <s v="BONAVIT INY FCO x 30 ML"/>
    <x v="5"/>
    <s v="UND"/>
    <n v="7690.7142999999996"/>
    <n v="10500"/>
    <x v="18"/>
    <n v="15381.428599999999"/>
    <n v="21000"/>
    <n v="5618.5714000000007"/>
    <n v="81431.961035221175"/>
    <n v="24762.287272727273"/>
    <n v="0"/>
    <n v="121575.67690794845"/>
    <n v="60787.838453974226"/>
    <n v="-100575.67690794845"/>
  </r>
  <r>
    <x v="1278"/>
    <s v="QUINODIAR SUSPENCION ORAL x 30 ML"/>
    <x v="5"/>
    <s v="UND"/>
    <n v="12125"/>
    <n v="16200"/>
    <x v="35"/>
    <n v="48500"/>
    <n v="64800"/>
    <n v="16300"/>
    <n v="81431.961035221175"/>
    <n v="24762.287272727273"/>
    <n v="0"/>
    <n v="154694.24830794844"/>
    <n v="38673.562076987109"/>
    <n v="-89894.248307948437"/>
  </r>
  <r>
    <x v="1279"/>
    <s v="COCCICALF ORAL x 10 ML"/>
    <x v="5"/>
    <s v="UND"/>
    <n v="8245"/>
    <n v="10500"/>
    <x v="15"/>
    <n v="49470"/>
    <n v="63000"/>
    <n v="13530"/>
    <n v="81431.961035221175"/>
    <n v="24762.287272727273"/>
    <n v="0"/>
    <n v="155664.24830794844"/>
    <n v="25944.041384658074"/>
    <n v="-92664.248307948437"/>
  </r>
  <r>
    <x v="1280"/>
    <s v="ALER-CAF 10 MG x TABLETA"/>
    <x v="5"/>
    <s v="UND"/>
    <n v="790.55"/>
    <n v="1000"/>
    <x v="0"/>
    <n v="0"/>
    <n v="0"/>
    <n v="0"/>
    <n v="81431.961035221175"/>
    <n v="24762.287272727273"/>
    <n v="0"/>
    <n v="106984.79830794845"/>
    <n v="106984.79830794845"/>
    <n v="-106984.79830794845"/>
  </r>
  <r>
    <x v="1281"/>
    <s v="CITOGROWER x 250 CC"/>
    <x v="1"/>
    <s v="UND"/>
    <n v="59558.400000000001"/>
    <n v="75000"/>
    <x v="96"/>
    <n v="1191168"/>
    <n v="1500000"/>
    <n v="308832"/>
    <n v="81431.961035221175"/>
    <n v="24762.287272727273"/>
    <n v="0"/>
    <n v="1297362.2483079485"/>
    <n v="64868.112415397423"/>
    <n v="202637.75169205153"/>
  </r>
  <r>
    <x v="1282"/>
    <s v="COMBATE 5000 x LT"/>
    <x v="1"/>
    <s v="UND"/>
    <n v="17800"/>
    <n v="25000"/>
    <x v="50"/>
    <n v="231400"/>
    <n v="325000"/>
    <n v="93600"/>
    <n v="81431.961035221175"/>
    <n v="24762.287272727273"/>
    <n v="0"/>
    <n v="337594.24830794847"/>
    <n v="25968.788331380652"/>
    <n v="-12594.248307948466"/>
  </r>
  <r>
    <x v="1283"/>
    <s v="SPHERE MAX x 50 ML"/>
    <x v="6"/>
    <s v="UND"/>
    <n v="155676"/>
    <n v="182000"/>
    <x v="0"/>
    <n v="0"/>
    <n v="0"/>
    <n v="0"/>
    <n v="81431.961035221175"/>
    <n v="24762.287272727273"/>
    <n v="0"/>
    <n v="261870.24830794844"/>
    <n v="261870.24830794844"/>
    <n v="-261870.24830794844"/>
  </r>
  <r>
    <x v="1284"/>
    <s v="CAL SUPERIOR"/>
    <x v="0"/>
    <s v="UND"/>
    <n v="8400.2099999999991"/>
    <n v="10200"/>
    <x v="189"/>
    <n v="1789244.7299999997"/>
    <n v="2172600"/>
    <n v="383355.27000000025"/>
    <n v="81431.961035221175"/>
    <n v="24762.287272727273"/>
    <n v="0"/>
    <n v="1895438.9783079482"/>
    <n v="8898.7745460467049"/>
    <n v="277161.02169205179"/>
  </r>
  <r>
    <x v="1285"/>
    <s v="EVOFERT PROMOTOR x 500 CC"/>
    <x v="1"/>
    <s v="UND"/>
    <n v="63423"/>
    <n v="82500"/>
    <x v="51"/>
    <n v="1585575"/>
    <n v="2062500"/>
    <n v="476925"/>
    <n v="81431.961035221175"/>
    <n v="24762.287272727273"/>
    <n v="0"/>
    <n v="1691769.2483079485"/>
    <n v="67670.76993231794"/>
    <n v="370730.75169205153"/>
  </r>
  <r>
    <x v="1286"/>
    <s v="EVOFERT GREEN PH X LT"/>
    <x v="1"/>
    <s v="UND"/>
    <n v="28600"/>
    <n v="35000"/>
    <x v="26"/>
    <n v="143000"/>
    <n v="175000"/>
    <n v="32000"/>
    <n v="81431.961035221175"/>
    <n v="24762.287272727273"/>
    <n v="0"/>
    <n v="249194.24830794844"/>
    <n v="49838.849661589687"/>
    <n v="-74194.248307948437"/>
  </r>
  <r>
    <x v="1287"/>
    <s v="VICARPEN 8'000.000"/>
    <x v="5"/>
    <s v="UND"/>
    <n v="19074"/>
    <n v="22000"/>
    <x v="35"/>
    <n v="76296"/>
    <n v="88000"/>
    <n v="11704"/>
    <n v="81431.961035221175"/>
    <n v="24762.287272727273"/>
    <n v="0"/>
    <n v="182490.24830794844"/>
    <n v="45622.562076987109"/>
    <n v="-94490.248307948437"/>
  </r>
  <r>
    <x v="1288"/>
    <s v="ARVEJA x 20 GR GERM"/>
    <x v="11"/>
    <s v="UND"/>
    <n v="1000"/>
    <n v="1800"/>
    <x v="31"/>
    <n v="9000"/>
    <n v="16200"/>
    <n v="7200"/>
    <n v="81431.961035221175"/>
    <n v="24762.287272727273"/>
    <n v="0"/>
    <n v="115194.24830794845"/>
    <n v="12799.360923105383"/>
    <n v="-98994.248307948452"/>
  </r>
  <r>
    <x v="1289"/>
    <s v="RG-816X TUERCA TORNILLO ABRAZADERA"/>
    <x v="3"/>
    <s v="UND"/>
    <n v="1900"/>
    <n v="2500"/>
    <x v="49"/>
    <n v="15200"/>
    <n v="20000"/>
    <n v="4800"/>
    <n v="81431.961035221175"/>
    <n v="24762.287272727273"/>
    <n v="0"/>
    <n v="121394.24830794845"/>
    <n v="15174.281038493556"/>
    <n v="-101394.24830794845"/>
  </r>
  <r>
    <x v="1290"/>
    <s v="RA-100MX CABEZOTE MET ALIADA"/>
    <x v="3"/>
    <s v="UND"/>
    <n v="28800"/>
    <n v="32400"/>
    <x v="18"/>
    <n v="57600"/>
    <n v="64800"/>
    <n v="7200"/>
    <n v="81431.961035221175"/>
    <n v="24762.287272727273"/>
    <n v="0"/>
    <n v="163794.24830794844"/>
    <n v="81897.124153974219"/>
    <n v="-98994.248307948437"/>
  </r>
  <r>
    <x v="1291"/>
    <s v="RA-105X TUBO BOMBA MET ALIADA"/>
    <x v="3"/>
    <s v="UND"/>
    <n v="23000"/>
    <n v="28200"/>
    <x v="17"/>
    <n v="23000"/>
    <n v="28200"/>
    <n v="5200"/>
    <n v="81431.961035221175"/>
    <n v="24762.287272727273"/>
    <n v="0"/>
    <n v="129194.24830794845"/>
    <n v="129194.24830794845"/>
    <n v="-100994.24830794845"/>
  </r>
  <r>
    <x v="1292"/>
    <s v="RA-829X TUERCA MARIPOSA PLASTICA"/>
    <x v="3"/>
    <s v="UND"/>
    <n v="1000"/>
    <n v="1800"/>
    <x v="31"/>
    <n v="9000"/>
    <n v="16200"/>
    <n v="7200"/>
    <n v="81431.961035221175"/>
    <n v="24762.287272727273"/>
    <n v="0"/>
    <n v="115194.24830794845"/>
    <n v="12799.360923105383"/>
    <n v="-98994.248307948452"/>
  </r>
  <r>
    <x v="1293"/>
    <s v="8079-PP- FILTRO MALLA 50 INOX"/>
    <x v="3"/>
    <s v="UND"/>
    <n v="6000"/>
    <n v="8000"/>
    <x v="17"/>
    <n v="6000"/>
    <n v="8000"/>
    <n v="2000"/>
    <n v="81431.961035221175"/>
    <n v="24762.287272727273"/>
    <n v="0"/>
    <n v="112194.24830794845"/>
    <n v="112194.24830794845"/>
    <n v="-104194.24830794845"/>
  </r>
  <r>
    <x v="1294"/>
    <s v="RACOR MANGUERA BRONCE"/>
    <x v="3"/>
    <s v="UND"/>
    <n v="5500.18"/>
    <n v="6500"/>
    <x v="0"/>
    <n v="0"/>
    <n v="0"/>
    <n v="0"/>
    <n v="81431.961035221175"/>
    <n v="24762.287272727273"/>
    <n v="0"/>
    <n v="111694.42830794844"/>
    <n v="111694.42830794844"/>
    <n v="-111694.42830794844"/>
  </r>
  <r>
    <x v="1295"/>
    <s v="RJ-10184EX BOQUILLA ROJA /AMARILLA (150-250)"/>
    <x v="3"/>
    <s v="UND"/>
    <n v="7900"/>
    <n v="9500"/>
    <x v="44"/>
    <n v="134300"/>
    <n v="161500"/>
    <n v="27200"/>
    <n v="81431.961035221175"/>
    <n v="24762.287272727273"/>
    <n v="0"/>
    <n v="240494.24830794844"/>
    <n v="14146.720488702849"/>
    <n v="-78994.248307948437"/>
  </r>
  <r>
    <x v="1296"/>
    <s v="RC-605ZX KIT VARILLA CHASIS CLASIS-INTEG"/>
    <x v="3"/>
    <s v="UND"/>
    <n v="18700"/>
    <n v="22500"/>
    <x v="17"/>
    <n v="18700"/>
    <n v="22500"/>
    <n v="3800"/>
    <n v="81431.961035221175"/>
    <n v="24762.287272727273"/>
    <n v="0"/>
    <n v="124894.24830794845"/>
    <n v="124894.24830794845"/>
    <n v="-102394.24830794845"/>
  </r>
  <r>
    <x v="1297"/>
    <s v="RC-809ENX PALANCA ROYAL MANGO NEGRO"/>
    <x v="3"/>
    <s v="UND"/>
    <n v="15600"/>
    <n v="22500"/>
    <x v="18"/>
    <n v="31200"/>
    <n v="45000"/>
    <n v="13800"/>
    <n v="81431.961035221175"/>
    <n v="24762.287272727273"/>
    <n v="0"/>
    <n v="137394.24830794844"/>
    <n v="68697.124153974219"/>
    <n v="-92394.248307948437"/>
  </r>
  <r>
    <x v="1298"/>
    <s v="GD-6 BOQUILLA GENERICA YAMAH"/>
    <x v="3"/>
    <s v="UND"/>
    <n v="5500"/>
    <n v="7000"/>
    <x v="0"/>
    <n v="0"/>
    <n v="0"/>
    <n v="0"/>
    <n v="81431.961035221175"/>
    <n v="24762.287272727273"/>
    <n v="0"/>
    <n v="111694.24830794845"/>
    <n v="111694.24830794845"/>
    <n v="-111694.24830794845"/>
  </r>
  <r>
    <x v="1299"/>
    <s v="GD-35 BOQUILLA ABANICO D35"/>
    <x v="3"/>
    <s v="UND"/>
    <n v="6200"/>
    <n v="7500"/>
    <x v="0"/>
    <n v="0"/>
    <n v="0"/>
    <n v="0"/>
    <n v="81431.961035221175"/>
    <n v="24762.287272727273"/>
    <n v="0"/>
    <n v="112394.24830794845"/>
    <n v="112394.24830794845"/>
    <n v="-112394.24830794845"/>
  </r>
  <r>
    <x v="1300"/>
    <s v="GC-35 BOQUILLA DOBLE ABANICO C35"/>
    <x v="3"/>
    <s v="UND"/>
    <n v="8700"/>
    <n v="9700"/>
    <x v="0"/>
    <n v="0"/>
    <n v="0"/>
    <n v="0"/>
    <n v="81431.961035221175"/>
    <n v="24762.287272727273"/>
    <n v="0"/>
    <n v="114894.24830794845"/>
    <n v="114894.24830794845"/>
    <n v="-114894.24830794845"/>
  </r>
  <r>
    <x v="1301"/>
    <s v="FRIJOL CALIMA SGA x KL"/>
    <x v="11"/>
    <s v="UND"/>
    <n v="20200"/>
    <n v="25000"/>
    <x v="15"/>
    <n v="121200"/>
    <n v="150000"/>
    <n v="28800"/>
    <n v="81431.961035221175"/>
    <n v="24762.287272727273"/>
    <n v="0"/>
    <n v="227394.24830794844"/>
    <n v="37899.04138465807"/>
    <n v="-77394.248307948437"/>
  </r>
  <r>
    <x v="1302"/>
    <s v="VOLTIMETRO DE LUCES"/>
    <x v="12"/>
    <s v="UND"/>
    <n v="47521.46"/>
    <n v="55000"/>
    <x v="17"/>
    <n v="47521.46"/>
    <n v="55000"/>
    <n v="7478.5400000000009"/>
    <n v="81431.961035221175"/>
    <n v="24762.287272727273"/>
    <n v="0"/>
    <n v="153715.70830794843"/>
    <n v="153715.70830794843"/>
    <n v="-98715.708307948429"/>
  </r>
  <r>
    <x v="1303"/>
    <s v="TENSOR GRANDE (MaX 1000 Mts)"/>
    <x v="12"/>
    <s v="UND"/>
    <n v="4135.25"/>
    <n v="5500"/>
    <x v="23"/>
    <n v="90975.5"/>
    <n v="121000"/>
    <n v="30024.5"/>
    <n v="81431.961035221175"/>
    <n v="24762.287272727273"/>
    <n v="0"/>
    <n v="197169.74830794844"/>
    <n v="8962.2612867249281"/>
    <n v="-76169.748307948437"/>
  </r>
  <r>
    <x v="1304"/>
    <s v="AVISO DE PRECAUCION"/>
    <x v="12"/>
    <s v="UND"/>
    <n v="5884.55"/>
    <n v="8000"/>
    <x v="0"/>
    <n v="0"/>
    <n v="0"/>
    <n v="0"/>
    <n v="81431.961035221175"/>
    <n v="24762.287272727273"/>
    <n v="0"/>
    <n v="112078.79830794845"/>
    <n v="112078.79830794845"/>
    <n v="-112078.79830794845"/>
  </r>
  <r>
    <x v="1305"/>
    <s v="AJI JALAPEÑO x 10 GR"/>
    <x v="11"/>
    <s v="UND"/>
    <n v="5470"/>
    <n v="6200"/>
    <x v="17"/>
    <n v="5470"/>
    <n v="6200"/>
    <n v="730"/>
    <n v="81431.961035221175"/>
    <n v="24762.287272727273"/>
    <n v="0"/>
    <n v="111664.24830794845"/>
    <n v="111664.24830794845"/>
    <n v="-105464.24830794845"/>
  </r>
  <r>
    <x v="1306"/>
    <s v="BRACHIARIA DECUMBENS GOLD x 1 KL SGA"/>
    <x v="11"/>
    <s v="UND"/>
    <n v="26400"/>
    <n v="30200"/>
    <x v="28"/>
    <n v="184800"/>
    <n v="211400"/>
    <n v="26600"/>
    <n v="81431.961035221175"/>
    <n v="24762.287272727273"/>
    <n v="0"/>
    <n v="290994.24830794847"/>
    <n v="41570.606901135492"/>
    <n v="-79594.248307948466"/>
  </r>
  <r>
    <x v="1307"/>
    <s v="BRACHIARIA BRIZANTHA TOLEDO GOLD x 1 KL"/>
    <x v="11"/>
    <s v="KL"/>
    <n v="41000"/>
    <n v="48000"/>
    <x v="28"/>
    <n v="287000"/>
    <n v="336000"/>
    <n v="49000"/>
    <n v="81431.961035221175"/>
    <n v="24762.287272727273"/>
    <n v="0"/>
    <n v="393194.24830794847"/>
    <n v="56170.606901135492"/>
    <n v="-57194.248307948466"/>
  </r>
  <r>
    <x v="1308"/>
    <s v="SUSTRATO ORQUIDEAS GRUESO x 1.3 KL"/>
    <x v="11"/>
    <s v="UND"/>
    <n v="9828"/>
    <n v="13800"/>
    <x v="28"/>
    <n v="68796"/>
    <n v="96600"/>
    <n v="27804"/>
    <n v="81431.961035221175"/>
    <n v="24762.287272727273"/>
    <n v="0"/>
    <n v="174990.24830794844"/>
    <n v="24998.606901135492"/>
    <n v="-78390.248307948437"/>
  </r>
  <r>
    <x v="1309"/>
    <s v="EVOFERT INICIO x POMA"/>
    <x v="1"/>
    <s v="UND"/>
    <n v="719896"/>
    <n v="841000"/>
    <x v="17"/>
    <n v="719896"/>
    <n v="841000"/>
    <n v="121104"/>
    <n v="81431.961035221175"/>
    <n v="24762.287272727273"/>
    <n v="0"/>
    <n v="826090.24830794835"/>
    <n v="826090.24830794835"/>
    <n v="14909.75169205165"/>
  </r>
  <r>
    <x v="1310"/>
    <s v="ALGAE X GALON"/>
    <x v="1"/>
    <s v="GALON"/>
    <n v="254350"/>
    <n v="292300"/>
    <x v="0"/>
    <n v="0"/>
    <n v="0"/>
    <n v="0"/>
    <n v="81431.961035221175"/>
    <n v="24762.287272727273"/>
    <n v="0"/>
    <n v="360544.24830794847"/>
    <n v="360544.24830794847"/>
    <n v="-360544.24830794847"/>
  </r>
  <r>
    <x v="1311"/>
    <s v="DELTAMAR X30 ML"/>
    <x v="5"/>
    <s v="ML"/>
    <n v="11000"/>
    <n v="13000"/>
    <x v="28"/>
    <n v="77000"/>
    <n v="91000"/>
    <n v="14000"/>
    <n v="81431.961035221175"/>
    <n v="24762.287272727273"/>
    <n v="0"/>
    <n v="183194.24830794844"/>
    <n v="26170.606901135492"/>
    <n v="-92194.248307948437"/>
  </r>
  <r>
    <x v="1312"/>
    <s v="LIMA BELLOTA 6 &quot;"/>
    <x v="7"/>
    <s v="UND"/>
    <n v="4777.5168000000003"/>
    <n v="9000"/>
    <x v="26"/>
    <n v="23887.584000000003"/>
    <n v="45000"/>
    <n v="21112.415999999997"/>
    <n v="81431.961035221175"/>
    <n v="24762.287272727273"/>
    <n v="0"/>
    <n v="130081.83230794845"/>
    <n v="26016.366461589692"/>
    <n v="-85081.832307948454"/>
  </r>
  <r>
    <x v="1313"/>
    <s v="DRASTIKO X100 GR"/>
    <x v="4"/>
    <s v="UND"/>
    <n v="61100"/>
    <n v="71000"/>
    <x v="0"/>
    <n v="0"/>
    <n v="0"/>
    <n v="0"/>
    <n v="81431.961035221175"/>
    <n v="24762.287272727273"/>
    <n v="0"/>
    <n v="167294.24830794844"/>
    <n v="167294.24830794844"/>
    <n v="-167294.24830794844"/>
  </r>
  <r>
    <x v="1314"/>
    <s v="RAFAGA 4EC XLITRO"/>
    <x v="4"/>
    <s v="LT"/>
    <n v="43900"/>
    <n v="50300"/>
    <x v="17"/>
    <n v="43900"/>
    <n v="50300"/>
    <n v="6400"/>
    <n v="81431.961035221175"/>
    <n v="24762.287272727273"/>
    <n v="0"/>
    <n v="150094.24830794844"/>
    <n v="150094.24830794844"/>
    <n v="-99794.248307948437"/>
  </r>
  <r>
    <x v="1315"/>
    <s v="ATOMIK 325 SC X 250 CC"/>
    <x v="6"/>
    <s v="UND"/>
    <n v="36000"/>
    <n v="45000"/>
    <x v="18"/>
    <n v="72000"/>
    <n v="90000"/>
    <n v="18000"/>
    <n v="81431.961035221175"/>
    <n v="24762.287272727273"/>
    <n v="0"/>
    <n v="178194.24830794844"/>
    <n v="89097.124153974219"/>
    <n v="-88194.248307948437"/>
  </r>
  <r>
    <x v="1316"/>
    <s v="FS-107 LANZA REGURADORA 1/2 * 31 CM"/>
    <x v="3"/>
    <s v="UND"/>
    <n v="24100"/>
    <n v="35000"/>
    <x v="35"/>
    <n v="96400"/>
    <n v="140000"/>
    <n v="43600"/>
    <n v="81431.961035221175"/>
    <n v="24762.287272727273"/>
    <n v="0"/>
    <n v="202594.24830794844"/>
    <n v="50648.562076987109"/>
    <n v="-62594.248307948437"/>
  </r>
  <r>
    <x v="1317"/>
    <s v="BENZOMECTINA SOBRE"/>
    <x v="4"/>
    <s v="SOBRE"/>
    <n v="18900"/>
    <n v="23600"/>
    <x v="190"/>
    <n v="2475900"/>
    <n v="3091600"/>
    <n v="615700"/>
    <n v="81431.961035221175"/>
    <n v="24762.287272727273"/>
    <n v="0"/>
    <n v="2582094.2483079485"/>
    <n v="19710.643116854568"/>
    <n v="509505.75169205153"/>
  </r>
  <r>
    <x v="1318"/>
    <s v="MAIZ ENTERO x 40 KL"/>
    <x v="2"/>
    <s v="UND"/>
    <n v="75999.997499999998"/>
    <n v="80666.666666666672"/>
    <x v="50"/>
    <n v="987999.96750000003"/>
    <n v="1048666.6666666667"/>
    <n v="60666.699166666716"/>
    <n v="81431.961035221175"/>
    <n v="24762.287272727273"/>
    <n v="0"/>
    <n v="1094194.2158079485"/>
    <n v="84168.78583138065"/>
    <n v="-45527.54914128175"/>
  </r>
  <r>
    <x v="1319"/>
    <s v="TAZER x LT"/>
    <x v="6"/>
    <s v="LT"/>
    <n v="222500"/>
    <n v="241333.33333333334"/>
    <x v="13"/>
    <n v="667500"/>
    <n v="724000"/>
    <n v="56500"/>
    <n v="81431.961035221175"/>
    <n v="24762.287272727273"/>
    <n v="0"/>
    <n v="773694.24830794835"/>
    <n v="257898.08276931613"/>
    <n v="-49694.24830794835"/>
  </r>
  <r>
    <x v="1320"/>
    <s v="FOTO ACTIVE X 500ML"/>
    <x v="1"/>
    <s v="ML"/>
    <n v="74708"/>
    <n v="92000"/>
    <x v="19"/>
    <n v="2091824"/>
    <n v="2576000"/>
    <n v="484176"/>
    <n v="81431.961035221175"/>
    <n v="24762.287272727273"/>
    <n v="0"/>
    <n v="2198018.2483079485"/>
    <n v="78500.651725283868"/>
    <n v="377981.75169205153"/>
  </r>
  <r>
    <x v="1321"/>
    <s v="ROOT UP X500ML"/>
    <x v="1"/>
    <s v="ML"/>
    <n v="58263"/>
    <n v="72500"/>
    <x v="31"/>
    <n v="524367"/>
    <n v="652500"/>
    <n v="128133"/>
    <n v="81431.961035221175"/>
    <n v="24762.287272727273"/>
    <n v="0"/>
    <n v="630561.24830794835"/>
    <n v="70062.360923105371"/>
    <n v="21938.75169205165"/>
  </r>
  <r>
    <x v="1322"/>
    <s v="DOG CHOW POUCH MINI CARNE x SOBRE"/>
    <x v="2"/>
    <s v="SOB"/>
    <n v="2700.0014999999999"/>
    <n v="3200"/>
    <x v="37"/>
    <n v="40500.022499999999"/>
    <n v="48000"/>
    <n v="7499.9775000000009"/>
    <n v="81431.961035221175"/>
    <n v="24762.287272727273"/>
    <n v="0"/>
    <n v="146694.27080794843"/>
    <n v="9779.6180538632289"/>
    <n v="-98694.270807948429"/>
  </r>
  <r>
    <x v="1323"/>
    <s v="DOG CHOW GALLETA JUNIOR"/>
    <x v="2"/>
    <s v="UND"/>
    <n v="10000.0005"/>
    <n v="11566.666666666666"/>
    <x v="17"/>
    <n v="10000.0005"/>
    <n v="11566.666666666666"/>
    <n v="1566.666166666666"/>
    <n v="81431.961035221175"/>
    <n v="24762.287272727273"/>
    <n v="0"/>
    <n v="116194.24880794845"/>
    <n v="116194.24880794845"/>
    <n v="-104627.58214128177"/>
  </r>
  <r>
    <x v="1324"/>
    <s v="DOG CHOW GALLETAS MAXI"/>
    <x v="2"/>
    <s v="CAJA"/>
    <n v="12600"/>
    <n v="14000"/>
    <x v="18"/>
    <n v="25200"/>
    <n v="28000"/>
    <n v="2800"/>
    <n v="81431.961035221175"/>
    <n v="24762.287272727273"/>
    <n v="0"/>
    <n v="131394.24830794844"/>
    <n v="65697.124153974219"/>
    <n v="-103394.24830794844"/>
  </r>
  <r>
    <x v="1325"/>
    <s v="GRASA GUADAÑA x 400 POWER PULL"/>
    <x v="9"/>
    <s v="UND"/>
    <n v="9500"/>
    <n v="12500"/>
    <x v="0"/>
    <n v="0"/>
    <n v="0"/>
    <n v="0"/>
    <n v="81431.961035221175"/>
    <n v="24762.287272727273"/>
    <n v="0"/>
    <n v="115694.24830794845"/>
    <n v="115694.24830794845"/>
    <n v="-115694.24830794845"/>
  </r>
  <r>
    <x v="1326"/>
    <s v="NUTRIPLEX K45+M x KL"/>
    <x v="1"/>
    <s v="KL"/>
    <n v="20000"/>
    <n v="28500"/>
    <x v="39"/>
    <n v="480000"/>
    <n v="684000"/>
    <n v="204000"/>
    <n v="81431.961035221175"/>
    <n v="24762.287272727273"/>
    <n v="0"/>
    <n v="586194.24830794835"/>
    <n v="24424.760346164516"/>
    <n v="97805.75169205165"/>
  </r>
  <r>
    <x v="1327"/>
    <s v="NUTRIPLEX P55+M KL"/>
    <x v="1"/>
    <s v="KL"/>
    <n v="23700"/>
    <n v="29366.666666666668"/>
    <x v="30"/>
    <n v="711000"/>
    <n v="881000"/>
    <n v="170000"/>
    <n v="81431.961035221175"/>
    <n v="24762.287272727273"/>
    <n v="0"/>
    <n v="817194.24830794835"/>
    <n v="27239.808276931613"/>
    <n v="63805.75169205165"/>
  </r>
  <r>
    <x v="1328"/>
    <s v="BIORGANIK x 5 KL"/>
    <x v="1"/>
    <s v="KL"/>
    <n v="21000"/>
    <n v="24466.666666666668"/>
    <x v="21"/>
    <n v="252000"/>
    <n v="293600"/>
    <n v="41600"/>
    <n v="81431.961035221175"/>
    <n v="24762.287272727273"/>
    <n v="0"/>
    <n v="358194.24830794847"/>
    <n v="29849.520692329039"/>
    <n v="-64594.248307948466"/>
  </r>
  <r>
    <x v="1329"/>
    <s v="WORM-EX GALLOS x TABLETA (IVERMECTINA)"/>
    <x v="5"/>
    <s v="UND"/>
    <n v="835.73"/>
    <n v="1400"/>
    <x v="191"/>
    <n v="71037.05"/>
    <n v="119000"/>
    <n v="47962.95"/>
    <n v="81431.961035221175"/>
    <n v="24762.287272727273"/>
    <n v="0"/>
    <n v="177231.29830794843"/>
    <n v="2085.0740977405699"/>
    <n v="-58231.298307948426"/>
  </r>
  <r>
    <x v="1330"/>
    <s v="APROACH x LT"/>
    <x v="6"/>
    <s v="LT"/>
    <n v="101077"/>
    <n v="122500"/>
    <x v="30"/>
    <n v="3032310"/>
    <n v="3675000"/>
    <n v="642690"/>
    <n v="81431.961035221175"/>
    <n v="24762.287272727273"/>
    <n v="0"/>
    <n v="3138504.2483079485"/>
    <n v="104616.80827693161"/>
    <n v="536495.75169205153"/>
  </r>
  <r>
    <x v="1331"/>
    <s v="MITERRA x LT"/>
    <x v="4"/>
    <s v="LT"/>
    <n v="122500"/>
    <n v="138000"/>
    <x v="50"/>
    <n v="1592500"/>
    <n v="1794000"/>
    <n v="201500"/>
    <n v="81431.961035221175"/>
    <n v="24762.287272727273"/>
    <n v="0"/>
    <n v="1698694.2483079485"/>
    <n v="130668.78833138065"/>
    <n v="95305.751692051534"/>
  </r>
  <r>
    <x v="1332"/>
    <s v="MITERRA x 250 CC"/>
    <x v="4"/>
    <s v="CC"/>
    <n v="40300"/>
    <n v="52600"/>
    <x v="26"/>
    <n v="201500"/>
    <n v="263000"/>
    <n v="61500"/>
    <n v="81431.961035221175"/>
    <n v="24762.287272727273"/>
    <n v="0"/>
    <n v="307694.24830794847"/>
    <n v="61538.849661589695"/>
    <n v="-44694.248307948466"/>
  </r>
  <r>
    <x v="1333"/>
    <s v="FOTO ACTIVE LITROML"/>
    <x v="1"/>
    <s v="ML"/>
    <n v="126436"/>
    <n v="151000"/>
    <x v="83"/>
    <n v="2275848"/>
    <n v="2718000"/>
    <n v="442152"/>
    <n v="81431.961035221175"/>
    <n v="24762.287272727273"/>
    <n v="0"/>
    <n v="2382042.2483079485"/>
    <n v="132335.68046155269"/>
    <n v="335957.75169205153"/>
  </r>
  <r>
    <x v="1334"/>
    <s v="EVOFERT PRODUCCION POMA"/>
    <x v="1"/>
    <s v="ML"/>
    <n v="780000"/>
    <n v="843000"/>
    <x v="17"/>
    <n v="780000"/>
    <n v="843000"/>
    <n v="63000"/>
    <n v="81431.961035221175"/>
    <n v="24762.287272727273"/>
    <n v="0"/>
    <n v="886194.24830794835"/>
    <n v="886194.24830794835"/>
    <n v="-43194.24830794835"/>
  </r>
  <r>
    <x v="1335"/>
    <s v="CARIAL OPTI x 300 CC"/>
    <x v="6"/>
    <s v="CC"/>
    <n v="14250"/>
    <n v="16800"/>
    <x v="21"/>
    <n v="171000"/>
    <n v="201600"/>
    <n v="30600"/>
    <n v="81431.961035221175"/>
    <n v="24762.287272727273"/>
    <n v="0"/>
    <n v="277194.24830794847"/>
    <n v="23099.520692329039"/>
    <n v="-75594.248307948466"/>
  </r>
  <r>
    <x v="1336"/>
    <s v="VACUNA RESPISURE (MYCOPLASMA)"/>
    <x v="5"/>
    <s v="UND"/>
    <n v="76979"/>
    <n v="90000"/>
    <x v="17"/>
    <n v="76979"/>
    <n v="90000"/>
    <n v="13021"/>
    <n v="81431.961035221175"/>
    <n v="24762.287272727273"/>
    <n v="0"/>
    <n v="183173.24830794844"/>
    <n v="183173.24830794844"/>
    <n v="-93173.248307948437"/>
  </r>
  <r>
    <x v="1337"/>
    <s v="FORZEN B15 * 50 ML"/>
    <x v="5"/>
    <s v="ML"/>
    <n v="45044"/>
    <n v="55800"/>
    <x v="17"/>
    <n v="45044"/>
    <n v="55800"/>
    <n v="10756"/>
    <n v="81431.961035221175"/>
    <n v="24762.287272727273"/>
    <n v="0"/>
    <n v="151238.24830794844"/>
    <n v="151238.24830794844"/>
    <n v="-95438.248307948437"/>
  </r>
  <r>
    <x v="1338"/>
    <s v="COMPLEX 55 x 50 ML"/>
    <x v="5"/>
    <s v="UND"/>
    <n v="26264"/>
    <n v="35200"/>
    <x v="12"/>
    <n v="367696"/>
    <n v="492800"/>
    <n v="125104"/>
    <n v="81431.961035221175"/>
    <n v="24762.287272727273"/>
    <n v="0"/>
    <n v="473890.24830794847"/>
    <n v="33849.30345056775"/>
    <n v="18909.751692051534"/>
  </r>
  <r>
    <x v="1339"/>
    <s v="AGUJA DES 23 &quot; 1"/>
    <x v="5"/>
    <s v="UND"/>
    <n v="165.41"/>
    <n v="300"/>
    <x v="7"/>
    <n v="1819.51"/>
    <n v="3300"/>
    <n v="1480.49"/>
    <n v="81431.961035221175"/>
    <n v="24762.287272727273"/>
    <n v="0"/>
    <n v="108013.75830794845"/>
    <n v="9819.432573449858"/>
    <n v="-104713.75830794845"/>
  </r>
  <r>
    <x v="1340"/>
    <s v="BIORGANIK x 20 KL"/>
    <x v="1"/>
    <s v="KL"/>
    <n v="78000"/>
    <n v="90750"/>
    <x v="21"/>
    <n v="936000"/>
    <n v="1089000"/>
    <n v="153000"/>
    <n v="81431.961035221175"/>
    <n v="24762.287272727273"/>
    <n v="0"/>
    <n v="1042194.2483079483"/>
    <n v="86849.520692329024"/>
    <n v="46805.75169205165"/>
  </r>
  <r>
    <x v="1341"/>
    <s v="FOSFATO MONOAMONIACO x 25 KL"/>
    <x v="0"/>
    <s v="BTO 25"/>
    <n v="216000"/>
    <n v="261000"/>
    <x v="50"/>
    <n v="2808000"/>
    <n v="3393000"/>
    <n v="585000"/>
    <n v="81431.961035221175"/>
    <n v="24762.287272727273"/>
    <n v="0"/>
    <n v="2914194.2483079485"/>
    <n v="224168.78833138064"/>
    <n v="478805.75169205153"/>
  </r>
  <r>
    <x v="1342"/>
    <s v="DELTAMAR MADERA x 30 ML"/>
    <x v="4"/>
    <s v="ML"/>
    <n v="13000"/>
    <n v="16500"/>
    <x v="18"/>
    <n v="26000"/>
    <n v="33000"/>
    <n v="7000"/>
    <n v="81431.961035221175"/>
    <n v="24762.287272727273"/>
    <n v="0"/>
    <n v="132194.24830794844"/>
    <n v="66097.124153974219"/>
    <n v="-99194.248307948437"/>
  </r>
  <r>
    <x v="1343"/>
    <s v="SERVIOX 200 L.A x 50 MLSERVINSUMOS"/>
    <x v="5"/>
    <s v="ML"/>
    <n v="19200"/>
    <n v="23016.666666666668"/>
    <x v="17"/>
    <n v="19200"/>
    <n v="23016.666666666668"/>
    <n v="3816.6666666666679"/>
    <n v="81431.961035221175"/>
    <n v="24762.287272727273"/>
    <n v="0"/>
    <n v="125394.24830794845"/>
    <n v="125394.24830794845"/>
    <n v="-102377.58164128178"/>
  </r>
  <r>
    <x v="1344"/>
    <s v="ESTATICE MEZCLA EXTRA"/>
    <x v="11"/>
    <s v="SOB"/>
    <n v="2800"/>
    <n v="3483.3333333333335"/>
    <x v="67"/>
    <n v="53200"/>
    <n v="66183.333333333343"/>
    <n v="12983.333333333343"/>
    <n v="81431.961035221175"/>
    <n v="24762.287272727273"/>
    <n v="0"/>
    <n v="159394.24830794844"/>
    <n v="8389.1709635762327"/>
    <n v="-93210.914974615094"/>
  </r>
  <r>
    <x v="1345"/>
    <s v="FORZA MIX x 3 KL (TURBA)"/>
    <x v="11"/>
    <s v="KL"/>
    <n v="17480"/>
    <n v="20583.333333333332"/>
    <x v="28"/>
    <n v="122360"/>
    <n v="144083.33333333331"/>
    <n v="21723.333333333314"/>
    <n v="81431.961035221175"/>
    <n v="24762.287272727273"/>
    <n v="0"/>
    <n v="228554.24830794844"/>
    <n v="32650.606901135492"/>
    <n v="-84470.914974615123"/>
  </r>
  <r>
    <x v="1346"/>
    <s v="EFISOIL SUPERBIA x 250 GR"/>
    <x v="1"/>
    <s v="GR"/>
    <n v="34000"/>
    <n v="38000"/>
    <x v="192"/>
    <n v="30056000"/>
    <n v="33592000"/>
    <n v="3536000"/>
    <n v="81431.961035221175"/>
    <n v="24762.287272727273"/>
    <n v="0"/>
    <n v="30162194.248307951"/>
    <n v="34120.129240167364"/>
    <n v="3429805.7516920492"/>
  </r>
  <r>
    <x v="1347"/>
    <s v="TRANQUILAN INY x 10 ML"/>
    <x v="5"/>
    <s v="ML"/>
    <n v="10181"/>
    <n v="15600"/>
    <x v="17"/>
    <n v="10181"/>
    <n v="15600"/>
    <n v="5419"/>
    <n v="81431.961035221175"/>
    <n v="24762.287272727273"/>
    <n v="0"/>
    <n v="116375.24830794845"/>
    <n v="116375.24830794845"/>
    <n v="-100775.24830794845"/>
  </r>
  <r>
    <x v="1348"/>
    <s v="PEZOSAN-N 220 GR"/>
    <x v="5"/>
    <s v="UND"/>
    <n v="52152"/>
    <n v="72300"/>
    <x v="17"/>
    <n v="52152"/>
    <n v="72300"/>
    <n v="20148"/>
    <n v="81431.961035221175"/>
    <n v="24762.287272727273"/>
    <n v="0"/>
    <n v="158346.24830794844"/>
    <n v="158346.24830794844"/>
    <n v="-86046.248307948437"/>
  </r>
  <r>
    <x v="1349"/>
    <s v="DALIPEN * 6000.000 U.I"/>
    <x v="5"/>
    <s v="UND"/>
    <n v="29877"/>
    <n v="36200"/>
    <x v="17"/>
    <n v="29877"/>
    <n v="36200"/>
    <n v="6323"/>
    <n v="81431.961035221175"/>
    <n v="24762.287272727273"/>
    <n v="0"/>
    <n v="136071.24830794844"/>
    <n v="136071.24830794844"/>
    <n v="-99871.248307948437"/>
  </r>
  <r>
    <x v="1350"/>
    <s v="FELIGEN CRP"/>
    <x v="5"/>
    <s v="UND"/>
    <n v="23015"/>
    <n v="32600"/>
    <x v="0"/>
    <n v="0"/>
    <n v="0"/>
    <n v="0"/>
    <n v="81431.961035221175"/>
    <n v="24762.287272727273"/>
    <n v="0"/>
    <n v="129209.24830794845"/>
    <n v="129209.24830794845"/>
    <n v="-129209.24830794845"/>
  </r>
  <r>
    <x v="1351"/>
    <s v="STIMULATE x 250 CC"/>
    <x v="1"/>
    <s v="CC"/>
    <n v="48000"/>
    <n v="58300"/>
    <x v="13"/>
    <n v="144000"/>
    <n v="174900"/>
    <n v="30900"/>
    <n v="81431.961035221175"/>
    <n v="24762.287272727273"/>
    <n v="0"/>
    <n v="250194.24830794844"/>
    <n v="83398.082769316141"/>
    <n v="-75294.248307948437"/>
  </r>
  <r>
    <x v="1352"/>
    <s v="POWER PHOST x LT"/>
    <x v="1"/>
    <s v="LT"/>
    <n v="61700"/>
    <n v="73083.333333333328"/>
    <x v="28"/>
    <n v="431900"/>
    <n v="511583.33333333331"/>
    <n v="79683.333333333314"/>
    <n v="81431.961035221175"/>
    <n v="24762.287272727273"/>
    <n v="0"/>
    <n v="538094.24830794847"/>
    <n v="76870.606901135499"/>
    <n v="-26510.914974615152"/>
  </r>
  <r>
    <x v="1353"/>
    <s v="X-CYTE x LT"/>
    <x v="1"/>
    <s v="LT"/>
    <n v="142500"/>
    <n v="160100"/>
    <x v="17"/>
    <n v="142500"/>
    <n v="160100"/>
    <n v="17600"/>
    <n v="81431.961035221175"/>
    <n v="24762.287272727273"/>
    <n v="0"/>
    <n v="248694.24830794844"/>
    <n v="248694.24830794844"/>
    <n v="-88594.248307948437"/>
  </r>
  <r>
    <x v="1354"/>
    <s v="ROOT FEED x KL"/>
    <x v="1"/>
    <s v="KL"/>
    <n v="22400"/>
    <n v="32100"/>
    <x v="3"/>
    <n v="224000"/>
    <n v="321000"/>
    <n v="97000"/>
    <n v="81431.961035221175"/>
    <n v="24762.287272727273"/>
    <n v="0"/>
    <n v="330194.24830794847"/>
    <n v="33019.424830794844"/>
    <n v="-9194.2483079484664"/>
  </r>
  <r>
    <x v="1355"/>
    <s v="PRIMEC x 100 ML"/>
    <x v="5"/>
    <s v="ML"/>
    <n v="63167"/>
    <n v="76883.333333333328"/>
    <x v="17"/>
    <n v="63167"/>
    <n v="76883.333333333328"/>
    <n v="13716.333333333328"/>
    <n v="81431.961035221175"/>
    <n v="24762.287272727273"/>
    <n v="0"/>
    <n v="169361.24830794844"/>
    <n v="169361.24830794844"/>
    <n v="-92477.914974615109"/>
  </r>
  <r>
    <x v="1356"/>
    <s v="CREDELIO 56 MG 1-5 KG x TABLETA (AMARILLO)"/>
    <x v="5"/>
    <s v="UND"/>
    <n v="16455.666700000002"/>
    <n v="22500"/>
    <x v="0"/>
    <n v="0"/>
    <n v="0"/>
    <n v="0"/>
    <n v="81431.961035221175"/>
    <n v="24762.287272727273"/>
    <n v="0"/>
    <n v="122649.91500794845"/>
    <n v="122649.91500794845"/>
    <n v="-122649.91500794845"/>
  </r>
  <r>
    <x v="1357"/>
    <s v="CREDELIO 112 MG 2-5 KL * TABLETA ( ROSADO)"/>
    <x v="5"/>
    <s v="TAB"/>
    <n v="17239.333299999998"/>
    <n v="21800"/>
    <x v="17"/>
    <n v="17239.333299999998"/>
    <n v="21800"/>
    <n v="4560.6667000000016"/>
    <n v="81431.961035221175"/>
    <n v="24762.287272727273"/>
    <n v="0"/>
    <n v="123433.58160794845"/>
    <n v="123433.58160794845"/>
    <n v="-101633.58160794845"/>
  </r>
  <r>
    <x v="1358"/>
    <s v="CREDELIO 225 MG 5-11 KG * TABLETA ( NARANJA )"/>
    <x v="5"/>
    <s v="UND"/>
    <n v="19590.333299999998"/>
    <n v="28600"/>
    <x v="17"/>
    <n v="19590.333299999998"/>
    <n v="28600"/>
    <n v="9009.6667000000016"/>
    <n v="81431.961035221175"/>
    <n v="24762.287272727273"/>
    <n v="0"/>
    <n v="125784.58160794845"/>
    <n v="125784.58160794845"/>
    <n v="-97184.58160794845"/>
  </r>
  <r>
    <x v="1359"/>
    <s v="CREDELIO 450 MG 11- 22 KG x TABLETA (VERDE)"/>
    <x v="5"/>
    <s v="UND"/>
    <n v="23124.333299999998"/>
    <n v="32600"/>
    <x v="13"/>
    <n v="69372.999899999995"/>
    <n v="97800"/>
    <n v="28427.000100000005"/>
    <n v="81431.961035221175"/>
    <n v="24762.287272727273"/>
    <n v="0"/>
    <n v="175567.24820794843"/>
    <n v="58522.416069316147"/>
    <n v="-77767.248207948433"/>
  </r>
  <r>
    <x v="1360"/>
    <s v="BRAVECTO 4.5-10 KG"/>
    <x v="5"/>
    <s v="UND"/>
    <n v="70446"/>
    <n v="85383.333333333328"/>
    <x v="17"/>
    <n v="70446"/>
    <n v="85383.333333333328"/>
    <n v="14937.333333333328"/>
    <n v="81431.961035221175"/>
    <n v="24762.287272727273"/>
    <n v="0"/>
    <n v="176640.24830794844"/>
    <n v="176640.24830794844"/>
    <n v="-91256.914974615109"/>
  </r>
  <r>
    <x v="1361"/>
    <s v="VARILLA DE ASCENSO MITTO"/>
    <x v="3"/>
    <s v="UND"/>
    <n v="13799.24"/>
    <n v="19500"/>
    <x v="0"/>
    <n v="0"/>
    <n v="0"/>
    <n v="0"/>
    <n v="81431.961035221175"/>
    <n v="24762.287272727273"/>
    <n v="0"/>
    <n v="119993.48830794846"/>
    <n v="119993.48830794846"/>
    <n v="-119993.48830794846"/>
  </r>
  <r>
    <x v="1362"/>
    <s v="PALANCA MITTO"/>
    <x v="3"/>
    <s v="UND"/>
    <n v="17255"/>
    <n v="21416.666666666668"/>
    <x v="17"/>
    <n v="17255"/>
    <n v="21416.666666666668"/>
    <n v="4161.6666666666679"/>
    <n v="81431.961035221175"/>
    <n v="24762.287272727273"/>
    <n v="0"/>
    <n v="123449.24830794845"/>
    <n v="123449.24830794845"/>
    <n v="-102032.58164128178"/>
  </r>
  <r>
    <x v="1363"/>
    <s v="DESARROLLADOR ESPECIAL"/>
    <x v="1"/>
    <s v="UND"/>
    <n v="11527"/>
    <n v="18000"/>
    <x v="45"/>
    <n v="311229"/>
    <n v="486000"/>
    <n v="174771"/>
    <n v="81431.961035221175"/>
    <n v="24762.287272727273"/>
    <n v="0"/>
    <n v="417423.24830794847"/>
    <n v="15460.120307701794"/>
    <n v="68576.751692051534"/>
  </r>
  <r>
    <x v="1364"/>
    <s v="ONLY-PET 10-20 KL"/>
    <x v="5"/>
    <s v="UND"/>
    <n v="8047"/>
    <n v="11050"/>
    <x v="18"/>
    <n v="16094"/>
    <n v="22100"/>
    <n v="6006"/>
    <n v="81431.961035221175"/>
    <n v="24762.287272727273"/>
    <n v="0"/>
    <n v="122288.24830794845"/>
    <n v="61144.124153974226"/>
    <n v="-100188.24830794845"/>
  </r>
  <r>
    <x v="1365"/>
    <s v="ONLY-PET 20-40 KG"/>
    <x v="5"/>
    <s v="UND"/>
    <n v="10417"/>
    <n v="14100"/>
    <x v="17"/>
    <n v="10417"/>
    <n v="14100"/>
    <n v="3683"/>
    <n v="81431.961035221175"/>
    <n v="24762.287272727273"/>
    <n v="0"/>
    <n v="116611.24830794845"/>
    <n v="116611.24830794845"/>
    <n v="-102511.24830794845"/>
  </r>
  <r>
    <x v="1366"/>
    <s v="ONLY-PET + 40KG"/>
    <x v="5"/>
    <s v="UND"/>
    <n v="13672"/>
    <n v="18266.666666666668"/>
    <x v="0"/>
    <n v="0"/>
    <n v="0"/>
    <n v="0"/>
    <n v="81431.961035221175"/>
    <n v="24762.287272727273"/>
    <n v="0"/>
    <n v="119866.24830794845"/>
    <n v="119866.24830794845"/>
    <n v="-119866.24830794845"/>
  </r>
  <r>
    <x v="1367"/>
    <s v="ONLY PET (GATOS)*0.67 C.C"/>
    <x v="5"/>
    <s v="UND"/>
    <n v="7513"/>
    <n v="10800"/>
    <x v="18"/>
    <n v="15026"/>
    <n v="21600"/>
    <n v="6574"/>
    <n v="81431.961035221175"/>
    <n v="24762.287272727273"/>
    <n v="0"/>
    <n v="121220.24830794845"/>
    <n v="60610.124153974226"/>
    <n v="-99620.248307948452"/>
  </r>
  <r>
    <x v="1368"/>
    <s v="ONLY-PET 10 KG (PERROS)"/>
    <x v="5"/>
    <s v="UND"/>
    <n v="7513"/>
    <n v="10833.333333333334"/>
    <x v="17"/>
    <n v="7513"/>
    <n v="10833.333333333334"/>
    <n v="3320.3333333333339"/>
    <n v="81431.961035221175"/>
    <n v="24762.287272727273"/>
    <n v="0"/>
    <n v="113707.24830794845"/>
    <n v="113707.24830794845"/>
    <n v="-102873.91497461512"/>
  </r>
  <r>
    <x v="1369"/>
    <s v="NUCHEROL x KL"/>
    <x v="5"/>
    <s v="UND"/>
    <n v="109873"/>
    <n v="119000"/>
    <x v="17"/>
    <n v="109873"/>
    <n v="119000"/>
    <n v="9127"/>
    <n v="81431.961035221175"/>
    <n v="24762.287272727273"/>
    <n v="0"/>
    <n v="216067.24830794844"/>
    <n v="216067.24830794844"/>
    <n v="-97067.248307948437"/>
  </r>
  <r>
    <x v="1370"/>
    <s v="SANUCH TARRO x 250 GR"/>
    <x v="5"/>
    <s v="UND"/>
    <n v="32745"/>
    <n v="38183.333333333336"/>
    <x v="18"/>
    <n v="65490"/>
    <n v="76366.666666666672"/>
    <n v="10876.666666666672"/>
    <n v="81431.961035221175"/>
    <n v="24762.287272727273"/>
    <n v="0"/>
    <n v="171684.24830794844"/>
    <n v="85842.124153974219"/>
    <n v="-95317.581641281766"/>
  </r>
  <r>
    <x v="1371"/>
    <s v="NORDOX 75 WG 1K - ANASAC"/>
    <x v="6"/>
    <s v="UND"/>
    <n v="90900"/>
    <n v="122000"/>
    <x v="17"/>
    <n v="90900"/>
    <n v="122000"/>
    <n v="31100"/>
    <n v="81431.961035221175"/>
    <n v="24762.287272727273"/>
    <n v="0"/>
    <n v="197094.24830794844"/>
    <n v="197094.24830794844"/>
    <n v="-75094.248307948437"/>
  </r>
  <r>
    <x v="1372"/>
    <s v="DOCTUS 80 WGx 400 GR (TEBUTHIURON)"/>
    <x v="10"/>
    <s v="UND"/>
    <n v="65000"/>
    <n v="77000"/>
    <x v="3"/>
    <n v="650000"/>
    <n v="770000"/>
    <n v="120000"/>
    <n v="81431.961035221175"/>
    <n v="24762.287272727273"/>
    <n v="0"/>
    <n v="756194.24830794835"/>
    <n v="75619.424830794829"/>
    <n v="13805.75169205165"/>
  </r>
  <r>
    <x v="1373"/>
    <s v="LABRUM 25 EC (PYRACLOSTROBIN)X 600 ML"/>
    <x v="6"/>
    <s v="UND"/>
    <n v="76500"/>
    <n v="92000"/>
    <x v="35"/>
    <n v="306000"/>
    <n v="368000"/>
    <n v="62000"/>
    <n v="81431.961035221175"/>
    <n v="24762.287272727273"/>
    <n v="0"/>
    <n v="412194.24830794847"/>
    <n v="103048.56207698712"/>
    <n v="-44194.248307948466"/>
  </r>
  <r>
    <x v="1374"/>
    <s v="REGADERA PLASTICA x 8 LT"/>
    <x v="9"/>
    <s v="UND"/>
    <n v="20951.14"/>
    <n v="23666.666666666668"/>
    <x v="49"/>
    <n v="167609.12"/>
    <n v="189333.33333333334"/>
    <n v="21724.213333333348"/>
    <n v="81431.961035221175"/>
    <n v="24762.287272727273"/>
    <n v="0"/>
    <n v="273803.36830794846"/>
    <n v="34225.421038493558"/>
    <n v="-84470.0349746151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s v="CA1"/>
    <x v="0"/>
    <x v="0"/>
    <x v="0"/>
    <n v="3242996.7388307503"/>
  </r>
  <r>
    <m/>
    <x v="1"/>
    <x v="1"/>
    <x v="1"/>
    <n v="1616494.50271964"/>
  </r>
  <r>
    <m/>
    <x v="1"/>
    <x v="2"/>
    <x v="2"/>
    <n v="1583982.9610529733"/>
  </r>
  <r>
    <m/>
    <x v="1"/>
    <x v="3"/>
    <x v="3"/>
    <n v="2785154.2622040845"/>
  </r>
  <r>
    <m/>
    <x v="1"/>
    <x v="4"/>
    <x v="4"/>
    <n v="2785154.2622040845"/>
  </r>
  <r>
    <m/>
    <x v="1"/>
    <x v="5"/>
    <x v="5"/>
    <n v="1510693.7038783066"/>
  </r>
  <r>
    <m/>
    <x v="1"/>
    <x v="6"/>
    <x v="6"/>
    <n v="1167568.6823543068"/>
  </r>
  <r>
    <m/>
    <x v="1"/>
    <x v="7"/>
    <x v="7"/>
    <n v="1543205.2455449733"/>
  </r>
  <r>
    <m/>
    <x v="1"/>
    <x v="8"/>
    <x v="8"/>
    <n v="1757549.4682276403"/>
  </r>
  <r>
    <m/>
    <x v="1"/>
    <x v="9"/>
    <x v="9"/>
    <n v="1914541.6977396403"/>
  </r>
  <r>
    <m/>
    <x v="1"/>
    <x v="10"/>
    <x v="10"/>
    <n v="2143683.8719263067"/>
  </r>
  <r>
    <s v="CA2"/>
    <x v="2"/>
    <x v="11"/>
    <x v="11"/>
    <n v="4319815.0333598163"/>
  </r>
  <r>
    <m/>
    <x v="1"/>
    <x v="12"/>
    <x v="12"/>
    <n v="2601128.2132225633"/>
  </r>
  <r>
    <m/>
    <x v="1"/>
    <x v="13"/>
    <x v="13"/>
    <n v="2601128.2132225633"/>
  </r>
  <r>
    <s v="CA3"/>
    <x v="3"/>
    <x v="14"/>
    <x v="14"/>
    <n v="3575575.1143259695"/>
  </r>
  <r>
    <m/>
    <x v="1"/>
    <x v="15"/>
    <x v="15"/>
    <n v="3544760.8018259695"/>
  </r>
  <r>
    <m/>
    <x v="1"/>
    <x v="16"/>
    <x v="16"/>
    <n v="3387389.4681473034"/>
  </r>
  <r>
    <m/>
    <x v="1"/>
    <x v="17"/>
    <x v="17"/>
    <n v="7804084.670003064"/>
  </r>
  <r>
    <m/>
    <x v="1"/>
    <x v="18"/>
    <x v="18"/>
    <n v="13367580.460025214"/>
  </r>
  <r>
    <m/>
    <x v="1"/>
    <x v="19"/>
    <x v="19"/>
    <n v="3575575.1143259695"/>
  </r>
  <r>
    <m/>
    <x v="1"/>
    <x v="20"/>
    <x v="20"/>
    <n v="3849515.8855046364"/>
  </r>
  <r>
    <m/>
    <x v="1"/>
    <x v="21"/>
    <x v="21"/>
    <n v="6085397.84986581"/>
  </r>
  <r>
    <s v="CA4"/>
    <x v="4"/>
    <x v="22"/>
    <x v="22"/>
    <n v="1002872.281388889"/>
  </r>
  <r>
    <m/>
    <x v="1"/>
    <x v="23"/>
    <x v="23"/>
    <n v="1035383.8230555556"/>
  </r>
  <r>
    <m/>
    <x v="1"/>
    <x v="24"/>
    <x v="24"/>
    <n v="1002872.281388889"/>
  </r>
  <r>
    <m/>
    <x v="1"/>
    <x v="25"/>
    <x v="25"/>
    <n v="1035383.8230555556"/>
  </r>
  <r>
    <m/>
    <x v="1"/>
    <x v="26"/>
    <x v="26"/>
    <n v="1066198.1355555556"/>
  </r>
  <r>
    <m/>
    <x v="1"/>
    <x v="27"/>
    <x v="27"/>
    <n v="1033686.593888889"/>
  </r>
  <r>
    <m/>
    <x v="1"/>
    <x v="28"/>
    <x v="28"/>
    <n v="2837576.1810929729"/>
  </r>
  <r>
    <m/>
    <x v="1"/>
    <x v="29"/>
    <x v="29"/>
    <n v="2052615.0335329738"/>
  </r>
  <r>
    <m/>
    <x v="1"/>
    <x v="30"/>
    <x v="30"/>
    <n v="1153650.4897222221"/>
  </r>
  <r>
    <m/>
    <x v="1"/>
    <x v="31"/>
    <x v="31"/>
    <n v="1153650.4897222221"/>
  </r>
  <r>
    <s v="CA5"/>
    <x v="5"/>
    <x v="32"/>
    <x v="32"/>
    <n v="1425915.1260329736"/>
  </r>
  <r>
    <m/>
    <x v="1"/>
    <x v="33"/>
    <x v="33"/>
    <n v="408683.91555555555"/>
  </r>
  <r>
    <m/>
    <x v="1"/>
    <x v="34"/>
    <x v="34"/>
    <n v="1885896.7035729738"/>
  </r>
  <r>
    <m/>
    <x v="1"/>
    <x v="35"/>
    <x v="35"/>
    <n v="1100935.5560129734"/>
  </r>
  <r>
    <m/>
    <x v="1"/>
    <x v="36"/>
    <x v="36"/>
    <n v="2597070.8269635602"/>
  </r>
  <r>
    <s v="CA6"/>
    <x v="6"/>
    <x v="37"/>
    <x v="37"/>
    <n v="7654888.1506297942"/>
  </r>
  <r>
    <m/>
    <x v="1"/>
    <x v="38"/>
    <x v="38"/>
    <n v="6758690.7917459803"/>
  </r>
  <r>
    <m/>
    <x v="1"/>
    <x v="39"/>
    <x v="39"/>
    <n v="3435486.88137086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EE8DE8-25B6-46F1-B912-76149DB358A0}" name="TablaDinámica1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1" rowHeaderCaption="ACTIVIDAD">
  <location ref="H14:I20" firstHeaderRow="1" firstDataRow="1" firstDataCol="1"/>
  <pivotFields count="5">
    <pivotField showAll="0"/>
    <pivotField showAll="0">
      <items count="8">
        <item x="0"/>
        <item x="5"/>
        <item x="4"/>
        <item x="6"/>
        <item x="2"/>
        <item x="3"/>
        <item x="1"/>
        <item t="default"/>
      </items>
    </pivotField>
    <pivotField axis="axisRow" showAll="0" measureFilter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showAll="0">
      <items count="41">
        <item x="35"/>
        <item x="10"/>
        <item x="17"/>
        <item x="1"/>
        <item x="3"/>
        <item x="4"/>
        <item x="38"/>
        <item x="36"/>
        <item x="29"/>
        <item x="6"/>
        <item x="7"/>
        <item x="37"/>
        <item x="5"/>
        <item x="31"/>
        <item x="9"/>
        <item x="22"/>
        <item x="25"/>
        <item x="32"/>
        <item x="24"/>
        <item x="20"/>
        <item x="14"/>
        <item x="34"/>
        <item x="23"/>
        <item x="26"/>
        <item x="21"/>
        <item x="30"/>
        <item x="12"/>
        <item x="13"/>
        <item x="11"/>
        <item x="39"/>
        <item x="2"/>
        <item x="27"/>
        <item x="16"/>
        <item x="8"/>
        <item x="15"/>
        <item x="19"/>
        <item x="28"/>
        <item x="0"/>
        <item x="18"/>
        <item x="33"/>
        <item t="default"/>
      </items>
    </pivotField>
    <pivotField dataField="1" numFmtId="164" showAll="0"/>
  </pivotFields>
  <rowFields count="1">
    <field x="2"/>
  </rowFields>
  <rowItems count="6">
    <i>
      <x v="17"/>
    </i>
    <i>
      <x v="18"/>
    </i>
    <i>
      <x v="21"/>
    </i>
    <i>
      <x v="37"/>
    </i>
    <i>
      <x v="38"/>
    </i>
    <i t="grand">
      <x/>
    </i>
  </rowItems>
  <colItems count="1">
    <i/>
  </colItems>
  <dataFields count="1">
    <dataField name="TOTAL" fld="4" baseField="0" baseItem="0" numFmtId="164"/>
  </dataFields>
  <formats count="13"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2" type="button" dataOnly="0" labelOnly="1" outline="0" axis="axisRow" fieldPosition="0"/>
    </format>
    <format dxfId="58">
      <pivotArea dataOnly="0" labelOnly="1" fieldPosition="0">
        <references count="1">
          <reference field="2" count="0"/>
        </references>
      </pivotArea>
    </format>
    <format dxfId="57">
      <pivotArea dataOnly="0" labelOnly="1" grandRow="1" outline="0" fieldPosition="0"/>
    </format>
    <format dxfId="56">
      <pivotArea dataOnly="0" labelOnly="1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2" type="button" dataOnly="0" labelOnly="1" outline="0" axis="axisRow" fieldPosition="0"/>
    </format>
    <format dxfId="52">
      <pivotArea dataOnly="0" labelOnly="1" fieldPosition="0">
        <references count="1">
          <reference field="2" count="0"/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  <format dxfId="49">
      <pivotArea outline="0" collapsedLevelsAreSubtotals="1" fieldPosition="0"/>
    </format>
  </formats>
  <chartFormats count="6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ount" evalOrder="-1" id="7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0B6644-A416-47A7-B43D-CF8CD186DFD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6" rowHeaderCaption="CODIGO GRUPO">
  <location ref="U7:V22" firstHeaderRow="1" firstDataRow="1" firstDataCol="1"/>
  <pivotFields count="16">
    <pivotField showAll="0">
      <items count="13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t="default"/>
      </items>
    </pivotField>
    <pivotField showAll="0"/>
    <pivotField axis="axisRow" showAll="0">
      <items count="15">
        <item x="0"/>
        <item x="2"/>
        <item x="6"/>
        <item x="1"/>
        <item x="4"/>
        <item x="11"/>
        <item x="10"/>
        <item x="9"/>
        <item x="7"/>
        <item x="13"/>
        <item x="3"/>
        <item x="12"/>
        <item x="5"/>
        <item x="8"/>
        <item t="default"/>
      </items>
    </pivotField>
    <pivotField showAll="0"/>
    <pivotField numFmtId="164" showAll="0"/>
    <pivotField numFmtId="164" showAll="0"/>
    <pivotField numFmtId="1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UTILIDAD POR GRUPO DE PRODUCTO" fld="15" baseField="0" baseItem="0" numFmtId="164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2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axis="axisValues" fieldPosition="0"/>
    </format>
    <format dxfId="9">
      <pivotArea field="2" type="button" dataOnly="0" labelOnly="1" outline="0" axis="axisRow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outline="0" collapsedLevelsAreSubtotals="1" fieldPosition="0"/>
    </format>
    <format dxfId="5">
      <pivotArea dataOnly="0" labelOnly="1" outline="0" axis="axisValues" fieldPosition="0"/>
    </format>
    <format dxfId="4">
      <pivotArea collapsedLevelsAreSubtotals="1" fieldPosition="0">
        <references count="1">
          <reference field="2" count="0"/>
        </references>
      </pivotArea>
    </format>
    <format dxfId="3">
      <pivotArea dataOnly="0" labelOnly="1" fieldPosition="0">
        <references count="1">
          <reference field="2" count="0"/>
        </references>
      </pivotArea>
    </format>
    <format dxfId="2">
      <pivotArea collapsedLevelsAreSubtotals="1" fieldPosition="0">
        <references count="1">
          <reference field="2" count="0"/>
        </references>
      </pivotArea>
    </format>
    <format dxfId="1">
      <pivotArea dataOnly="0" labelOnly="1" fieldPosition="0">
        <references count="1">
          <reference field="2" count="0"/>
        </references>
      </pivotArea>
    </format>
    <format dxfId="0">
      <pivotArea outline="0" collapsedLevelsAreSubtotals="1" fieldPosition="0"/>
    </format>
  </formats>
  <chartFormats count="8"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3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3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3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3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3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3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25F50B-6520-474D-936F-9E87ECDB800B}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1" rowHeaderCaption="PORDUCTO">
  <location ref="U46:V52" firstHeaderRow="1" firstDataRow="1" firstDataCol="1"/>
  <pivotFields count="16">
    <pivotField axis="axisRow" showAll="0" measureFilter="1">
      <items count="13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t="default"/>
      </items>
    </pivotField>
    <pivotField showAll="0"/>
    <pivotField showAll="0">
      <items count="15">
        <item x="0"/>
        <item x="2"/>
        <item x="6"/>
        <item x="1"/>
        <item x="4"/>
        <item x="11"/>
        <item x="10"/>
        <item x="9"/>
        <item x="7"/>
        <item x="13"/>
        <item x="3"/>
        <item x="12"/>
        <item x="5"/>
        <item x="8"/>
        <item t="default"/>
      </items>
    </pivotField>
    <pivotField showAll="0"/>
    <pivotField numFmtId="164" showAll="0"/>
    <pivotField numFmtId="164" showAll="0"/>
    <pivotField numFmtId="1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6">
    <i>
      <x v="116"/>
    </i>
    <i>
      <x v="130"/>
    </i>
    <i>
      <x v="678"/>
    </i>
    <i>
      <x v="733"/>
    </i>
    <i>
      <x v="851"/>
    </i>
    <i t="grand">
      <x/>
    </i>
  </rowItems>
  <colItems count="1">
    <i/>
  </colItems>
  <dataFields count="1">
    <dataField name="UTILIDAD POR PRODUCTO" fld="15" baseField="0" baseItem="0" numFmtId="164"/>
  </dataFields>
  <formats count="18"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2" type="button" dataOnly="0" labelOnly="1" outline="0"/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2" type="button" dataOnly="0" labelOnly="1" outline="0"/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collapsedLevelsAreSubtotals="1" fieldPosition="0">
        <references count="1">
          <reference field="0" count="10">
            <x v="116"/>
            <x v="127"/>
            <x v="130"/>
            <x v="467"/>
            <x v="678"/>
            <x v="717"/>
            <x v="733"/>
            <x v="814"/>
            <x v="851"/>
            <x v="895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10">
            <x v="116"/>
            <x v="127"/>
            <x v="130"/>
            <x v="467"/>
            <x v="678"/>
            <x v="717"/>
            <x v="733"/>
            <x v="814"/>
            <x v="851"/>
            <x v="895"/>
          </reference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outline="0" collapsedLevelsAreSubtotals="1" fieldPosition="0"/>
    </format>
  </formats>
  <chartFormats count="2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85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ount" evalOrder="-1" id="15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1288C8-06BB-4D48-A5F5-E08EBE1FB29A}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0" rowHeaderCaption="CODIGO GRUPO">
  <location ref="U27:V42" firstHeaderRow="1" firstDataRow="1" firstDataCol="1"/>
  <pivotFields count="16">
    <pivotField showAll="0">
      <items count="13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t="default"/>
      </items>
    </pivotField>
    <pivotField showAll="0"/>
    <pivotField axis="axisRow" showAll="0">
      <items count="15">
        <item x="0"/>
        <item x="2"/>
        <item x="6"/>
        <item x="1"/>
        <item x="4"/>
        <item x="11"/>
        <item x="10"/>
        <item x="9"/>
        <item x="7"/>
        <item x="13"/>
        <item x="3"/>
        <item x="12"/>
        <item x="5"/>
        <item x="8"/>
        <item t="default"/>
      </items>
    </pivotField>
    <pivotField showAll="0"/>
    <pivotField numFmtId="164" showAll="0"/>
    <pivotField numFmtId="164" showAll="0"/>
    <pivotField dataField="1" numFmtId="1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UNIDADES" fld="6" baseField="0" baseItem="0"/>
  </dataFields>
  <formats count="14"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2" type="button" dataOnly="0" labelOnly="1" outline="0" axis="axisRow" fieldPosition="0"/>
    </format>
    <format dxfId="43">
      <pivotArea dataOnly="0" labelOnly="1" grandRow="1" outline="0" fieldPosition="0"/>
    </format>
    <format dxfId="42">
      <pivotArea dataOnly="0" labelOnly="1" outline="0" axis="axisValues" fieldPosition="0"/>
    </format>
    <format dxfId="41">
      <pivotArea field="2" type="button" dataOnly="0" labelOnly="1" outline="0" axis="axisRow" fieldPosition="0"/>
    </format>
    <format dxfId="40">
      <pivotArea outline="0" collapsedLevelsAreSubtotals="1" fieldPosition="0"/>
    </format>
    <format dxfId="39">
      <pivotArea dataOnly="0" labelOnly="1" outline="0" axis="axisValues" fieldPosition="0"/>
    </format>
    <format dxfId="38">
      <pivotArea outline="0" collapsedLevelsAreSubtotals="1" fieldPosition="0"/>
    </format>
    <format dxfId="37">
      <pivotArea dataOnly="0" labelOnly="1" outline="0" axis="axisValues" fieldPosition="0"/>
    </format>
    <format dxfId="36">
      <pivotArea collapsedLevelsAreSubtotals="1" fieldPosition="0">
        <references count="1">
          <reference field="2" count="0"/>
        </references>
      </pivotArea>
    </format>
    <format dxfId="35">
      <pivotArea dataOnly="0" labelOnly="1" fieldPosition="0">
        <references count="1">
          <reference field="2" count="0"/>
        </references>
      </pivotArea>
    </format>
    <format dxfId="34">
      <pivotArea collapsedLevelsAreSubtotals="1" fieldPosition="0">
        <references count="1">
          <reference field="2" count="0"/>
        </references>
      </pivotArea>
    </format>
    <format dxfId="33">
      <pivotArea dataOnly="0" labelOnly="1" fieldPosition="0">
        <references count="1">
          <reference field="2" count="0"/>
        </references>
      </pivotArea>
    </format>
  </formats>
  <chartFormats count="1"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2BB8-E624-4D04-B17A-E408EC5386E2}">
  <dimension ref="B2:N22"/>
  <sheetViews>
    <sheetView showRowColHeaders="0" zoomScale="115" zoomScaleNormal="115" workbookViewId="0">
      <selection activeCell="B9" sqref="B9:K17"/>
    </sheetView>
  </sheetViews>
  <sheetFormatPr baseColWidth="10" defaultRowHeight="14.4" x14ac:dyDescent="0.3"/>
  <cols>
    <col min="1" max="16384" width="11.5546875" style="39"/>
  </cols>
  <sheetData>
    <row r="2" spans="2:14" ht="14.4" customHeight="1" x14ac:dyDescent="0.3">
      <c r="B2" s="362" t="s">
        <v>1916</v>
      </c>
      <c r="C2" s="362"/>
      <c r="D2" s="362"/>
      <c r="E2" s="362"/>
      <c r="F2" s="362"/>
      <c r="G2" s="362"/>
      <c r="H2" s="362"/>
      <c r="I2" s="362"/>
      <c r="J2" s="362"/>
      <c r="K2" s="362"/>
      <c r="L2" s="302"/>
      <c r="M2" s="302"/>
      <c r="N2" s="302"/>
    </row>
    <row r="3" spans="2:14" ht="14.4" customHeight="1" x14ac:dyDescent="0.3"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02"/>
      <c r="M3" s="302"/>
      <c r="N3" s="302"/>
    </row>
    <row r="4" spans="2:14" ht="14.4" customHeight="1" x14ac:dyDescent="0.3"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02"/>
      <c r="M4" s="302"/>
      <c r="N4" s="302"/>
    </row>
    <row r="5" spans="2:14" ht="14.4" customHeight="1" x14ac:dyDescent="0.3"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02"/>
      <c r="M5" s="302"/>
      <c r="N5" s="302"/>
    </row>
    <row r="6" spans="2:14" ht="14.4" customHeight="1" x14ac:dyDescent="0.3"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02"/>
      <c r="M6" s="302"/>
      <c r="N6" s="302"/>
    </row>
    <row r="7" spans="2:14" ht="14.4" customHeight="1" x14ac:dyDescent="0.3"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02"/>
      <c r="M7" s="302"/>
      <c r="N7" s="302"/>
    </row>
    <row r="8" spans="2:14" ht="14.4" customHeight="1" x14ac:dyDescent="0.3"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02"/>
      <c r="M8" s="302"/>
      <c r="N8" s="302"/>
    </row>
    <row r="9" spans="2:14" ht="14.4" customHeight="1" x14ac:dyDescent="0.3">
      <c r="B9" s="363" t="s">
        <v>1971</v>
      </c>
      <c r="C9" s="363"/>
      <c r="D9" s="363"/>
      <c r="E9" s="363"/>
      <c r="F9" s="363"/>
      <c r="G9" s="363"/>
      <c r="H9" s="363"/>
      <c r="I9" s="363"/>
      <c r="J9" s="363"/>
      <c r="K9" s="363"/>
      <c r="L9" s="302"/>
      <c r="M9" s="302"/>
      <c r="N9" s="302"/>
    </row>
    <row r="10" spans="2:14" ht="14.4" customHeight="1" x14ac:dyDescent="0.3"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02"/>
      <c r="M10" s="302"/>
      <c r="N10" s="302"/>
    </row>
    <row r="11" spans="2:14" ht="14.4" customHeight="1" x14ac:dyDescent="0.3"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02"/>
      <c r="M11" s="302"/>
      <c r="N11" s="302"/>
    </row>
    <row r="12" spans="2:14" ht="14.4" customHeight="1" x14ac:dyDescent="0.3"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02"/>
      <c r="M12" s="302"/>
      <c r="N12" s="302"/>
    </row>
    <row r="13" spans="2:14" ht="14.4" customHeight="1" x14ac:dyDescent="0.3"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02"/>
      <c r="M13" s="302"/>
      <c r="N13" s="302"/>
    </row>
    <row r="14" spans="2:14" ht="14.4" customHeight="1" x14ac:dyDescent="0.3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02"/>
      <c r="M14" s="302"/>
      <c r="N14" s="302"/>
    </row>
    <row r="15" spans="2:14" ht="14.4" customHeight="1" x14ac:dyDescent="0.3"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02"/>
      <c r="M15" s="302"/>
      <c r="N15" s="302"/>
    </row>
    <row r="16" spans="2:14" ht="14.4" customHeight="1" x14ac:dyDescent="0.3"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02"/>
      <c r="M16" s="302"/>
      <c r="N16" s="302"/>
    </row>
    <row r="17" spans="2:14" ht="14.4" customHeight="1" x14ac:dyDescent="0.3"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02"/>
      <c r="M17" s="302"/>
      <c r="N17" s="302"/>
    </row>
    <row r="18" spans="2:14" ht="14.4" customHeight="1" x14ac:dyDescent="0.3">
      <c r="B18" s="362" t="s">
        <v>1917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02"/>
      <c r="M18" s="302"/>
      <c r="N18" s="302"/>
    </row>
    <row r="19" spans="2:14" x14ac:dyDescent="0.3">
      <c r="B19" s="362"/>
      <c r="C19" s="362"/>
      <c r="D19" s="362"/>
      <c r="E19" s="362"/>
      <c r="F19" s="362"/>
      <c r="G19" s="362"/>
      <c r="H19" s="362"/>
      <c r="I19" s="362"/>
      <c r="J19" s="362"/>
      <c r="K19" s="362"/>
    </row>
    <row r="20" spans="2:14" x14ac:dyDescent="0.3">
      <c r="B20" s="362"/>
      <c r="C20" s="362"/>
      <c r="D20" s="362"/>
      <c r="E20" s="362"/>
      <c r="F20" s="362"/>
      <c r="G20" s="362"/>
      <c r="H20" s="362"/>
      <c r="I20" s="362"/>
      <c r="J20" s="362"/>
      <c r="K20" s="362"/>
    </row>
    <row r="21" spans="2:14" x14ac:dyDescent="0.3">
      <c r="B21" s="362"/>
      <c r="C21" s="362"/>
      <c r="D21" s="362"/>
      <c r="E21" s="362"/>
      <c r="F21" s="362"/>
      <c r="G21" s="362"/>
      <c r="H21" s="362"/>
      <c r="I21" s="362"/>
      <c r="J21" s="362"/>
      <c r="K21" s="362"/>
    </row>
    <row r="22" spans="2:14" x14ac:dyDescent="0.3">
      <c r="B22" s="362"/>
      <c r="C22" s="362"/>
      <c r="D22" s="362"/>
      <c r="E22" s="362"/>
      <c r="F22" s="362"/>
      <c r="G22" s="362"/>
      <c r="H22" s="362"/>
      <c r="I22" s="362"/>
      <c r="J22" s="362"/>
      <c r="K22" s="362"/>
    </row>
  </sheetData>
  <mergeCells count="3">
    <mergeCell ref="B2:K8"/>
    <mergeCell ref="B9:K17"/>
    <mergeCell ref="B18:K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3294-7E66-4227-A83A-EDF6C2F35519}">
  <dimension ref="B2:E43"/>
  <sheetViews>
    <sheetView showGridLines="0" showRowColHeaders="0" zoomScale="130" zoomScaleNormal="130" workbookViewId="0">
      <selection activeCell="E45" sqref="E45"/>
    </sheetView>
  </sheetViews>
  <sheetFormatPr baseColWidth="10" defaultRowHeight="14.4" x14ac:dyDescent="0.3"/>
  <cols>
    <col min="1" max="1" width="4.33203125" customWidth="1"/>
    <col min="2" max="2" width="14" style="261" bestFit="1" customWidth="1"/>
    <col min="3" max="3" width="32.77734375" style="261" bestFit="1" customWidth="1"/>
    <col min="4" max="4" width="29.77734375" style="261" customWidth="1"/>
    <col min="5" max="5" width="66.77734375" style="262" customWidth="1"/>
    <col min="10" max="10" width="6" customWidth="1"/>
  </cols>
  <sheetData>
    <row r="2" spans="2:5" ht="30" customHeight="1" x14ac:dyDescent="0.3">
      <c r="B2" s="364" t="s">
        <v>1918</v>
      </c>
      <c r="C2" s="364"/>
      <c r="D2" s="364"/>
      <c r="E2" s="364"/>
    </row>
    <row r="3" spans="2:5" ht="28.8" x14ac:dyDescent="0.3">
      <c r="B3" s="237" t="s">
        <v>1185</v>
      </c>
      <c r="C3" s="237" t="s">
        <v>1574</v>
      </c>
      <c r="D3" s="237" t="s">
        <v>1187</v>
      </c>
      <c r="E3" s="237" t="s">
        <v>1189</v>
      </c>
    </row>
    <row r="4" spans="2:5" x14ac:dyDescent="0.3">
      <c r="B4" s="368" t="s">
        <v>1190</v>
      </c>
      <c r="C4" s="365" t="s">
        <v>1417</v>
      </c>
      <c r="D4" s="263" t="s">
        <v>1229</v>
      </c>
      <c r="E4" s="265" t="s">
        <v>1204</v>
      </c>
    </row>
    <row r="5" spans="2:5" x14ac:dyDescent="0.3">
      <c r="B5" s="368"/>
      <c r="C5" s="366"/>
      <c r="D5" s="263" t="s">
        <v>1230</v>
      </c>
      <c r="E5" s="265" t="s">
        <v>1203</v>
      </c>
    </row>
    <row r="6" spans="2:5" x14ac:dyDescent="0.3">
      <c r="B6" s="368"/>
      <c r="C6" s="366"/>
      <c r="D6" s="263" t="s">
        <v>1231</v>
      </c>
      <c r="E6" s="265" t="s">
        <v>1202</v>
      </c>
    </row>
    <row r="7" spans="2:5" x14ac:dyDescent="0.3">
      <c r="B7" s="368"/>
      <c r="C7" s="366"/>
      <c r="D7" s="263" t="s">
        <v>1232</v>
      </c>
      <c r="E7" s="265" t="s">
        <v>1151</v>
      </c>
    </row>
    <row r="8" spans="2:5" x14ac:dyDescent="0.3">
      <c r="B8" s="368"/>
      <c r="C8" s="366"/>
      <c r="D8" s="263" t="s">
        <v>1233</v>
      </c>
      <c r="E8" s="265" t="s">
        <v>1201</v>
      </c>
    </row>
    <row r="9" spans="2:5" x14ac:dyDescent="0.3">
      <c r="B9" s="368"/>
      <c r="C9" s="366"/>
      <c r="D9" s="263" t="s">
        <v>1234</v>
      </c>
      <c r="E9" s="265" t="s">
        <v>1200</v>
      </c>
    </row>
    <row r="10" spans="2:5" x14ac:dyDescent="0.3">
      <c r="B10" s="368"/>
      <c r="C10" s="366"/>
      <c r="D10" s="263" t="s">
        <v>1235</v>
      </c>
      <c r="E10" s="265" t="s">
        <v>1195</v>
      </c>
    </row>
    <row r="11" spans="2:5" x14ac:dyDescent="0.3">
      <c r="B11" s="368"/>
      <c r="C11" s="366"/>
      <c r="D11" s="263" t="s">
        <v>1236</v>
      </c>
      <c r="E11" s="265" t="s">
        <v>1196</v>
      </c>
    </row>
    <row r="12" spans="2:5" x14ac:dyDescent="0.3">
      <c r="B12" s="368"/>
      <c r="C12" s="366"/>
      <c r="D12" s="263" t="s">
        <v>1239</v>
      </c>
      <c r="E12" s="265" t="s">
        <v>1197</v>
      </c>
    </row>
    <row r="13" spans="2:5" x14ac:dyDescent="0.3">
      <c r="B13" s="368"/>
      <c r="C13" s="366"/>
      <c r="D13" s="263" t="s">
        <v>1237</v>
      </c>
      <c r="E13" s="265" t="s">
        <v>1198</v>
      </c>
    </row>
    <row r="14" spans="2:5" x14ac:dyDescent="0.3">
      <c r="B14" s="368"/>
      <c r="C14" s="367"/>
      <c r="D14" s="263" t="s">
        <v>1238</v>
      </c>
      <c r="E14" s="265" t="s">
        <v>1199</v>
      </c>
    </row>
    <row r="15" spans="2:5" x14ac:dyDescent="0.3">
      <c r="B15" s="368" t="s">
        <v>1191</v>
      </c>
      <c r="C15" s="368" t="s">
        <v>1281</v>
      </c>
      <c r="D15" s="263" t="s">
        <v>1245</v>
      </c>
      <c r="E15" s="265" t="s">
        <v>1205</v>
      </c>
    </row>
    <row r="16" spans="2:5" x14ac:dyDescent="0.3">
      <c r="B16" s="368"/>
      <c r="C16" s="368"/>
      <c r="D16" s="263" t="s">
        <v>1246</v>
      </c>
      <c r="E16" s="265" t="s">
        <v>1206</v>
      </c>
    </row>
    <row r="17" spans="2:5" x14ac:dyDescent="0.3">
      <c r="B17" s="368"/>
      <c r="C17" s="368"/>
      <c r="D17" s="263" t="s">
        <v>1247</v>
      </c>
      <c r="E17" s="265" t="s">
        <v>1207</v>
      </c>
    </row>
    <row r="18" spans="2:5" x14ac:dyDescent="0.3">
      <c r="B18" s="365" t="s">
        <v>1192</v>
      </c>
      <c r="C18" s="365" t="s">
        <v>1126</v>
      </c>
      <c r="D18" s="263" t="s">
        <v>1248</v>
      </c>
      <c r="E18" s="265" t="s">
        <v>1208</v>
      </c>
    </row>
    <row r="19" spans="2:5" x14ac:dyDescent="0.3">
      <c r="B19" s="366"/>
      <c r="C19" s="366"/>
      <c r="D19" s="263" t="s">
        <v>1249</v>
      </c>
      <c r="E19" s="265" t="s">
        <v>1209</v>
      </c>
    </row>
    <row r="20" spans="2:5" x14ac:dyDescent="0.3">
      <c r="B20" s="366"/>
      <c r="C20" s="366"/>
      <c r="D20" s="263" t="s">
        <v>1250</v>
      </c>
      <c r="E20" s="265" t="s">
        <v>1210</v>
      </c>
    </row>
    <row r="21" spans="2:5" x14ac:dyDescent="0.3">
      <c r="B21" s="366"/>
      <c r="C21" s="366"/>
      <c r="D21" s="263" t="s">
        <v>1251</v>
      </c>
      <c r="E21" s="265" t="s">
        <v>1240</v>
      </c>
    </row>
    <row r="22" spans="2:5" x14ac:dyDescent="0.3">
      <c r="B22" s="366"/>
      <c r="C22" s="366"/>
      <c r="D22" s="263" t="s">
        <v>1252</v>
      </c>
      <c r="E22" s="265" t="s">
        <v>1178</v>
      </c>
    </row>
    <row r="23" spans="2:5" x14ac:dyDescent="0.3">
      <c r="B23" s="366"/>
      <c r="C23" s="366"/>
      <c r="D23" s="263" t="s">
        <v>1253</v>
      </c>
      <c r="E23" s="265" t="s">
        <v>1244</v>
      </c>
    </row>
    <row r="24" spans="2:5" x14ac:dyDescent="0.3">
      <c r="B24" s="366"/>
      <c r="C24" s="366"/>
      <c r="D24" s="264" t="s">
        <v>1254</v>
      </c>
      <c r="E24" s="265" t="s">
        <v>1222</v>
      </c>
    </row>
    <row r="25" spans="2:5" x14ac:dyDescent="0.3">
      <c r="B25" s="367"/>
      <c r="C25" s="367"/>
      <c r="D25" s="264" t="s">
        <v>1255</v>
      </c>
      <c r="E25" s="267" t="s">
        <v>1179</v>
      </c>
    </row>
    <row r="26" spans="2:5" x14ac:dyDescent="0.3">
      <c r="B26" s="365" t="s">
        <v>1193</v>
      </c>
      <c r="C26" s="365" t="s">
        <v>1280</v>
      </c>
      <c r="D26" s="264" t="s">
        <v>1256</v>
      </c>
      <c r="E26" s="265" t="s">
        <v>1211</v>
      </c>
    </row>
    <row r="27" spans="2:5" x14ac:dyDescent="0.3">
      <c r="B27" s="366"/>
      <c r="C27" s="366"/>
      <c r="D27" s="264" t="s">
        <v>1257</v>
      </c>
      <c r="E27" s="265" t="s">
        <v>1212</v>
      </c>
    </row>
    <row r="28" spans="2:5" x14ac:dyDescent="0.3">
      <c r="B28" s="366"/>
      <c r="C28" s="366"/>
      <c r="D28" s="264" t="s">
        <v>1258</v>
      </c>
      <c r="E28" s="265" t="s">
        <v>1213</v>
      </c>
    </row>
    <row r="29" spans="2:5" x14ac:dyDescent="0.3">
      <c r="B29" s="366"/>
      <c r="C29" s="366"/>
      <c r="D29" s="264" t="s">
        <v>1259</v>
      </c>
      <c r="E29" s="265" t="s">
        <v>1214</v>
      </c>
    </row>
    <row r="30" spans="2:5" x14ac:dyDescent="0.3">
      <c r="B30" s="366"/>
      <c r="C30" s="366"/>
      <c r="D30" s="264" t="s">
        <v>1260</v>
      </c>
      <c r="E30" s="265" t="s">
        <v>1215</v>
      </c>
    </row>
    <row r="31" spans="2:5" x14ac:dyDescent="0.3">
      <c r="B31" s="366"/>
      <c r="C31" s="366"/>
      <c r="D31" s="264" t="s">
        <v>1261</v>
      </c>
      <c r="E31" s="265" t="s">
        <v>1546</v>
      </c>
    </row>
    <row r="32" spans="2:5" x14ac:dyDescent="0.3">
      <c r="B32" s="366"/>
      <c r="C32" s="366"/>
      <c r="D32" s="264" t="s">
        <v>1262</v>
      </c>
      <c r="E32" s="265" t="s">
        <v>1217</v>
      </c>
    </row>
    <row r="33" spans="2:5" x14ac:dyDescent="0.3">
      <c r="B33" s="366"/>
      <c r="C33" s="366"/>
      <c r="D33" s="264" t="s">
        <v>1263</v>
      </c>
      <c r="E33" s="265" t="s">
        <v>1243</v>
      </c>
    </row>
    <row r="34" spans="2:5" x14ac:dyDescent="0.3">
      <c r="B34" s="366"/>
      <c r="C34" s="366"/>
      <c r="D34" s="264" t="s">
        <v>1264</v>
      </c>
      <c r="E34" s="265" t="s">
        <v>1223</v>
      </c>
    </row>
    <row r="35" spans="2:5" x14ac:dyDescent="0.3">
      <c r="B35" s="367"/>
      <c r="C35" s="367"/>
      <c r="D35" s="264" t="s">
        <v>1265</v>
      </c>
      <c r="E35" s="265" t="s">
        <v>1224</v>
      </c>
    </row>
    <row r="36" spans="2:5" x14ac:dyDescent="0.3">
      <c r="B36" s="368" t="s">
        <v>1194</v>
      </c>
      <c r="C36" s="368" t="s">
        <v>1188</v>
      </c>
      <c r="D36" s="264" t="s">
        <v>1266</v>
      </c>
      <c r="E36" s="265" t="s">
        <v>1218</v>
      </c>
    </row>
    <row r="37" spans="2:5" x14ac:dyDescent="0.3">
      <c r="B37" s="368"/>
      <c r="C37" s="368"/>
      <c r="D37" s="264" t="s">
        <v>1267</v>
      </c>
      <c r="E37" s="265" t="s">
        <v>1219</v>
      </c>
    </row>
    <row r="38" spans="2:5" x14ac:dyDescent="0.3">
      <c r="B38" s="368"/>
      <c r="C38" s="368"/>
      <c r="D38" s="264" t="s">
        <v>1268</v>
      </c>
      <c r="E38" s="265" t="s">
        <v>1220</v>
      </c>
    </row>
    <row r="39" spans="2:5" x14ac:dyDescent="0.3">
      <c r="B39" s="368"/>
      <c r="C39" s="368"/>
      <c r="D39" s="264" t="s">
        <v>1269</v>
      </c>
      <c r="E39" s="265" t="s">
        <v>1221</v>
      </c>
    </row>
    <row r="40" spans="2:5" x14ac:dyDescent="0.3">
      <c r="B40" s="368"/>
      <c r="C40" s="368"/>
      <c r="D40" s="264" t="s">
        <v>1270</v>
      </c>
      <c r="E40" s="265" t="s">
        <v>1242</v>
      </c>
    </row>
    <row r="41" spans="2:5" x14ac:dyDescent="0.3">
      <c r="B41" s="368" t="s">
        <v>1418</v>
      </c>
      <c r="C41" s="368" t="s">
        <v>1225</v>
      </c>
      <c r="D41" s="264" t="s">
        <v>1454</v>
      </c>
      <c r="E41" s="265" t="s">
        <v>1226</v>
      </c>
    </row>
    <row r="42" spans="2:5" x14ac:dyDescent="0.3">
      <c r="B42" s="368"/>
      <c r="C42" s="368"/>
      <c r="D42" s="264" t="s">
        <v>1455</v>
      </c>
      <c r="E42" s="265" t="s">
        <v>1227</v>
      </c>
    </row>
    <row r="43" spans="2:5" x14ac:dyDescent="0.3">
      <c r="B43" s="368"/>
      <c r="C43" s="368"/>
      <c r="D43" s="263" t="s">
        <v>1271</v>
      </c>
      <c r="E43" s="265" t="s">
        <v>1228</v>
      </c>
    </row>
  </sheetData>
  <mergeCells count="13">
    <mergeCell ref="B2:E2"/>
    <mergeCell ref="C18:C25"/>
    <mergeCell ref="B18:B25"/>
    <mergeCell ref="B41:B43"/>
    <mergeCell ref="C41:C43"/>
    <mergeCell ref="B4:B14"/>
    <mergeCell ref="C4:C14"/>
    <mergeCell ref="B15:B17"/>
    <mergeCell ref="C15:C17"/>
    <mergeCell ref="B36:B40"/>
    <mergeCell ref="C36:C40"/>
    <mergeCell ref="C26:C35"/>
    <mergeCell ref="B26:B35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A957-59D2-487F-86F6-A51ED4895B30}">
  <dimension ref="B2:D22"/>
  <sheetViews>
    <sheetView showGridLines="0" showRowColHeaders="0" zoomScale="160" zoomScaleNormal="160" workbookViewId="0">
      <selection activeCell="D9" sqref="D9"/>
    </sheetView>
  </sheetViews>
  <sheetFormatPr baseColWidth="10" defaultRowHeight="14.4" x14ac:dyDescent="0.3"/>
  <cols>
    <col min="2" max="2" width="16.21875" customWidth="1"/>
    <col min="3" max="3" width="24" customWidth="1"/>
    <col min="4" max="4" width="22" customWidth="1"/>
  </cols>
  <sheetData>
    <row r="2" spans="2:4" x14ac:dyDescent="0.3">
      <c r="C2" s="325" t="s">
        <v>1575</v>
      </c>
      <c r="D2" s="325" t="s">
        <v>1159</v>
      </c>
    </row>
    <row r="3" spans="2:4" x14ac:dyDescent="0.3">
      <c r="B3" s="369" t="s">
        <v>1424</v>
      </c>
      <c r="C3" s="289" t="s">
        <v>1440</v>
      </c>
      <c r="D3" s="288" t="s">
        <v>1579</v>
      </c>
    </row>
    <row r="4" spans="2:4" x14ac:dyDescent="0.3">
      <c r="B4" s="369"/>
      <c r="C4" s="288" t="s">
        <v>1532</v>
      </c>
      <c r="D4" s="288" t="s">
        <v>1579</v>
      </c>
    </row>
    <row r="5" spans="2:4" ht="27.6" x14ac:dyDescent="0.3">
      <c r="B5" s="369"/>
      <c r="C5" s="288" t="s">
        <v>1547</v>
      </c>
      <c r="D5" s="290" t="s">
        <v>1580</v>
      </c>
    </row>
    <row r="6" spans="2:4" x14ac:dyDescent="0.3">
      <c r="B6" s="274" t="s">
        <v>1153</v>
      </c>
      <c r="C6" s="288" t="s">
        <v>1429</v>
      </c>
      <c r="D6" s="289" t="s">
        <v>1576</v>
      </c>
    </row>
    <row r="7" spans="2:4" x14ac:dyDescent="0.3">
      <c r="B7" s="369" t="s">
        <v>1441</v>
      </c>
      <c r="C7" s="288" t="s">
        <v>1430</v>
      </c>
      <c r="D7" s="289" t="s">
        <v>1576</v>
      </c>
    </row>
    <row r="8" spans="2:4" ht="27.6" x14ac:dyDescent="0.3">
      <c r="B8" s="369"/>
      <c r="C8" s="288" t="s">
        <v>1160</v>
      </c>
      <c r="D8" s="290" t="s">
        <v>1580</v>
      </c>
    </row>
    <row r="9" spans="2:4" ht="27.6" x14ac:dyDescent="0.3">
      <c r="B9" s="369"/>
      <c r="C9" s="290" t="s">
        <v>1451</v>
      </c>
      <c r="D9" s="290" t="s">
        <v>1580</v>
      </c>
    </row>
    <row r="10" spans="2:4" x14ac:dyDescent="0.3">
      <c r="B10" s="369"/>
      <c r="C10" s="290" t="s">
        <v>1444</v>
      </c>
      <c r="D10" s="290" t="s">
        <v>1577</v>
      </c>
    </row>
    <row r="11" spans="2:4" ht="27.6" x14ac:dyDescent="0.3">
      <c r="B11" s="369"/>
      <c r="C11" s="290" t="s">
        <v>1543</v>
      </c>
      <c r="D11" s="290" t="s">
        <v>1580</v>
      </c>
    </row>
    <row r="12" spans="2:4" ht="27.6" x14ac:dyDescent="0.3">
      <c r="B12" s="274" t="s">
        <v>1425</v>
      </c>
      <c r="C12" s="288" t="s">
        <v>1431</v>
      </c>
      <c r="D12" s="289" t="s">
        <v>1576</v>
      </c>
    </row>
    <row r="13" spans="2:4" x14ac:dyDescent="0.3">
      <c r="B13" s="274" t="s">
        <v>1426</v>
      </c>
      <c r="C13" s="288" t="s">
        <v>1452</v>
      </c>
      <c r="D13" s="289" t="s">
        <v>1578</v>
      </c>
    </row>
    <row r="14" spans="2:4" ht="27.6" x14ac:dyDescent="0.3">
      <c r="B14" s="369" t="s">
        <v>1539</v>
      </c>
      <c r="C14" s="288" t="s">
        <v>1551</v>
      </c>
      <c r="D14" s="289" t="s">
        <v>1576</v>
      </c>
    </row>
    <row r="15" spans="2:4" ht="27.6" x14ac:dyDescent="0.3">
      <c r="B15" s="369"/>
      <c r="C15" s="288" t="s">
        <v>1552</v>
      </c>
      <c r="D15" s="290" t="s">
        <v>1580</v>
      </c>
    </row>
    <row r="16" spans="2:4" ht="27.6" x14ac:dyDescent="0.3">
      <c r="B16" s="369" t="s">
        <v>1427</v>
      </c>
      <c r="C16" s="288" t="s">
        <v>1432</v>
      </c>
      <c r="D16" s="289" t="s">
        <v>1576</v>
      </c>
    </row>
    <row r="17" spans="2:4" ht="27.6" x14ac:dyDescent="0.3">
      <c r="B17" s="369"/>
      <c r="C17" s="291" t="s">
        <v>1433</v>
      </c>
      <c r="D17" s="290" t="s">
        <v>1580</v>
      </c>
    </row>
    <row r="18" spans="2:4" ht="27.6" x14ac:dyDescent="0.3">
      <c r="B18" s="369"/>
      <c r="C18" s="288" t="s">
        <v>1442</v>
      </c>
      <c r="D18" s="290" t="s">
        <v>1580</v>
      </c>
    </row>
    <row r="19" spans="2:4" ht="27.6" x14ac:dyDescent="0.3">
      <c r="B19" s="369"/>
      <c r="C19" s="288" t="s">
        <v>1535</v>
      </c>
      <c r="D19" s="290" t="s">
        <v>1580</v>
      </c>
    </row>
    <row r="20" spans="2:4" ht="27.6" x14ac:dyDescent="0.3">
      <c r="B20" s="369"/>
      <c r="C20" s="288" t="s">
        <v>1443</v>
      </c>
      <c r="D20" s="290" t="s">
        <v>1580</v>
      </c>
    </row>
    <row r="21" spans="2:4" ht="27.6" x14ac:dyDescent="0.3">
      <c r="B21" s="274" t="s">
        <v>1446</v>
      </c>
      <c r="C21" s="288" t="s">
        <v>1447</v>
      </c>
      <c r="D21" s="290" t="s">
        <v>1580</v>
      </c>
    </row>
    <row r="22" spans="2:4" ht="27.6" x14ac:dyDescent="0.3">
      <c r="B22" s="274" t="s">
        <v>1536</v>
      </c>
      <c r="C22" s="291" t="s">
        <v>1581</v>
      </c>
      <c r="D22" s="290" t="s">
        <v>1580</v>
      </c>
    </row>
  </sheetData>
  <mergeCells count="4">
    <mergeCell ref="B3:B5"/>
    <mergeCell ref="B7:B11"/>
    <mergeCell ref="B14:B15"/>
    <mergeCell ref="B16:B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9278-60A2-4E42-84C4-2ED75B6BA6F1}">
  <dimension ref="B2:AD1379"/>
  <sheetViews>
    <sheetView showGridLines="0" showRowColHeaders="0" topLeftCell="C1" zoomScale="130" zoomScaleNormal="130" workbookViewId="0">
      <selection activeCell="C5" sqref="C5"/>
    </sheetView>
  </sheetViews>
  <sheetFormatPr baseColWidth="10" defaultRowHeight="14.4" x14ac:dyDescent="0.3"/>
  <cols>
    <col min="1" max="1" width="5.88671875" customWidth="1"/>
    <col min="2" max="2" width="18" style="40" customWidth="1"/>
    <col min="3" max="3" width="34.109375" style="172" customWidth="1"/>
    <col min="4" max="4" width="15.5546875" style="40" customWidth="1"/>
    <col min="5" max="5" width="19.77734375" style="40" customWidth="1"/>
    <col min="6" max="6" width="21" style="304" customWidth="1"/>
    <col min="7" max="7" width="18.88671875" style="305" bestFit="1" customWidth="1"/>
    <col min="8" max="8" width="23.5546875" style="248" bestFit="1" customWidth="1"/>
    <col min="9" max="9" width="15.44140625" style="251" customWidth="1"/>
    <col min="10" max="10" width="11.5546875" style="39"/>
    <col min="11" max="11" width="15.88671875" style="39" customWidth="1"/>
    <col min="12" max="12" width="34.109375" style="39" bestFit="1" customWidth="1"/>
    <col min="13" max="30" width="11.5546875" style="39"/>
  </cols>
  <sheetData>
    <row r="2" spans="2:12" ht="14.4" customHeight="1" x14ac:dyDescent="0.3">
      <c r="B2" s="370" t="s">
        <v>1585</v>
      </c>
      <c r="C2" s="370"/>
      <c r="D2" s="370"/>
      <c r="E2" s="370"/>
      <c r="F2" s="370"/>
      <c r="G2" s="370"/>
      <c r="H2" s="370"/>
      <c r="I2" s="370"/>
      <c r="J2" s="173"/>
      <c r="K2" s="173"/>
    </row>
    <row r="3" spans="2:12" ht="14.4" customHeight="1" x14ac:dyDescent="0.3">
      <c r="B3" s="370"/>
      <c r="C3" s="370"/>
      <c r="D3" s="370"/>
      <c r="E3" s="370"/>
      <c r="F3" s="370"/>
      <c r="G3" s="370"/>
      <c r="H3" s="370"/>
      <c r="I3" s="370"/>
      <c r="J3" s="173"/>
      <c r="K3" s="173"/>
    </row>
    <row r="4" spans="2:12" x14ac:dyDescent="0.3">
      <c r="B4" s="243" t="s">
        <v>1183</v>
      </c>
      <c r="C4" s="244" t="s">
        <v>1184</v>
      </c>
      <c r="D4" s="243" t="s">
        <v>1182</v>
      </c>
      <c r="E4" s="243" t="s">
        <v>1174</v>
      </c>
      <c r="F4" s="245" t="s">
        <v>1175</v>
      </c>
      <c r="G4" s="246" t="s">
        <v>1458</v>
      </c>
      <c r="H4" s="238" t="s">
        <v>1566</v>
      </c>
      <c r="I4" s="249" t="s">
        <v>1567</v>
      </c>
    </row>
    <row r="5" spans="2:12" x14ac:dyDescent="0.3">
      <c r="B5" s="2">
        <v>1</v>
      </c>
      <c r="C5" s="41" t="s">
        <v>1586</v>
      </c>
      <c r="D5" s="2">
        <v>1</v>
      </c>
      <c r="E5" s="2" t="s">
        <v>3</v>
      </c>
      <c r="F5" s="294">
        <v>240000</v>
      </c>
      <c r="G5" s="247">
        <v>256666.66666666666</v>
      </c>
      <c r="H5" s="295">
        <f>G5-F5</f>
        <v>16666.666666666657</v>
      </c>
      <c r="I5" s="250">
        <f>H5/G5</f>
        <v>6.4935064935064901E-2</v>
      </c>
    </row>
    <row r="6" spans="2:12" x14ac:dyDescent="0.3">
      <c r="B6" s="2">
        <v>2</v>
      </c>
      <c r="C6" s="41" t="s">
        <v>2</v>
      </c>
      <c r="D6" s="2">
        <v>1</v>
      </c>
      <c r="E6" s="2" t="s">
        <v>3</v>
      </c>
      <c r="F6" s="294">
        <v>240000</v>
      </c>
      <c r="G6" s="247">
        <v>248166.66666666666</v>
      </c>
      <c r="H6" s="295">
        <f t="shared" ref="H6:H69" si="0">G6-F6</f>
        <v>8166.666666666657</v>
      </c>
      <c r="I6" s="250">
        <f t="shared" ref="I6:I69" si="1">H6/G6</f>
        <v>3.2907991940899897E-2</v>
      </c>
    </row>
    <row r="7" spans="2:12" x14ac:dyDescent="0.3">
      <c r="B7" s="2">
        <v>3</v>
      </c>
      <c r="C7" s="41" t="s">
        <v>4</v>
      </c>
      <c r="D7" s="2">
        <v>1</v>
      </c>
      <c r="E7" s="2" t="s">
        <v>5</v>
      </c>
      <c r="F7" s="294">
        <v>4900</v>
      </c>
      <c r="G7" s="247">
        <v>6000</v>
      </c>
      <c r="H7" s="295">
        <f t="shared" si="0"/>
        <v>1100</v>
      </c>
      <c r="I7" s="250">
        <f t="shared" si="1"/>
        <v>0.18333333333333332</v>
      </c>
    </row>
    <row r="8" spans="2:12" x14ac:dyDescent="0.3">
      <c r="B8" s="2">
        <v>4</v>
      </c>
      <c r="C8" s="41" t="s">
        <v>6</v>
      </c>
      <c r="D8" s="2">
        <v>1</v>
      </c>
      <c r="E8" s="2" t="s">
        <v>3</v>
      </c>
      <c r="F8" s="294">
        <v>200000</v>
      </c>
      <c r="G8" s="247">
        <v>204000</v>
      </c>
      <c r="H8" s="295">
        <f t="shared" si="0"/>
        <v>4000</v>
      </c>
      <c r="I8" s="250">
        <f t="shared" si="1"/>
        <v>1.9607843137254902E-2</v>
      </c>
      <c r="K8" s="325" t="s">
        <v>1182</v>
      </c>
      <c r="L8" s="325" t="s">
        <v>1965</v>
      </c>
    </row>
    <row r="9" spans="2:12" x14ac:dyDescent="0.3">
      <c r="B9" s="2">
        <v>5</v>
      </c>
      <c r="C9" s="41" t="s">
        <v>7</v>
      </c>
      <c r="D9" s="2">
        <v>1</v>
      </c>
      <c r="E9" s="2" t="s">
        <v>5</v>
      </c>
      <c r="F9" s="294">
        <v>4100</v>
      </c>
      <c r="G9" s="247">
        <v>5000</v>
      </c>
      <c r="H9" s="295">
        <f t="shared" si="0"/>
        <v>900</v>
      </c>
      <c r="I9" s="250">
        <f t="shared" si="1"/>
        <v>0.18</v>
      </c>
      <c r="K9" s="335">
        <v>1</v>
      </c>
      <c r="L9" s="335" t="s">
        <v>1945</v>
      </c>
    </row>
    <row r="10" spans="2:12" x14ac:dyDescent="0.3">
      <c r="B10" s="2">
        <v>6</v>
      </c>
      <c r="C10" s="41" t="s">
        <v>8</v>
      </c>
      <c r="D10" s="2">
        <v>5</v>
      </c>
      <c r="E10" s="2" t="s">
        <v>5</v>
      </c>
      <c r="F10" s="294">
        <v>13400</v>
      </c>
      <c r="G10" s="247">
        <v>16200</v>
      </c>
      <c r="H10" s="295">
        <f t="shared" si="0"/>
        <v>2800</v>
      </c>
      <c r="I10" s="250">
        <f t="shared" si="1"/>
        <v>0.1728395061728395</v>
      </c>
      <c r="K10" s="335">
        <v>2</v>
      </c>
      <c r="L10" s="335" t="s">
        <v>1946</v>
      </c>
    </row>
    <row r="11" spans="2:12" x14ac:dyDescent="0.3">
      <c r="B11" s="2">
        <v>7</v>
      </c>
      <c r="C11" s="41" t="s">
        <v>9</v>
      </c>
      <c r="D11" s="2">
        <v>2</v>
      </c>
      <c r="E11" s="2" t="s">
        <v>10</v>
      </c>
      <c r="F11" s="294">
        <v>95440</v>
      </c>
      <c r="G11" s="247">
        <v>101000</v>
      </c>
      <c r="H11" s="295">
        <f t="shared" si="0"/>
        <v>5560</v>
      </c>
      <c r="I11" s="250">
        <f t="shared" si="1"/>
        <v>5.504950495049505E-2</v>
      </c>
      <c r="K11" s="335">
        <v>4</v>
      </c>
      <c r="L11" s="335" t="s">
        <v>1947</v>
      </c>
    </row>
    <row r="12" spans="2:12" x14ac:dyDescent="0.3">
      <c r="B12" s="2">
        <v>8</v>
      </c>
      <c r="C12" s="41" t="s">
        <v>11</v>
      </c>
      <c r="D12" s="2">
        <v>12</v>
      </c>
      <c r="E12" s="2" t="s">
        <v>12</v>
      </c>
      <c r="F12" s="294">
        <v>13499.36</v>
      </c>
      <c r="G12" s="247">
        <v>16000</v>
      </c>
      <c r="H12" s="295">
        <f t="shared" si="0"/>
        <v>2500.6399999999994</v>
      </c>
      <c r="I12" s="250">
        <f t="shared" si="1"/>
        <v>0.15628999999999996</v>
      </c>
      <c r="K12" s="335">
        <v>5</v>
      </c>
      <c r="L12" s="335" t="s">
        <v>1948</v>
      </c>
    </row>
    <row r="13" spans="2:12" x14ac:dyDescent="0.3">
      <c r="B13" s="2">
        <v>9</v>
      </c>
      <c r="C13" s="41" t="s">
        <v>13</v>
      </c>
      <c r="D13" s="2">
        <v>1</v>
      </c>
      <c r="E13" s="2" t="s">
        <v>5</v>
      </c>
      <c r="F13" s="294">
        <v>3310</v>
      </c>
      <c r="G13" s="247">
        <v>4683.333333333333</v>
      </c>
      <c r="H13" s="295">
        <f t="shared" si="0"/>
        <v>1373.333333333333</v>
      </c>
      <c r="I13" s="250">
        <f t="shared" si="1"/>
        <v>0.29323843416370104</v>
      </c>
      <c r="K13" s="335">
        <v>6</v>
      </c>
      <c r="L13" s="335" t="s">
        <v>1949</v>
      </c>
    </row>
    <row r="14" spans="2:12" x14ac:dyDescent="0.3">
      <c r="B14" s="2">
        <v>10</v>
      </c>
      <c r="C14" s="41" t="s">
        <v>14</v>
      </c>
      <c r="D14" s="2">
        <v>1</v>
      </c>
      <c r="E14" s="2" t="s">
        <v>3</v>
      </c>
      <c r="F14" s="294">
        <v>190000</v>
      </c>
      <c r="G14" s="247">
        <v>220500</v>
      </c>
      <c r="H14" s="295">
        <f t="shared" si="0"/>
        <v>30500</v>
      </c>
      <c r="I14" s="250">
        <f t="shared" si="1"/>
        <v>0.1383219954648526</v>
      </c>
      <c r="K14" s="335">
        <v>7</v>
      </c>
      <c r="L14" s="335" t="s">
        <v>1950</v>
      </c>
    </row>
    <row r="15" spans="2:12" x14ac:dyDescent="0.3">
      <c r="B15" s="2">
        <v>12</v>
      </c>
      <c r="C15" s="41" t="s">
        <v>15</v>
      </c>
      <c r="D15" s="2">
        <v>6</v>
      </c>
      <c r="E15" s="2" t="s">
        <v>16</v>
      </c>
      <c r="F15" s="294">
        <v>37000</v>
      </c>
      <c r="G15" s="247">
        <v>45000</v>
      </c>
      <c r="H15" s="295">
        <f t="shared" si="0"/>
        <v>8000</v>
      </c>
      <c r="I15" s="250">
        <f t="shared" si="1"/>
        <v>0.17777777777777778</v>
      </c>
      <c r="K15" s="335">
        <v>8</v>
      </c>
      <c r="L15" s="335" t="s">
        <v>1951</v>
      </c>
    </row>
    <row r="16" spans="2:12" x14ac:dyDescent="0.3">
      <c r="B16" s="2">
        <v>14</v>
      </c>
      <c r="C16" s="41" t="s">
        <v>17</v>
      </c>
      <c r="D16" s="2">
        <v>1</v>
      </c>
      <c r="E16" s="2" t="s">
        <v>3</v>
      </c>
      <c r="F16" s="294">
        <v>214000</v>
      </c>
      <c r="G16" s="247">
        <v>222000</v>
      </c>
      <c r="H16" s="295">
        <f t="shared" si="0"/>
        <v>8000</v>
      </c>
      <c r="I16" s="250">
        <f t="shared" si="1"/>
        <v>3.6036036036036036E-2</v>
      </c>
      <c r="K16" s="335">
        <v>9</v>
      </c>
      <c r="L16" s="335" t="s">
        <v>1952</v>
      </c>
    </row>
    <row r="17" spans="2:12" x14ac:dyDescent="0.3">
      <c r="B17" s="2">
        <v>15</v>
      </c>
      <c r="C17" s="41" t="s">
        <v>18</v>
      </c>
      <c r="D17" s="2">
        <v>14</v>
      </c>
      <c r="E17" s="2" t="s">
        <v>16</v>
      </c>
      <c r="F17" s="294">
        <v>4721</v>
      </c>
      <c r="G17" s="247">
        <v>6550</v>
      </c>
      <c r="H17" s="295">
        <f t="shared" si="0"/>
        <v>1829</v>
      </c>
      <c r="I17" s="250">
        <f t="shared" si="1"/>
        <v>0.27923664122137404</v>
      </c>
      <c r="K17" s="335">
        <v>10</v>
      </c>
      <c r="L17" s="335" t="s">
        <v>1953</v>
      </c>
    </row>
    <row r="18" spans="2:12" x14ac:dyDescent="0.3">
      <c r="B18" s="2">
        <v>16</v>
      </c>
      <c r="C18" s="41" t="s">
        <v>19</v>
      </c>
      <c r="D18" s="2">
        <v>6</v>
      </c>
      <c r="E18" s="2" t="s">
        <v>16</v>
      </c>
      <c r="F18" s="294">
        <v>12500</v>
      </c>
      <c r="G18" s="247">
        <v>16500</v>
      </c>
      <c r="H18" s="295">
        <f t="shared" si="0"/>
        <v>4000</v>
      </c>
      <c r="I18" s="250">
        <f t="shared" si="1"/>
        <v>0.24242424242424243</v>
      </c>
      <c r="K18" s="335">
        <v>11</v>
      </c>
      <c r="L18" s="335" t="s">
        <v>1958</v>
      </c>
    </row>
    <row r="19" spans="2:12" x14ac:dyDescent="0.3">
      <c r="B19" s="2">
        <v>18</v>
      </c>
      <c r="C19" s="41" t="s">
        <v>20</v>
      </c>
      <c r="D19" s="2">
        <v>14</v>
      </c>
      <c r="E19" s="2" t="s">
        <v>21</v>
      </c>
      <c r="F19" s="294">
        <v>5619</v>
      </c>
      <c r="G19" s="247">
        <v>6950</v>
      </c>
      <c r="H19" s="295">
        <f t="shared" si="0"/>
        <v>1331</v>
      </c>
      <c r="I19" s="250">
        <f t="shared" si="1"/>
        <v>0.19151079136690646</v>
      </c>
      <c r="K19" s="335">
        <v>12</v>
      </c>
      <c r="L19" s="335" t="s">
        <v>1954</v>
      </c>
    </row>
    <row r="20" spans="2:12" x14ac:dyDescent="0.3">
      <c r="B20" s="2">
        <v>21</v>
      </c>
      <c r="C20" s="41" t="s">
        <v>1587</v>
      </c>
      <c r="D20" s="2">
        <v>4</v>
      </c>
      <c r="E20" s="2" t="s">
        <v>16</v>
      </c>
      <c r="F20" s="294">
        <v>42900</v>
      </c>
      <c r="G20" s="247">
        <v>57683.333333333336</v>
      </c>
      <c r="H20" s="295">
        <f t="shared" si="0"/>
        <v>14783.333333333336</v>
      </c>
      <c r="I20" s="250">
        <f t="shared" si="1"/>
        <v>0.25628431089280557</v>
      </c>
      <c r="K20" s="335">
        <v>13</v>
      </c>
      <c r="L20" s="335" t="s">
        <v>1955</v>
      </c>
    </row>
    <row r="21" spans="2:12" x14ac:dyDescent="0.3">
      <c r="B21" s="2">
        <v>22</v>
      </c>
      <c r="C21" s="41" t="s">
        <v>22</v>
      </c>
      <c r="D21" s="2">
        <v>14</v>
      </c>
      <c r="E21" s="2" t="s">
        <v>23</v>
      </c>
      <c r="F21" s="294">
        <v>5767.2713999999996</v>
      </c>
      <c r="G21" s="247">
        <v>8200</v>
      </c>
      <c r="H21" s="295">
        <f t="shared" si="0"/>
        <v>2432.7286000000004</v>
      </c>
      <c r="I21" s="250">
        <f t="shared" si="1"/>
        <v>0.29667421951219519</v>
      </c>
      <c r="K21" s="335">
        <v>14</v>
      </c>
      <c r="L21" s="335" t="s">
        <v>1956</v>
      </c>
    </row>
    <row r="22" spans="2:12" x14ac:dyDescent="0.3">
      <c r="B22" s="2">
        <v>23</v>
      </c>
      <c r="C22" s="41" t="s">
        <v>24</v>
      </c>
      <c r="D22" s="2">
        <v>10</v>
      </c>
      <c r="E22" s="2" t="s">
        <v>12</v>
      </c>
      <c r="F22" s="294">
        <v>7973</v>
      </c>
      <c r="G22" s="247">
        <v>8900</v>
      </c>
      <c r="H22" s="295">
        <f t="shared" si="0"/>
        <v>927</v>
      </c>
      <c r="I22" s="250">
        <f t="shared" si="1"/>
        <v>0.10415730337078652</v>
      </c>
      <c r="K22" s="335">
        <v>16</v>
      </c>
      <c r="L22" s="335" t="s">
        <v>1957</v>
      </c>
    </row>
    <row r="23" spans="2:12" x14ac:dyDescent="0.3">
      <c r="B23" s="2">
        <v>28</v>
      </c>
      <c r="C23" s="41" t="s">
        <v>1588</v>
      </c>
      <c r="D23" s="2">
        <v>16</v>
      </c>
      <c r="E23" s="2" t="s">
        <v>12</v>
      </c>
      <c r="F23" s="294">
        <v>99</v>
      </c>
      <c r="G23" s="247">
        <v>300</v>
      </c>
      <c r="H23" s="295">
        <f t="shared" si="0"/>
        <v>201</v>
      </c>
      <c r="I23" s="250">
        <f t="shared" si="1"/>
        <v>0.67</v>
      </c>
    </row>
    <row r="24" spans="2:12" x14ac:dyDescent="0.3">
      <c r="B24" s="2">
        <v>30</v>
      </c>
      <c r="C24" s="41" t="s">
        <v>25</v>
      </c>
      <c r="D24" s="2">
        <v>16</v>
      </c>
      <c r="E24" s="2" t="s">
        <v>12</v>
      </c>
      <c r="F24" s="294">
        <v>99</v>
      </c>
      <c r="G24" s="247">
        <v>200</v>
      </c>
      <c r="H24" s="295">
        <f t="shared" si="0"/>
        <v>101</v>
      </c>
      <c r="I24" s="250">
        <f t="shared" si="1"/>
        <v>0.505</v>
      </c>
    </row>
    <row r="25" spans="2:12" x14ac:dyDescent="0.3">
      <c r="B25" s="2">
        <v>31</v>
      </c>
      <c r="C25" s="41" t="s">
        <v>26</v>
      </c>
      <c r="D25" s="2">
        <v>5</v>
      </c>
      <c r="E25" s="2" t="s">
        <v>27</v>
      </c>
      <c r="F25" s="294">
        <v>510000</v>
      </c>
      <c r="G25" s="247">
        <v>568000</v>
      </c>
      <c r="H25" s="295">
        <f t="shared" si="0"/>
        <v>58000</v>
      </c>
      <c r="I25" s="250">
        <f t="shared" si="1"/>
        <v>0.10211267605633803</v>
      </c>
    </row>
    <row r="26" spans="2:12" x14ac:dyDescent="0.3">
      <c r="B26" s="2">
        <v>33</v>
      </c>
      <c r="C26" s="41" t="s">
        <v>28</v>
      </c>
      <c r="D26" s="2">
        <v>9</v>
      </c>
      <c r="E26" s="2" t="s">
        <v>12</v>
      </c>
      <c r="F26" s="294">
        <v>308500</v>
      </c>
      <c r="G26" s="247">
        <v>349166.66666666669</v>
      </c>
      <c r="H26" s="295">
        <f t="shared" si="0"/>
        <v>40666.666666666686</v>
      </c>
      <c r="I26" s="250">
        <f t="shared" si="1"/>
        <v>0.11646778042959433</v>
      </c>
    </row>
    <row r="27" spans="2:12" x14ac:dyDescent="0.3">
      <c r="B27" s="2">
        <v>34</v>
      </c>
      <c r="C27" s="41" t="s">
        <v>29</v>
      </c>
      <c r="D27" s="2">
        <v>9</v>
      </c>
      <c r="E27" s="2" t="s">
        <v>30</v>
      </c>
      <c r="F27" s="294">
        <v>274161.71999999997</v>
      </c>
      <c r="G27" s="247">
        <v>303166.66666666669</v>
      </c>
      <c r="H27" s="295">
        <f t="shared" si="0"/>
        <v>29004.946666666714</v>
      </c>
      <c r="I27" s="250">
        <f t="shared" si="1"/>
        <v>9.5673271028037535E-2</v>
      </c>
    </row>
    <row r="28" spans="2:12" x14ac:dyDescent="0.3">
      <c r="B28" s="2">
        <v>35</v>
      </c>
      <c r="C28" s="41" t="s">
        <v>31</v>
      </c>
      <c r="D28" s="2">
        <v>14</v>
      </c>
      <c r="E28" s="2" t="s">
        <v>32</v>
      </c>
      <c r="F28" s="294">
        <v>21766</v>
      </c>
      <c r="G28" s="247">
        <v>25000</v>
      </c>
      <c r="H28" s="295">
        <f t="shared" si="0"/>
        <v>3234</v>
      </c>
      <c r="I28" s="250">
        <f t="shared" si="1"/>
        <v>0.12936</v>
      </c>
    </row>
    <row r="29" spans="2:12" x14ac:dyDescent="0.3">
      <c r="B29" s="2">
        <v>38</v>
      </c>
      <c r="C29" s="41" t="s">
        <v>33</v>
      </c>
      <c r="D29" s="2">
        <v>10</v>
      </c>
      <c r="E29" s="2" t="s">
        <v>12</v>
      </c>
      <c r="F29" s="294">
        <v>259</v>
      </c>
      <c r="G29" s="247">
        <v>500</v>
      </c>
      <c r="H29" s="295">
        <f t="shared" si="0"/>
        <v>241</v>
      </c>
      <c r="I29" s="250">
        <f t="shared" si="1"/>
        <v>0.48199999999999998</v>
      </c>
    </row>
    <row r="30" spans="2:12" x14ac:dyDescent="0.3">
      <c r="B30" s="2">
        <v>39</v>
      </c>
      <c r="C30" s="41" t="s">
        <v>34</v>
      </c>
      <c r="D30" s="2">
        <v>2</v>
      </c>
      <c r="E30" s="2" t="s">
        <v>35</v>
      </c>
      <c r="F30" s="294">
        <v>2880</v>
      </c>
      <c r="G30" s="247">
        <v>3000</v>
      </c>
      <c r="H30" s="295">
        <f t="shared" si="0"/>
        <v>120</v>
      </c>
      <c r="I30" s="250">
        <f t="shared" si="1"/>
        <v>0.04</v>
      </c>
    </row>
    <row r="31" spans="2:12" x14ac:dyDescent="0.3">
      <c r="B31" s="2">
        <v>40</v>
      </c>
      <c r="C31" s="41" t="s">
        <v>36</v>
      </c>
      <c r="D31" s="2">
        <v>4</v>
      </c>
      <c r="E31" s="2" t="s">
        <v>32</v>
      </c>
      <c r="F31" s="294">
        <v>26645</v>
      </c>
      <c r="G31" s="247">
        <v>32166.666666666668</v>
      </c>
      <c r="H31" s="295">
        <f t="shared" si="0"/>
        <v>5521.6666666666679</v>
      </c>
      <c r="I31" s="250">
        <f t="shared" si="1"/>
        <v>0.17165803108808295</v>
      </c>
    </row>
    <row r="32" spans="2:12" x14ac:dyDescent="0.3">
      <c r="B32" s="2">
        <v>41</v>
      </c>
      <c r="C32" s="41" t="s">
        <v>37</v>
      </c>
      <c r="D32" s="2">
        <v>8</v>
      </c>
      <c r="E32" s="2" t="s">
        <v>16</v>
      </c>
      <c r="F32" s="294">
        <v>24000</v>
      </c>
      <c r="G32" s="247">
        <v>29000</v>
      </c>
      <c r="H32" s="295">
        <f t="shared" si="0"/>
        <v>5000</v>
      </c>
      <c r="I32" s="250">
        <f t="shared" si="1"/>
        <v>0.17241379310344829</v>
      </c>
    </row>
    <row r="33" spans="2:9" x14ac:dyDescent="0.3">
      <c r="B33" s="2">
        <v>42</v>
      </c>
      <c r="C33" s="41" t="s">
        <v>38</v>
      </c>
      <c r="D33" s="2">
        <v>8</v>
      </c>
      <c r="E33" s="2" t="s">
        <v>39</v>
      </c>
      <c r="F33" s="294">
        <v>410576</v>
      </c>
      <c r="G33" s="247">
        <v>459600</v>
      </c>
      <c r="H33" s="295">
        <f t="shared" si="0"/>
        <v>49024</v>
      </c>
      <c r="I33" s="250">
        <f t="shared" si="1"/>
        <v>0.10666666666666667</v>
      </c>
    </row>
    <row r="34" spans="2:9" x14ac:dyDescent="0.3">
      <c r="B34" s="2">
        <v>43</v>
      </c>
      <c r="C34" s="41" t="s">
        <v>40</v>
      </c>
      <c r="D34" s="2">
        <v>8</v>
      </c>
      <c r="E34" s="2" t="s">
        <v>41</v>
      </c>
      <c r="F34" s="294">
        <v>90000</v>
      </c>
      <c r="G34" s="247">
        <v>103800</v>
      </c>
      <c r="H34" s="295">
        <f t="shared" si="0"/>
        <v>13800</v>
      </c>
      <c r="I34" s="250">
        <f t="shared" si="1"/>
        <v>0.13294797687861271</v>
      </c>
    </row>
    <row r="35" spans="2:9" x14ac:dyDescent="0.3">
      <c r="B35" s="2">
        <v>44</v>
      </c>
      <c r="C35" s="41" t="s">
        <v>42</v>
      </c>
      <c r="D35" s="2">
        <v>5</v>
      </c>
      <c r="E35" s="2" t="s">
        <v>16</v>
      </c>
      <c r="F35" s="294">
        <v>42000</v>
      </c>
      <c r="G35" s="247">
        <v>56833.333333333336</v>
      </c>
      <c r="H35" s="295">
        <f t="shared" si="0"/>
        <v>14833.333333333336</v>
      </c>
      <c r="I35" s="250">
        <f t="shared" si="1"/>
        <v>0.2609970674486804</v>
      </c>
    </row>
    <row r="36" spans="2:9" x14ac:dyDescent="0.3">
      <c r="B36" s="2">
        <v>45</v>
      </c>
      <c r="C36" s="41" t="s">
        <v>43</v>
      </c>
      <c r="D36" s="2">
        <v>4</v>
      </c>
      <c r="E36" s="2" t="s">
        <v>21</v>
      </c>
      <c r="F36" s="294">
        <v>23138</v>
      </c>
      <c r="G36" s="247">
        <v>26883.333333333332</v>
      </c>
      <c r="H36" s="295">
        <f t="shared" si="0"/>
        <v>3745.3333333333321</v>
      </c>
      <c r="I36" s="250">
        <f t="shared" si="1"/>
        <v>0.13931804091754491</v>
      </c>
    </row>
    <row r="37" spans="2:9" x14ac:dyDescent="0.3">
      <c r="B37" s="2">
        <v>46</v>
      </c>
      <c r="C37" s="41" t="s">
        <v>44</v>
      </c>
      <c r="D37" s="2">
        <v>4</v>
      </c>
      <c r="E37" s="2" t="s">
        <v>32</v>
      </c>
      <c r="F37" s="294">
        <v>68939</v>
      </c>
      <c r="G37" s="247">
        <v>78600</v>
      </c>
      <c r="H37" s="295">
        <f t="shared" si="0"/>
        <v>9661</v>
      </c>
      <c r="I37" s="250">
        <f t="shared" si="1"/>
        <v>0.12291348600508906</v>
      </c>
    </row>
    <row r="38" spans="2:9" x14ac:dyDescent="0.3">
      <c r="B38" s="2">
        <v>47</v>
      </c>
      <c r="C38" s="41" t="s">
        <v>45</v>
      </c>
      <c r="D38" s="2">
        <v>4</v>
      </c>
      <c r="E38" s="2" t="s">
        <v>32</v>
      </c>
      <c r="F38" s="294">
        <v>73173</v>
      </c>
      <c r="G38" s="247">
        <v>84183.333333333328</v>
      </c>
      <c r="H38" s="295">
        <f t="shared" si="0"/>
        <v>11010.333333333328</v>
      </c>
      <c r="I38" s="250">
        <f t="shared" si="1"/>
        <v>0.13078994258562657</v>
      </c>
    </row>
    <row r="39" spans="2:9" x14ac:dyDescent="0.3">
      <c r="B39" s="2">
        <v>48</v>
      </c>
      <c r="C39" s="41" t="s">
        <v>46</v>
      </c>
      <c r="D39" s="2">
        <v>4</v>
      </c>
      <c r="E39" s="2" t="s">
        <v>16</v>
      </c>
      <c r="F39" s="294">
        <v>265625</v>
      </c>
      <c r="G39" s="247">
        <v>291666.66666666669</v>
      </c>
      <c r="H39" s="295">
        <f t="shared" si="0"/>
        <v>26041.666666666686</v>
      </c>
      <c r="I39" s="250">
        <f t="shared" si="1"/>
        <v>8.9285714285714343E-2</v>
      </c>
    </row>
    <row r="40" spans="2:9" x14ac:dyDescent="0.3">
      <c r="B40" s="2">
        <v>49</v>
      </c>
      <c r="C40" s="41" t="s">
        <v>47</v>
      </c>
      <c r="D40" s="2">
        <v>14</v>
      </c>
      <c r="E40" s="2" t="s">
        <v>32</v>
      </c>
      <c r="F40" s="294">
        <v>4943</v>
      </c>
      <c r="G40" s="247">
        <v>6200</v>
      </c>
      <c r="H40" s="295">
        <f t="shared" si="0"/>
        <v>1257</v>
      </c>
      <c r="I40" s="250">
        <f t="shared" si="1"/>
        <v>0.20274193548387096</v>
      </c>
    </row>
    <row r="41" spans="2:9" x14ac:dyDescent="0.3">
      <c r="B41" s="2">
        <v>50</v>
      </c>
      <c r="C41" s="41" t="s">
        <v>1589</v>
      </c>
      <c r="D41" s="2">
        <v>14</v>
      </c>
      <c r="E41" s="2" t="s">
        <v>32</v>
      </c>
      <c r="F41" s="294">
        <v>11156</v>
      </c>
      <c r="G41" s="247">
        <v>15400</v>
      </c>
      <c r="H41" s="295">
        <f t="shared" si="0"/>
        <v>4244</v>
      </c>
      <c r="I41" s="250">
        <f t="shared" si="1"/>
        <v>0.2755844155844156</v>
      </c>
    </row>
    <row r="42" spans="2:9" x14ac:dyDescent="0.3">
      <c r="B42" s="2">
        <v>55</v>
      </c>
      <c r="C42" s="41" t="s">
        <v>48</v>
      </c>
      <c r="D42" s="2">
        <v>6</v>
      </c>
      <c r="E42" s="2" t="s">
        <v>32</v>
      </c>
      <c r="F42" s="294">
        <v>28950</v>
      </c>
      <c r="G42" s="247">
        <v>34500</v>
      </c>
      <c r="H42" s="295">
        <f t="shared" si="0"/>
        <v>5550</v>
      </c>
      <c r="I42" s="250">
        <f t="shared" si="1"/>
        <v>0.16086956521739129</v>
      </c>
    </row>
    <row r="43" spans="2:9" x14ac:dyDescent="0.3">
      <c r="B43" s="2">
        <v>59</v>
      </c>
      <c r="C43" s="41" t="s">
        <v>49</v>
      </c>
      <c r="D43" s="2">
        <v>14</v>
      </c>
      <c r="E43" s="2" t="s">
        <v>50</v>
      </c>
      <c r="F43" s="294">
        <v>167.5384</v>
      </c>
      <c r="G43" s="247">
        <v>300</v>
      </c>
      <c r="H43" s="295">
        <f t="shared" si="0"/>
        <v>132.4616</v>
      </c>
      <c r="I43" s="250">
        <f t="shared" si="1"/>
        <v>0.44153866666666669</v>
      </c>
    </row>
    <row r="44" spans="2:9" x14ac:dyDescent="0.3">
      <c r="B44" s="2">
        <v>61</v>
      </c>
      <c r="C44" s="41" t="s">
        <v>1590</v>
      </c>
      <c r="D44" s="2">
        <v>6</v>
      </c>
      <c r="E44" s="2" t="s">
        <v>32</v>
      </c>
      <c r="F44" s="294">
        <v>7300</v>
      </c>
      <c r="G44" s="247">
        <v>9500</v>
      </c>
      <c r="H44" s="295">
        <f t="shared" si="0"/>
        <v>2200</v>
      </c>
      <c r="I44" s="250">
        <f t="shared" si="1"/>
        <v>0.23157894736842105</v>
      </c>
    </row>
    <row r="45" spans="2:9" x14ac:dyDescent="0.3">
      <c r="B45" s="2">
        <v>63</v>
      </c>
      <c r="C45" s="41" t="s">
        <v>51</v>
      </c>
      <c r="D45" s="2">
        <v>9</v>
      </c>
      <c r="E45" s="2" t="s">
        <v>12</v>
      </c>
      <c r="F45" s="294">
        <v>12000</v>
      </c>
      <c r="G45" s="247">
        <v>25000</v>
      </c>
      <c r="H45" s="295">
        <f t="shared" si="0"/>
        <v>13000</v>
      </c>
      <c r="I45" s="250">
        <f t="shared" si="1"/>
        <v>0.52</v>
      </c>
    </row>
    <row r="46" spans="2:9" x14ac:dyDescent="0.3">
      <c r="B46" s="2">
        <v>64</v>
      </c>
      <c r="C46" s="41" t="s">
        <v>52</v>
      </c>
      <c r="D46" s="2">
        <v>14</v>
      </c>
      <c r="E46" s="2" t="s">
        <v>21</v>
      </c>
      <c r="F46" s="294">
        <v>4500</v>
      </c>
      <c r="G46" s="247">
        <v>5133.333333333333</v>
      </c>
      <c r="H46" s="295">
        <f t="shared" si="0"/>
        <v>633.33333333333303</v>
      </c>
      <c r="I46" s="250">
        <f t="shared" si="1"/>
        <v>0.12337662337662332</v>
      </c>
    </row>
    <row r="47" spans="2:9" x14ac:dyDescent="0.3">
      <c r="B47" s="2">
        <v>65</v>
      </c>
      <c r="C47" s="41" t="s">
        <v>53</v>
      </c>
      <c r="D47" s="2">
        <v>4</v>
      </c>
      <c r="E47" s="2" t="s">
        <v>32</v>
      </c>
      <c r="F47" s="294">
        <v>98000</v>
      </c>
      <c r="G47" s="247">
        <v>117000</v>
      </c>
      <c r="H47" s="295">
        <f t="shared" si="0"/>
        <v>19000</v>
      </c>
      <c r="I47" s="250">
        <f t="shared" si="1"/>
        <v>0.1623931623931624</v>
      </c>
    </row>
    <row r="48" spans="2:9" x14ac:dyDescent="0.3">
      <c r="B48" s="2">
        <v>66</v>
      </c>
      <c r="C48" s="41" t="s">
        <v>54</v>
      </c>
      <c r="D48" s="2">
        <v>9</v>
      </c>
      <c r="E48" s="2" t="s">
        <v>12</v>
      </c>
      <c r="F48" s="294">
        <v>28717.5</v>
      </c>
      <c r="G48" s="247">
        <v>32716.666666666668</v>
      </c>
      <c r="H48" s="295">
        <f t="shared" si="0"/>
        <v>3999.1666666666679</v>
      </c>
      <c r="I48" s="250">
        <f t="shared" si="1"/>
        <v>0.12223637289862459</v>
      </c>
    </row>
    <row r="49" spans="2:9" x14ac:dyDescent="0.3">
      <c r="B49" s="2">
        <v>69</v>
      </c>
      <c r="C49" s="41" t="s">
        <v>55</v>
      </c>
      <c r="D49" s="2">
        <v>10</v>
      </c>
      <c r="E49" s="2" t="s">
        <v>12</v>
      </c>
      <c r="F49" s="294">
        <v>11300.1</v>
      </c>
      <c r="G49" s="247">
        <v>13833.333333333334</v>
      </c>
      <c r="H49" s="295">
        <f t="shared" si="0"/>
        <v>2533.2333333333336</v>
      </c>
      <c r="I49" s="250">
        <f t="shared" si="1"/>
        <v>0.18312530120481929</v>
      </c>
    </row>
    <row r="50" spans="2:9" x14ac:dyDescent="0.3">
      <c r="B50" s="2">
        <v>76</v>
      </c>
      <c r="C50" s="41" t="s">
        <v>57</v>
      </c>
      <c r="D50" s="2">
        <v>5</v>
      </c>
      <c r="E50" s="2" t="s">
        <v>16</v>
      </c>
      <c r="F50" s="294">
        <v>112065</v>
      </c>
      <c r="G50" s="247">
        <v>135000</v>
      </c>
      <c r="H50" s="295">
        <f t="shared" si="0"/>
        <v>22935</v>
      </c>
      <c r="I50" s="250">
        <f>H50/G50</f>
        <v>0.16988888888888889</v>
      </c>
    </row>
    <row r="51" spans="2:9" x14ac:dyDescent="0.3">
      <c r="B51" s="2">
        <v>77</v>
      </c>
      <c r="C51" s="41" t="s">
        <v>1591</v>
      </c>
      <c r="D51" s="2">
        <v>5</v>
      </c>
      <c r="E51" s="2" t="s">
        <v>32</v>
      </c>
      <c r="F51" s="294">
        <v>30182</v>
      </c>
      <c r="G51" s="247">
        <v>35000</v>
      </c>
      <c r="H51" s="295">
        <f t="shared" si="0"/>
        <v>4818</v>
      </c>
      <c r="I51" s="250">
        <f t="shared" si="1"/>
        <v>0.13765714285714287</v>
      </c>
    </row>
    <row r="52" spans="2:9" x14ac:dyDescent="0.3">
      <c r="B52" s="2">
        <v>80</v>
      </c>
      <c r="C52" s="41" t="s">
        <v>1592</v>
      </c>
      <c r="D52" s="2">
        <v>14</v>
      </c>
      <c r="E52" s="2" t="s">
        <v>32</v>
      </c>
      <c r="F52" s="294">
        <v>12811.54</v>
      </c>
      <c r="G52" s="247">
        <v>14700</v>
      </c>
      <c r="H52" s="295">
        <f t="shared" si="0"/>
        <v>1888.4599999999991</v>
      </c>
      <c r="I52" s="250">
        <f t="shared" si="1"/>
        <v>0.12846666666666662</v>
      </c>
    </row>
    <row r="53" spans="2:9" x14ac:dyDescent="0.3">
      <c r="B53" s="2">
        <v>81</v>
      </c>
      <c r="C53" s="41" t="s">
        <v>58</v>
      </c>
      <c r="D53" s="2">
        <v>14</v>
      </c>
      <c r="E53" s="2" t="s">
        <v>59</v>
      </c>
      <c r="F53" s="294">
        <v>16145</v>
      </c>
      <c r="G53" s="247">
        <v>18266.666666666668</v>
      </c>
      <c r="H53" s="295">
        <f t="shared" si="0"/>
        <v>2121.6666666666679</v>
      </c>
      <c r="I53" s="250">
        <f t="shared" si="1"/>
        <v>0.1161496350364964</v>
      </c>
    </row>
    <row r="54" spans="2:9" x14ac:dyDescent="0.3">
      <c r="B54" s="2">
        <v>83</v>
      </c>
      <c r="C54" s="41" t="s">
        <v>60</v>
      </c>
      <c r="D54" s="2">
        <v>12</v>
      </c>
      <c r="E54" s="2" t="s">
        <v>12</v>
      </c>
      <c r="F54" s="294">
        <v>5400</v>
      </c>
      <c r="G54" s="247">
        <v>6200</v>
      </c>
      <c r="H54" s="295">
        <f t="shared" si="0"/>
        <v>800</v>
      </c>
      <c r="I54" s="250">
        <f t="shared" si="1"/>
        <v>0.12903225806451613</v>
      </c>
    </row>
    <row r="55" spans="2:9" x14ac:dyDescent="0.3">
      <c r="B55" s="2">
        <v>86</v>
      </c>
      <c r="C55" s="41" t="s">
        <v>61</v>
      </c>
      <c r="D55" s="2">
        <v>12</v>
      </c>
      <c r="E55" s="2" t="s">
        <v>12</v>
      </c>
      <c r="F55" s="294">
        <v>19000.000100000001</v>
      </c>
      <c r="G55" s="247">
        <v>24000</v>
      </c>
      <c r="H55" s="295">
        <f t="shared" si="0"/>
        <v>4999.9998999999989</v>
      </c>
      <c r="I55" s="250">
        <f t="shared" si="1"/>
        <v>0.20833332916666661</v>
      </c>
    </row>
    <row r="56" spans="2:9" x14ac:dyDescent="0.3">
      <c r="B56" s="2">
        <v>87</v>
      </c>
      <c r="C56" s="41" t="s">
        <v>62</v>
      </c>
      <c r="D56" s="2">
        <v>12</v>
      </c>
      <c r="E56" s="2" t="s">
        <v>12</v>
      </c>
      <c r="F56" s="294">
        <v>3150</v>
      </c>
      <c r="G56" s="247">
        <v>5200</v>
      </c>
      <c r="H56" s="295">
        <f t="shared" si="0"/>
        <v>2050</v>
      </c>
      <c r="I56" s="250">
        <f t="shared" si="1"/>
        <v>0.39423076923076922</v>
      </c>
    </row>
    <row r="57" spans="2:9" x14ac:dyDescent="0.3">
      <c r="B57" s="2">
        <v>91</v>
      </c>
      <c r="C57" s="41" t="s">
        <v>63</v>
      </c>
      <c r="D57" s="2">
        <v>7</v>
      </c>
      <c r="E57" s="2" t="s">
        <v>21</v>
      </c>
      <c r="F57" s="294">
        <v>600</v>
      </c>
      <c r="G57" s="247">
        <v>1000</v>
      </c>
      <c r="H57" s="295">
        <f t="shared" si="0"/>
        <v>400</v>
      </c>
      <c r="I57" s="250">
        <f t="shared" si="1"/>
        <v>0.4</v>
      </c>
    </row>
    <row r="58" spans="2:9" x14ac:dyDescent="0.3">
      <c r="B58" s="2">
        <v>93</v>
      </c>
      <c r="C58" s="41" t="s">
        <v>1593</v>
      </c>
      <c r="D58" s="2">
        <v>4</v>
      </c>
      <c r="E58" s="2" t="s">
        <v>35</v>
      </c>
      <c r="F58" s="294">
        <v>41503</v>
      </c>
      <c r="G58" s="247">
        <v>48000</v>
      </c>
      <c r="H58" s="295">
        <f t="shared" si="0"/>
        <v>6497</v>
      </c>
      <c r="I58" s="250">
        <f t="shared" si="1"/>
        <v>0.13535416666666666</v>
      </c>
    </row>
    <row r="59" spans="2:9" x14ac:dyDescent="0.3">
      <c r="B59" s="2">
        <v>94</v>
      </c>
      <c r="C59" s="41" t="s">
        <v>64</v>
      </c>
      <c r="D59" s="2">
        <v>1</v>
      </c>
      <c r="E59" s="2" t="s">
        <v>3</v>
      </c>
      <c r="F59" s="294">
        <v>9500</v>
      </c>
      <c r="G59" s="247">
        <v>12000</v>
      </c>
      <c r="H59" s="295">
        <f t="shared" si="0"/>
        <v>2500</v>
      </c>
      <c r="I59" s="250">
        <f t="shared" si="1"/>
        <v>0.20833333333333334</v>
      </c>
    </row>
    <row r="60" spans="2:9" x14ac:dyDescent="0.3">
      <c r="B60" s="2">
        <v>96</v>
      </c>
      <c r="C60" s="41" t="s">
        <v>65</v>
      </c>
      <c r="D60" s="2">
        <v>14</v>
      </c>
      <c r="E60" s="2" t="s">
        <v>35</v>
      </c>
      <c r="F60" s="294">
        <v>4381.6499999999996</v>
      </c>
      <c r="G60" s="247">
        <v>5133.333333333333</v>
      </c>
      <c r="H60" s="295">
        <f t="shared" si="0"/>
        <v>751.68333333333339</v>
      </c>
      <c r="I60" s="250">
        <f t="shared" si="1"/>
        <v>0.14643181818181819</v>
      </c>
    </row>
    <row r="61" spans="2:9" x14ac:dyDescent="0.3">
      <c r="B61" s="2">
        <v>97</v>
      </c>
      <c r="C61" s="41" t="s">
        <v>66</v>
      </c>
      <c r="D61" s="2">
        <v>1</v>
      </c>
      <c r="E61" s="2" t="s">
        <v>3</v>
      </c>
      <c r="F61" s="294">
        <v>38800</v>
      </c>
      <c r="G61" s="247">
        <v>42100</v>
      </c>
      <c r="H61" s="295">
        <f t="shared" si="0"/>
        <v>3300</v>
      </c>
      <c r="I61" s="250">
        <f t="shared" si="1"/>
        <v>7.8384798099762468E-2</v>
      </c>
    </row>
    <row r="62" spans="2:9" x14ac:dyDescent="0.3">
      <c r="B62" s="2">
        <v>100</v>
      </c>
      <c r="C62" s="41" t="s">
        <v>67</v>
      </c>
      <c r="D62" s="2">
        <v>4</v>
      </c>
      <c r="E62" s="2" t="s">
        <v>32</v>
      </c>
      <c r="F62" s="294">
        <v>27800</v>
      </c>
      <c r="G62" s="247">
        <v>33200</v>
      </c>
      <c r="H62" s="295">
        <f t="shared" si="0"/>
        <v>5400</v>
      </c>
      <c r="I62" s="250">
        <f t="shared" si="1"/>
        <v>0.16265060240963855</v>
      </c>
    </row>
    <row r="63" spans="2:9" x14ac:dyDescent="0.3">
      <c r="B63" s="2">
        <v>101</v>
      </c>
      <c r="C63" s="41" t="s">
        <v>68</v>
      </c>
      <c r="D63" s="2">
        <v>4</v>
      </c>
      <c r="E63" s="2" t="s">
        <v>16</v>
      </c>
      <c r="F63" s="294">
        <v>97100</v>
      </c>
      <c r="G63" s="247">
        <v>112300</v>
      </c>
      <c r="H63" s="295">
        <f t="shared" si="0"/>
        <v>15200</v>
      </c>
      <c r="I63" s="250">
        <f t="shared" si="1"/>
        <v>0.13535173642030277</v>
      </c>
    </row>
    <row r="64" spans="2:9" x14ac:dyDescent="0.3">
      <c r="B64" s="2">
        <v>103</v>
      </c>
      <c r="C64" s="41" t="s">
        <v>69</v>
      </c>
      <c r="D64" s="2">
        <v>4</v>
      </c>
      <c r="E64" s="2" t="s">
        <v>16</v>
      </c>
      <c r="F64" s="294">
        <v>36700</v>
      </c>
      <c r="G64" s="247">
        <v>42100</v>
      </c>
      <c r="H64" s="295">
        <f t="shared" si="0"/>
        <v>5400</v>
      </c>
      <c r="I64" s="250">
        <f t="shared" si="1"/>
        <v>0.12826603325415678</v>
      </c>
    </row>
    <row r="65" spans="2:9" x14ac:dyDescent="0.3">
      <c r="B65" s="2">
        <v>105</v>
      </c>
      <c r="C65" s="41" t="s">
        <v>70</v>
      </c>
      <c r="D65" s="2">
        <v>9</v>
      </c>
      <c r="E65" s="2" t="s">
        <v>12</v>
      </c>
      <c r="F65" s="294">
        <v>239904</v>
      </c>
      <c r="G65" s="247">
        <v>272000</v>
      </c>
      <c r="H65" s="295">
        <f t="shared" si="0"/>
        <v>32096</v>
      </c>
      <c r="I65" s="250">
        <f t="shared" si="1"/>
        <v>0.11799999999999999</v>
      </c>
    </row>
    <row r="66" spans="2:9" x14ac:dyDescent="0.3">
      <c r="B66" s="2">
        <v>108</v>
      </c>
      <c r="C66" s="41" t="s">
        <v>71</v>
      </c>
      <c r="D66" s="2">
        <v>7</v>
      </c>
      <c r="E66" s="2" t="s">
        <v>21</v>
      </c>
      <c r="F66" s="294">
        <v>2480</v>
      </c>
      <c r="G66" s="247">
        <v>4100</v>
      </c>
      <c r="H66" s="295">
        <f t="shared" si="0"/>
        <v>1620</v>
      </c>
      <c r="I66" s="250">
        <f t="shared" si="1"/>
        <v>0.39512195121951221</v>
      </c>
    </row>
    <row r="67" spans="2:9" x14ac:dyDescent="0.3">
      <c r="B67" s="2">
        <v>111</v>
      </c>
      <c r="C67" s="41" t="s">
        <v>1594</v>
      </c>
      <c r="D67" s="2">
        <v>12</v>
      </c>
      <c r="E67" s="2" t="s">
        <v>12</v>
      </c>
      <c r="F67" s="294">
        <v>38500</v>
      </c>
      <c r="G67" s="247">
        <v>45000</v>
      </c>
      <c r="H67" s="295">
        <f t="shared" si="0"/>
        <v>6500</v>
      </c>
      <c r="I67" s="250">
        <f t="shared" si="1"/>
        <v>0.14444444444444443</v>
      </c>
    </row>
    <row r="68" spans="2:9" x14ac:dyDescent="0.3">
      <c r="B68" s="2">
        <v>112</v>
      </c>
      <c r="C68" s="41" t="s">
        <v>72</v>
      </c>
      <c r="D68" s="2">
        <v>16</v>
      </c>
      <c r="E68" s="2" t="s">
        <v>12</v>
      </c>
      <c r="F68" s="294">
        <v>2150.33</v>
      </c>
      <c r="G68" s="247">
        <v>2500</v>
      </c>
      <c r="H68" s="295">
        <f t="shared" si="0"/>
        <v>349.67000000000007</v>
      </c>
      <c r="I68" s="250">
        <f t="shared" si="1"/>
        <v>0.13986800000000002</v>
      </c>
    </row>
    <row r="69" spans="2:9" x14ac:dyDescent="0.3">
      <c r="B69" s="2">
        <v>115</v>
      </c>
      <c r="C69" s="41" t="s">
        <v>1595</v>
      </c>
      <c r="D69" s="2">
        <v>14</v>
      </c>
      <c r="E69" s="2" t="s">
        <v>12</v>
      </c>
      <c r="F69" s="294">
        <v>931.75</v>
      </c>
      <c r="G69" s="247">
        <v>1200</v>
      </c>
      <c r="H69" s="295">
        <f t="shared" si="0"/>
        <v>268.25</v>
      </c>
      <c r="I69" s="250">
        <f t="shared" si="1"/>
        <v>0.22354166666666667</v>
      </c>
    </row>
    <row r="70" spans="2:9" x14ac:dyDescent="0.3">
      <c r="B70" s="2">
        <v>117</v>
      </c>
      <c r="C70" s="41" t="s">
        <v>1596</v>
      </c>
      <c r="D70" s="2">
        <v>6</v>
      </c>
      <c r="E70" s="2" t="s">
        <v>32</v>
      </c>
      <c r="F70" s="294">
        <v>10878</v>
      </c>
      <c r="G70" s="247">
        <v>12550</v>
      </c>
      <c r="H70" s="295">
        <f t="shared" ref="H70:H133" si="2">G70-F70</f>
        <v>1672</v>
      </c>
      <c r="I70" s="250">
        <f t="shared" ref="I70:I133" si="3">H70/G70</f>
        <v>0.13322709163346613</v>
      </c>
    </row>
    <row r="71" spans="2:9" x14ac:dyDescent="0.3">
      <c r="B71" s="2">
        <v>119</v>
      </c>
      <c r="C71" s="41" t="s">
        <v>73</v>
      </c>
      <c r="D71" s="2">
        <v>14</v>
      </c>
      <c r="E71" s="2" t="s">
        <v>12</v>
      </c>
      <c r="F71" s="294">
        <v>2154</v>
      </c>
      <c r="G71" s="247">
        <v>2900</v>
      </c>
      <c r="H71" s="295">
        <f t="shared" si="2"/>
        <v>746</v>
      </c>
      <c r="I71" s="250">
        <f t="shared" si="3"/>
        <v>0.25724137931034485</v>
      </c>
    </row>
    <row r="72" spans="2:9" x14ac:dyDescent="0.3">
      <c r="B72" s="2">
        <v>123</v>
      </c>
      <c r="C72" s="41" t="s">
        <v>1597</v>
      </c>
      <c r="D72" s="2">
        <v>6</v>
      </c>
      <c r="E72" s="2" t="s">
        <v>16</v>
      </c>
      <c r="F72" s="294">
        <v>6060</v>
      </c>
      <c r="G72" s="247">
        <v>7600</v>
      </c>
      <c r="H72" s="295">
        <f t="shared" si="2"/>
        <v>1540</v>
      </c>
      <c r="I72" s="250">
        <f t="shared" si="3"/>
        <v>0.20263157894736841</v>
      </c>
    </row>
    <row r="73" spans="2:9" x14ac:dyDescent="0.3">
      <c r="B73" s="2">
        <v>124</v>
      </c>
      <c r="C73" s="41" t="s">
        <v>74</v>
      </c>
      <c r="D73" s="2">
        <v>6</v>
      </c>
      <c r="E73" s="2" t="s">
        <v>32</v>
      </c>
      <c r="F73" s="294">
        <v>48281</v>
      </c>
      <c r="G73" s="247">
        <v>59083.333333333336</v>
      </c>
      <c r="H73" s="295">
        <f t="shared" si="2"/>
        <v>10802.333333333336</v>
      </c>
      <c r="I73" s="250">
        <f t="shared" si="3"/>
        <v>0.18283215796897043</v>
      </c>
    </row>
    <row r="74" spans="2:9" x14ac:dyDescent="0.3">
      <c r="B74" s="2">
        <v>125</v>
      </c>
      <c r="C74" s="41" t="s">
        <v>75</v>
      </c>
      <c r="D74" s="2">
        <v>14</v>
      </c>
      <c r="E74" s="2" t="s">
        <v>21</v>
      </c>
      <c r="F74" s="294">
        <v>9614</v>
      </c>
      <c r="G74" s="247">
        <v>10633.333333333334</v>
      </c>
      <c r="H74" s="295">
        <f t="shared" si="2"/>
        <v>1019.3333333333339</v>
      </c>
      <c r="I74" s="250">
        <f t="shared" si="3"/>
        <v>9.58620689655173E-2</v>
      </c>
    </row>
    <row r="75" spans="2:9" x14ac:dyDescent="0.3">
      <c r="B75" s="2">
        <v>133</v>
      </c>
      <c r="C75" s="41" t="s">
        <v>76</v>
      </c>
      <c r="D75" s="2">
        <v>7</v>
      </c>
      <c r="E75" s="2" t="s">
        <v>21</v>
      </c>
      <c r="F75" s="294">
        <v>1600</v>
      </c>
      <c r="G75" s="247">
        <v>2500</v>
      </c>
      <c r="H75" s="295">
        <f t="shared" si="2"/>
        <v>900</v>
      </c>
      <c r="I75" s="250">
        <f t="shared" si="3"/>
        <v>0.36</v>
      </c>
    </row>
    <row r="76" spans="2:9" x14ac:dyDescent="0.3">
      <c r="B76" s="2">
        <v>134</v>
      </c>
      <c r="C76" s="41" t="s">
        <v>77</v>
      </c>
      <c r="D76" s="2">
        <v>2</v>
      </c>
      <c r="E76" s="2" t="s">
        <v>12</v>
      </c>
      <c r="F76" s="294">
        <v>21106.575000000001</v>
      </c>
      <c r="G76" s="247">
        <v>25200</v>
      </c>
      <c r="H76" s="295">
        <f t="shared" si="2"/>
        <v>4093.4249999999993</v>
      </c>
      <c r="I76" s="250">
        <f t="shared" si="3"/>
        <v>0.16243749999999998</v>
      </c>
    </row>
    <row r="77" spans="2:9" x14ac:dyDescent="0.3">
      <c r="B77" s="2">
        <v>136</v>
      </c>
      <c r="C77" s="41" t="s">
        <v>1598</v>
      </c>
      <c r="D77" s="2">
        <v>14</v>
      </c>
      <c r="E77" s="2" t="s">
        <v>12</v>
      </c>
      <c r="F77" s="294">
        <v>15500</v>
      </c>
      <c r="G77" s="247">
        <v>20500</v>
      </c>
      <c r="H77" s="295">
        <f t="shared" si="2"/>
        <v>5000</v>
      </c>
      <c r="I77" s="250">
        <f t="shared" si="3"/>
        <v>0.24390243902439024</v>
      </c>
    </row>
    <row r="78" spans="2:9" x14ac:dyDescent="0.3">
      <c r="B78" s="2">
        <v>140</v>
      </c>
      <c r="C78" s="41" t="s">
        <v>78</v>
      </c>
      <c r="D78" s="2">
        <v>10</v>
      </c>
      <c r="E78" s="2" t="s">
        <v>12</v>
      </c>
      <c r="F78" s="294">
        <v>10900.05</v>
      </c>
      <c r="G78" s="247">
        <v>12666.666666666666</v>
      </c>
      <c r="H78" s="295">
        <f t="shared" si="2"/>
        <v>1766.6166666666668</v>
      </c>
      <c r="I78" s="250">
        <f t="shared" si="3"/>
        <v>0.13946973684210529</v>
      </c>
    </row>
    <row r="79" spans="2:9" x14ac:dyDescent="0.3">
      <c r="B79" s="2">
        <v>141</v>
      </c>
      <c r="C79" s="41" t="s">
        <v>1599</v>
      </c>
      <c r="D79" s="2">
        <v>14</v>
      </c>
      <c r="E79" s="2" t="s">
        <v>12</v>
      </c>
      <c r="F79" s="294">
        <v>5676</v>
      </c>
      <c r="G79" s="247">
        <v>7800</v>
      </c>
      <c r="H79" s="295">
        <f t="shared" si="2"/>
        <v>2124</v>
      </c>
      <c r="I79" s="250">
        <f t="shared" si="3"/>
        <v>0.27230769230769231</v>
      </c>
    </row>
    <row r="80" spans="2:9" x14ac:dyDescent="0.3">
      <c r="B80" s="2">
        <v>143</v>
      </c>
      <c r="C80" s="41" t="s">
        <v>79</v>
      </c>
      <c r="D80" s="2">
        <v>14</v>
      </c>
      <c r="E80" s="2" t="s">
        <v>32</v>
      </c>
      <c r="F80" s="294">
        <v>5482.1538</v>
      </c>
      <c r="G80" s="247">
        <v>7433.333333333333</v>
      </c>
      <c r="H80" s="295">
        <f t="shared" si="2"/>
        <v>1951.179533333333</v>
      </c>
      <c r="I80" s="250">
        <f t="shared" si="3"/>
        <v>0.26249052017937213</v>
      </c>
    </row>
    <row r="81" spans="2:9" x14ac:dyDescent="0.3">
      <c r="B81" s="2">
        <v>144</v>
      </c>
      <c r="C81" s="41" t="s">
        <v>80</v>
      </c>
      <c r="D81" s="2">
        <v>14</v>
      </c>
      <c r="E81" s="2" t="s">
        <v>81</v>
      </c>
      <c r="F81" s="294">
        <v>5390</v>
      </c>
      <c r="G81" s="247">
        <v>7500</v>
      </c>
      <c r="H81" s="295">
        <f t="shared" si="2"/>
        <v>2110</v>
      </c>
      <c r="I81" s="250">
        <f t="shared" si="3"/>
        <v>0.28133333333333332</v>
      </c>
    </row>
    <row r="82" spans="2:9" x14ac:dyDescent="0.3">
      <c r="B82" s="2">
        <v>145</v>
      </c>
      <c r="C82" s="41" t="s">
        <v>82</v>
      </c>
      <c r="D82" s="2">
        <v>14</v>
      </c>
      <c r="E82" s="2" t="s">
        <v>16</v>
      </c>
      <c r="F82" s="294">
        <v>25171.5</v>
      </c>
      <c r="G82" s="247">
        <v>37000</v>
      </c>
      <c r="H82" s="295">
        <f t="shared" si="2"/>
        <v>11828.5</v>
      </c>
      <c r="I82" s="250">
        <f t="shared" si="3"/>
        <v>0.3196891891891892</v>
      </c>
    </row>
    <row r="83" spans="2:9" x14ac:dyDescent="0.3">
      <c r="B83" s="2">
        <v>146</v>
      </c>
      <c r="C83" s="41" t="s">
        <v>83</v>
      </c>
      <c r="D83" s="2">
        <v>5</v>
      </c>
      <c r="E83" s="2" t="s">
        <v>21</v>
      </c>
      <c r="F83" s="294">
        <v>10100</v>
      </c>
      <c r="G83" s="247">
        <v>11666.666666666666</v>
      </c>
      <c r="H83" s="295">
        <f t="shared" si="2"/>
        <v>1566.6666666666661</v>
      </c>
      <c r="I83" s="250">
        <f t="shared" si="3"/>
        <v>0.13428571428571423</v>
      </c>
    </row>
    <row r="84" spans="2:9" x14ac:dyDescent="0.3">
      <c r="B84" s="2">
        <v>147</v>
      </c>
      <c r="C84" s="41" t="s">
        <v>84</v>
      </c>
      <c r="D84" s="2">
        <v>5</v>
      </c>
      <c r="E84" s="2" t="s">
        <v>5</v>
      </c>
      <c r="F84" s="294">
        <v>24100</v>
      </c>
      <c r="G84" s="247">
        <v>32000</v>
      </c>
      <c r="H84" s="295">
        <f t="shared" si="2"/>
        <v>7900</v>
      </c>
      <c r="I84" s="250">
        <f t="shared" si="3"/>
        <v>0.24687500000000001</v>
      </c>
    </row>
    <row r="85" spans="2:9" x14ac:dyDescent="0.3">
      <c r="B85" s="2">
        <v>149</v>
      </c>
      <c r="C85" s="41" t="s">
        <v>85</v>
      </c>
      <c r="D85" s="2">
        <v>5</v>
      </c>
      <c r="E85" s="2" t="s">
        <v>5</v>
      </c>
      <c r="F85" s="294">
        <v>11172</v>
      </c>
      <c r="G85" s="247">
        <v>13500</v>
      </c>
      <c r="H85" s="295">
        <f t="shared" si="2"/>
        <v>2328</v>
      </c>
      <c r="I85" s="250">
        <f t="shared" si="3"/>
        <v>0.17244444444444446</v>
      </c>
    </row>
    <row r="86" spans="2:9" x14ac:dyDescent="0.3">
      <c r="B86" s="2">
        <v>152</v>
      </c>
      <c r="C86" s="41" t="s">
        <v>86</v>
      </c>
      <c r="D86" s="2">
        <v>8</v>
      </c>
      <c r="E86" s="2" t="s">
        <v>21</v>
      </c>
      <c r="F86" s="294">
        <v>4597</v>
      </c>
      <c r="G86" s="247">
        <v>6200</v>
      </c>
      <c r="H86" s="295">
        <f t="shared" si="2"/>
        <v>1603</v>
      </c>
      <c r="I86" s="250">
        <f t="shared" si="3"/>
        <v>0.25854838709677419</v>
      </c>
    </row>
    <row r="87" spans="2:9" x14ac:dyDescent="0.3">
      <c r="B87" s="2">
        <v>153</v>
      </c>
      <c r="C87" s="41" t="s">
        <v>1600</v>
      </c>
      <c r="D87" s="2">
        <v>8</v>
      </c>
      <c r="E87" s="2" t="s">
        <v>41</v>
      </c>
      <c r="F87" s="294">
        <v>61900</v>
      </c>
      <c r="G87" s="247">
        <v>72000</v>
      </c>
      <c r="H87" s="295">
        <f t="shared" si="2"/>
        <v>10100</v>
      </c>
      <c r="I87" s="250">
        <f t="shared" si="3"/>
        <v>0.14027777777777778</v>
      </c>
    </row>
    <row r="88" spans="2:9" x14ac:dyDescent="0.3">
      <c r="B88" s="2">
        <v>154</v>
      </c>
      <c r="C88" s="41" t="s">
        <v>1601</v>
      </c>
      <c r="D88" s="2">
        <v>8</v>
      </c>
      <c r="E88" s="2" t="s">
        <v>16</v>
      </c>
      <c r="F88" s="294">
        <v>16200</v>
      </c>
      <c r="G88" s="247">
        <v>19800</v>
      </c>
      <c r="H88" s="295">
        <f t="shared" si="2"/>
        <v>3600</v>
      </c>
      <c r="I88" s="250">
        <f t="shared" si="3"/>
        <v>0.18181818181818182</v>
      </c>
    </row>
    <row r="89" spans="2:9" x14ac:dyDescent="0.3">
      <c r="B89" s="2">
        <v>155</v>
      </c>
      <c r="C89" s="41" t="s">
        <v>87</v>
      </c>
      <c r="D89" s="2">
        <v>13</v>
      </c>
      <c r="E89" s="2" t="s">
        <v>12</v>
      </c>
      <c r="F89" s="294">
        <v>17372.810000000001</v>
      </c>
      <c r="G89" s="247">
        <v>23000</v>
      </c>
      <c r="H89" s="295">
        <f t="shared" si="2"/>
        <v>5627.1899999999987</v>
      </c>
      <c r="I89" s="250">
        <f t="shared" si="3"/>
        <v>0.24466043478260863</v>
      </c>
    </row>
    <row r="90" spans="2:9" x14ac:dyDescent="0.3">
      <c r="B90" s="2">
        <v>156</v>
      </c>
      <c r="C90" s="41" t="s">
        <v>88</v>
      </c>
      <c r="D90" s="2">
        <v>9</v>
      </c>
      <c r="E90" s="2" t="s">
        <v>12</v>
      </c>
      <c r="F90" s="294">
        <v>8605.2960000000003</v>
      </c>
      <c r="G90" s="247">
        <v>9666.6666666666661</v>
      </c>
      <c r="H90" s="295">
        <f t="shared" si="2"/>
        <v>1061.3706666666658</v>
      </c>
      <c r="I90" s="250">
        <f t="shared" si="3"/>
        <v>0.1097969655172413</v>
      </c>
    </row>
    <row r="91" spans="2:9" x14ac:dyDescent="0.3">
      <c r="B91" s="2">
        <v>157</v>
      </c>
      <c r="C91" s="41" t="s">
        <v>89</v>
      </c>
      <c r="D91" s="2">
        <v>14</v>
      </c>
      <c r="E91" s="2" t="s">
        <v>32</v>
      </c>
      <c r="F91" s="294">
        <v>20037</v>
      </c>
      <c r="G91" s="247">
        <v>22833.333333333332</v>
      </c>
      <c r="H91" s="295">
        <f t="shared" si="2"/>
        <v>2796.3333333333321</v>
      </c>
      <c r="I91" s="250">
        <f t="shared" si="3"/>
        <v>0.12246715328467149</v>
      </c>
    </row>
    <row r="92" spans="2:9" x14ac:dyDescent="0.3">
      <c r="B92" s="2">
        <v>159</v>
      </c>
      <c r="C92" s="41" t="s">
        <v>1602</v>
      </c>
      <c r="D92" s="2">
        <v>4</v>
      </c>
      <c r="E92" s="2" t="s">
        <v>35</v>
      </c>
      <c r="F92" s="294">
        <v>18326</v>
      </c>
      <c r="G92" s="247">
        <v>22500</v>
      </c>
      <c r="H92" s="295">
        <f t="shared" si="2"/>
        <v>4174</v>
      </c>
      <c r="I92" s="250">
        <f t="shared" si="3"/>
        <v>0.1855111111111111</v>
      </c>
    </row>
    <row r="93" spans="2:9" x14ac:dyDescent="0.3">
      <c r="B93" s="2">
        <v>160</v>
      </c>
      <c r="C93" s="41" t="s">
        <v>90</v>
      </c>
      <c r="D93" s="2">
        <v>14</v>
      </c>
      <c r="E93" s="2" t="s">
        <v>12</v>
      </c>
      <c r="F93" s="294">
        <v>16773</v>
      </c>
      <c r="G93" s="247">
        <v>21000</v>
      </c>
      <c r="H93" s="295">
        <f t="shared" si="2"/>
        <v>4227</v>
      </c>
      <c r="I93" s="250">
        <f t="shared" si="3"/>
        <v>0.20128571428571429</v>
      </c>
    </row>
    <row r="94" spans="2:9" x14ac:dyDescent="0.3">
      <c r="B94" s="2">
        <v>162</v>
      </c>
      <c r="C94" s="41" t="s">
        <v>91</v>
      </c>
      <c r="D94" s="2">
        <v>1</v>
      </c>
      <c r="E94" s="2" t="s">
        <v>5</v>
      </c>
      <c r="F94" s="294">
        <v>4630</v>
      </c>
      <c r="G94" s="247">
        <v>5500</v>
      </c>
      <c r="H94" s="295">
        <f t="shared" si="2"/>
        <v>870</v>
      </c>
      <c r="I94" s="250">
        <f t="shared" si="3"/>
        <v>0.15818181818181817</v>
      </c>
    </row>
    <row r="95" spans="2:9" x14ac:dyDescent="0.3">
      <c r="B95" s="2">
        <v>165</v>
      </c>
      <c r="C95" s="41" t="s">
        <v>1603</v>
      </c>
      <c r="D95" s="2">
        <v>16</v>
      </c>
      <c r="E95" s="2" t="s">
        <v>12</v>
      </c>
      <c r="F95" s="294">
        <v>2142</v>
      </c>
      <c r="G95" s="247">
        <v>3000</v>
      </c>
      <c r="H95" s="295">
        <f t="shared" si="2"/>
        <v>858</v>
      </c>
      <c r="I95" s="250">
        <f t="shared" si="3"/>
        <v>0.28599999999999998</v>
      </c>
    </row>
    <row r="96" spans="2:9" x14ac:dyDescent="0.3">
      <c r="B96" s="2">
        <v>166</v>
      </c>
      <c r="C96" s="41" t="s">
        <v>92</v>
      </c>
      <c r="D96" s="2">
        <v>6</v>
      </c>
      <c r="E96" s="2" t="s">
        <v>12</v>
      </c>
      <c r="F96" s="294">
        <v>385.28530000000001</v>
      </c>
      <c r="G96" s="247">
        <v>500</v>
      </c>
      <c r="H96" s="295">
        <f t="shared" si="2"/>
        <v>114.71469999999999</v>
      </c>
      <c r="I96" s="250">
        <f t="shared" si="3"/>
        <v>0.22942939999999998</v>
      </c>
    </row>
    <row r="97" spans="2:9" x14ac:dyDescent="0.3">
      <c r="B97" s="2">
        <v>167</v>
      </c>
      <c r="C97" s="41" t="s">
        <v>93</v>
      </c>
      <c r="D97" s="2">
        <v>14</v>
      </c>
      <c r="E97" s="2" t="s">
        <v>32</v>
      </c>
      <c r="F97" s="294">
        <v>16628</v>
      </c>
      <c r="G97" s="247">
        <v>20500</v>
      </c>
      <c r="H97" s="295">
        <f t="shared" si="2"/>
        <v>3872</v>
      </c>
      <c r="I97" s="250">
        <f t="shared" si="3"/>
        <v>0.18887804878048781</v>
      </c>
    </row>
    <row r="98" spans="2:9" x14ac:dyDescent="0.3">
      <c r="B98" s="2">
        <v>168</v>
      </c>
      <c r="C98" s="41" t="s">
        <v>94</v>
      </c>
      <c r="D98" s="2">
        <v>14</v>
      </c>
      <c r="E98" s="2" t="s">
        <v>32</v>
      </c>
      <c r="F98" s="294">
        <v>24233</v>
      </c>
      <c r="G98" s="247">
        <v>28000</v>
      </c>
      <c r="H98" s="295">
        <f t="shared" si="2"/>
        <v>3767</v>
      </c>
      <c r="I98" s="250">
        <f t="shared" si="3"/>
        <v>0.13453571428571429</v>
      </c>
    </row>
    <row r="99" spans="2:9" x14ac:dyDescent="0.3">
      <c r="B99" s="2">
        <v>169</v>
      </c>
      <c r="C99" s="41" t="s">
        <v>95</v>
      </c>
      <c r="D99" s="2">
        <v>14</v>
      </c>
      <c r="E99" s="2" t="s">
        <v>12</v>
      </c>
      <c r="F99" s="294">
        <v>27350</v>
      </c>
      <c r="G99" s="247">
        <v>32000</v>
      </c>
      <c r="H99" s="295">
        <f t="shared" si="2"/>
        <v>4650</v>
      </c>
      <c r="I99" s="250">
        <f t="shared" si="3"/>
        <v>0.14531250000000001</v>
      </c>
    </row>
    <row r="100" spans="2:9" x14ac:dyDescent="0.3">
      <c r="B100" s="2">
        <v>170</v>
      </c>
      <c r="C100" s="41" t="s">
        <v>96</v>
      </c>
      <c r="D100" s="2">
        <v>14</v>
      </c>
      <c r="E100" s="2" t="s">
        <v>97</v>
      </c>
      <c r="F100" s="294">
        <v>1958</v>
      </c>
      <c r="G100" s="247">
        <v>2733.3333333333335</v>
      </c>
      <c r="H100" s="295">
        <f t="shared" si="2"/>
        <v>775.33333333333348</v>
      </c>
      <c r="I100" s="250">
        <f t="shared" si="3"/>
        <v>0.28365853658536588</v>
      </c>
    </row>
    <row r="101" spans="2:9" x14ac:dyDescent="0.3">
      <c r="B101" s="2">
        <v>171</v>
      </c>
      <c r="C101" s="41" t="s">
        <v>98</v>
      </c>
      <c r="D101" s="2">
        <v>4</v>
      </c>
      <c r="E101" s="2" t="s">
        <v>5</v>
      </c>
      <c r="F101" s="294">
        <v>19558</v>
      </c>
      <c r="G101" s="247">
        <v>23916.666666666668</v>
      </c>
      <c r="H101" s="295">
        <f t="shared" si="2"/>
        <v>4358.6666666666679</v>
      </c>
      <c r="I101" s="250">
        <f t="shared" si="3"/>
        <v>0.18224390243902444</v>
      </c>
    </row>
    <row r="102" spans="2:9" x14ac:dyDescent="0.3">
      <c r="B102" s="2">
        <v>175</v>
      </c>
      <c r="C102" s="41" t="s">
        <v>1604</v>
      </c>
      <c r="D102" s="2">
        <v>2</v>
      </c>
      <c r="E102" s="2" t="s">
        <v>12</v>
      </c>
      <c r="F102" s="294">
        <v>39145.050000000003</v>
      </c>
      <c r="G102" s="247">
        <v>44000</v>
      </c>
      <c r="H102" s="295">
        <f t="shared" si="2"/>
        <v>4854.9499999999971</v>
      </c>
      <c r="I102" s="250">
        <f t="shared" si="3"/>
        <v>0.11033977272727266</v>
      </c>
    </row>
    <row r="103" spans="2:9" x14ac:dyDescent="0.3">
      <c r="B103" s="2">
        <v>181</v>
      </c>
      <c r="C103" s="41" t="s">
        <v>99</v>
      </c>
      <c r="D103" s="2">
        <v>14</v>
      </c>
      <c r="E103" s="2" t="s">
        <v>100</v>
      </c>
      <c r="F103" s="294">
        <v>43707</v>
      </c>
      <c r="G103" s="247">
        <v>50200</v>
      </c>
      <c r="H103" s="295">
        <f t="shared" si="2"/>
        <v>6493</v>
      </c>
      <c r="I103" s="250">
        <f t="shared" si="3"/>
        <v>0.1293426294820717</v>
      </c>
    </row>
    <row r="104" spans="2:9" x14ac:dyDescent="0.3">
      <c r="B104" s="2">
        <v>184</v>
      </c>
      <c r="C104" s="41" t="s">
        <v>1605</v>
      </c>
      <c r="D104" s="2">
        <v>4</v>
      </c>
      <c r="E104" s="2" t="s">
        <v>16</v>
      </c>
      <c r="F104" s="294">
        <v>106742.64</v>
      </c>
      <c r="G104" s="247">
        <v>126266.66666666667</v>
      </c>
      <c r="H104" s="295">
        <f t="shared" si="2"/>
        <v>19524.026666666672</v>
      </c>
      <c r="I104" s="250">
        <f t="shared" si="3"/>
        <v>0.15462534318901799</v>
      </c>
    </row>
    <row r="105" spans="2:9" x14ac:dyDescent="0.3">
      <c r="B105" s="2">
        <v>185</v>
      </c>
      <c r="C105" s="41" t="s">
        <v>1606</v>
      </c>
      <c r="D105" s="2">
        <v>4</v>
      </c>
      <c r="E105" s="2" t="s">
        <v>16</v>
      </c>
      <c r="F105" s="294">
        <v>22547.78</v>
      </c>
      <c r="G105" s="247">
        <v>26416.666666666668</v>
      </c>
      <c r="H105" s="295">
        <f t="shared" si="2"/>
        <v>3868.886666666669</v>
      </c>
      <c r="I105" s="250">
        <f t="shared" si="3"/>
        <v>0.14645627760252375</v>
      </c>
    </row>
    <row r="106" spans="2:9" x14ac:dyDescent="0.3">
      <c r="B106" s="2">
        <v>186</v>
      </c>
      <c r="C106" s="41" t="s">
        <v>101</v>
      </c>
      <c r="D106" s="2">
        <v>1</v>
      </c>
      <c r="E106" s="2" t="s">
        <v>3</v>
      </c>
      <c r="F106" s="294">
        <v>213000</v>
      </c>
      <c r="G106" s="247">
        <v>221100</v>
      </c>
      <c r="H106" s="295">
        <f t="shared" si="2"/>
        <v>8100</v>
      </c>
      <c r="I106" s="250">
        <f t="shared" si="3"/>
        <v>3.6635006784260515E-2</v>
      </c>
    </row>
    <row r="107" spans="2:9" x14ac:dyDescent="0.3">
      <c r="B107" s="2">
        <v>188</v>
      </c>
      <c r="C107" s="41" t="s">
        <v>102</v>
      </c>
      <c r="D107" s="2">
        <v>6</v>
      </c>
      <c r="E107" s="2" t="s">
        <v>32</v>
      </c>
      <c r="F107" s="294">
        <v>46328</v>
      </c>
      <c r="G107" s="247">
        <v>55250</v>
      </c>
      <c r="H107" s="295">
        <f t="shared" si="2"/>
        <v>8922</v>
      </c>
      <c r="I107" s="250">
        <f t="shared" si="3"/>
        <v>0.1614841628959276</v>
      </c>
    </row>
    <row r="108" spans="2:9" x14ac:dyDescent="0.3">
      <c r="B108" s="2">
        <v>189</v>
      </c>
      <c r="C108" s="41" t="s">
        <v>103</v>
      </c>
      <c r="D108" s="2">
        <v>14</v>
      </c>
      <c r="E108" s="2" t="s">
        <v>104</v>
      </c>
      <c r="F108" s="294">
        <v>40479.7857</v>
      </c>
      <c r="G108" s="247">
        <v>45000</v>
      </c>
      <c r="H108" s="295">
        <f t="shared" si="2"/>
        <v>4520.2142999999996</v>
      </c>
      <c r="I108" s="250">
        <f t="shared" si="3"/>
        <v>0.10044920666666667</v>
      </c>
    </row>
    <row r="109" spans="2:9" x14ac:dyDescent="0.3">
      <c r="B109" s="2">
        <v>190</v>
      </c>
      <c r="C109" s="41" t="s">
        <v>105</v>
      </c>
      <c r="D109" s="2">
        <v>14</v>
      </c>
      <c r="E109" s="2" t="s">
        <v>21</v>
      </c>
      <c r="F109" s="294">
        <v>7394.8462</v>
      </c>
      <c r="G109" s="247">
        <v>9000</v>
      </c>
      <c r="H109" s="295">
        <f t="shared" si="2"/>
        <v>1605.1538</v>
      </c>
      <c r="I109" s="250">
        <f t="shared" si="3"/>
        <v>0.17835042222222222</v>
      </c>
    </row>
    <row r="110" spans="2:9" x14ac:dyDescent="0.3">
      <c r="B110" s="2">
        <v>192</v>
      </c>
      <c r="C110" s="41" t="s">
        <v>106</v>
      </c>
      <c r="D110" s="2">
        <v>9</v>
      </c>
      <c r="E110" s="2" t="s">
        <v>12</v>
      </c>
      <c r="F110" s="294">
        <v>9473.9231999999993</v>
      </c>
      <c r="G110" s="247">
        <v>10800</v>
      </c>
      <c r="H110" s="295">
        <f t="shared" si="2"/>
        <v>1326.0768000000007</v>
      </c>
      <c r="I110" s="250">
        <f t="shared" si="3"/>
        <v>0.12278488888888896</v>
      </c>
    </row>
    <row r="111" spans="2:9" x14ac:dyDescent="0.3">
      <c r="B111" s="2">
        <v>193</v>
      </c>
      <c r="C111" s="41" t="s">
        <v>107</v>
      </c>
      <c r="D111" s="2">
        <v>14</v>
      </c>
      <c r="E111" s="2" t="s">
        <v>32</v>
      </c>
      <c r="F111" s="294">
        <v>5209</v>
      </c>
      <c r="G111" s="247">
        <v>6750</v>
      </c>
      <c r="H111" s="295">
        <f t="shared" si="2"/>
        <v>1541</v>
      </c>
      <c r="I111" s="250">
        <f t="shared" si="3"/>
        <v>0.2282962962962963</v>
      </c>
    </row>
    <row r="112" spans="2:9" x14ac:dyDescent="0.3">
      <c r="B112" s="2">
        <v>194</v>
      </c>
      <c r="C112" s="41" t="s">
        <v>108</v>
      </c>
      <c r="D112" s="2">
        <v>14</v>
      </c>
      <c r="E112" s="2" t="s">
        <v>32</v>
      </c>
      <c r="F112" s="294">
        <v>10389</v>
      </c>
      <c r="G112" s="247">
        <v>14500</v>
      </c>
      <c r="H112" s="295">
        <f t="shared" si="2"/>
        <v>4111</v>
      </c>
      <c r="I112" s="250">
        <f t="shared" si="3"/>
        <v>0.28351724137931034</v>
      </c>
    </row>
    <row r="113" spans="2:9" x14ac:dyDescent="0.3">
      <c r="B113" s="2">
        <v>195</v>
      </c>
      <c r="C113" s="41" t="s">
        <v>109</v>
      </c>
      <c r="D113" s="2">
        <v>7</v>
      </c>
      <c r="E113" s="2" t="s">
        <v>21</v>
      </c>
      <c r="F113" s="294">
        <v>2230</v>
      </c>
      <c r="G113" s="247">
        <v>2466.6666666666665</v>
      </c>
      <c r="H113" s="295">
        <f t="shared" si="2"/>
        <v>236.66666666666652</v>
      </c>
      <c r="I113" s="250">
        <f t="shared" si="3"/>
        <v>9.5945945945945896E-2</v>
      </c>
    </row>
    <row r="114" spans="2:9" x14ac:dyDescent="0.3">
      <c r="B114" s="2">
        <v>197</v>
      </c>
      <c r="C114" s="41" t="s">
        <v>1607</v>
      </c>
      <c r="D114" s="2">
        <v>6</v>
      </c>
      <c r="E114" s="2" t="s">
        <v>21</v>
      </c>
      <c r="F114" s="294">
        <v>12800</v>
      </c>
      <c r="G114" s="247">
        <v>14800</v>
      </c>
      <c r="H114" s="295">
        <f t="shared" si="2"/>
        <v>2000</v>
      </c>
      <c r="I114" s="250">
        <f t="shared" si="3"/>
        <v>0.13513513513513514</v>
      </c>
    </row>
    <row r="115" spans="2:9" x14ac:dyDescent="0.3">
      <c r="B115" s="2">
        <v>199</v>
      </c>
      <c r="C115" s="41" t="s">
        <v>110</v>
      </c>
      <c r="D115" s="2">
        <v>6</v>
      </c>
      <c r="E115" s="2" t="s">
        <v>32</v>
      </c>
      <c r="F115" s="294">
        <v>36213</v>
      </c>
      <c r="G115" s="247">
        <v>41666.666666666664</v>
      </c>
      <c r="H115" s="295">
        <f t="shared" si="2"/>
        <v>5453.6666666666642</v>
      </c>
      <c r="I115" s="250">
        <f t="shared" si="3"/>
        <v>0.13088799999999995</v>
      </c>
    </row>
    <row r="116" spans="2:9" x14ac:dyDescent="0.3">
      <c r="B116" s="2">
        <v>200</v>
      </c>
      <c r="C116" s="41" t="s">
        <v>1608</v>
      </c>
      <c r="D116" s="2">
        <v>6</v>
      </c>
      <c r="E116" s="2" t="s">
        <v>32</v>
      </c>
      <c r="F116" s="294">
        <v>162928</v>
      </c>
      <c r="G116" s="247">
        <v>185200</v>
      </c>
      <c r="H116" s="295">
        <f t="shared" si="2"/>
        <v>22272</v>
      </c>
      <c r="I116" s="250">
        <f t="shared" si="3"/>
        <v>0.12025917926565875</v>
      </c>
    </row>
    <row r="117" spans="2:9" x14ac:dyDescent="0.3">
      <c r="B117" s="2">
        <v>202</v>
      </c>
      <c r="C117" s="41" t="s">
        <v>111</v>
      </c>
      <c r="D117" s="2">
        <v>2</v>
      </c>
      <c r="E117" s="2" t="s">
        <v>112</v>
      </c>
      <c r="F117" s="294">
        <v>84434.7</v>
      </c>
      <c r="G117" s="247">
        <v>101483.33333333333</v>
      </c>
      <c r="H117" s="295">
        <f t="shared" si="2"/>
        <v>17048.633333333331</v>
      </c>
      <c r="I117" s="250">
        <f t="shared" si="3"/>
        <v>0.16799441616028904</v>
      </c>
    </row>
    <row r="118" spans="2:9" x14ac:dyDescent="0.3">
      <c r="B118" s="2">
        <v>203</v>
      </c>
      <c r="C118" s="41" t="s">
        <v>1609</v>
      </c>
      <c r="D118" s="2">
        <v>2</v>
      </c>
      <c r="E118" s="2" t="s">
        <v>112</v>
      </c>
      <c r="F118" s="294">
        <v>97099.8</v>
      </c>
      <c r="G118" s="247">
        <v>112833.33333333333</v>
      </c>
      <c r="H118" s="295">
        <f t="shared" si="2"/>
        <v>15733.533333333326</v>
      </c>
      <c r="I118" s="250">
        <f t="shared" si="3"/>
        <v>0.13944047267355977</v>
      </c>
    </row>
    <row r="119" spans="2:9" x14ac:dyDescent="0.3">
      <c r="B119" s="2">
        <v>205</v>
      </c>
      <c r="C119" s="41" t="s">
        <v>113</v>
      </c>
      <c r="D119" s="2">
        <v>2</v>
      </c>
      <c r="E119" s="2" t="s">
        <v>112</v>
      </c>
      <c r="F119" s="294">
        <v>2912.2494999999999</v>
      </c>
      <c r="G119" s="247">
        <v>3333.3333333333335</v>
      </c>
      <c r="H119" s="295">
        <f t="shared" si="2"/>
        <v>421.08383333333359</v>
      </c>
      <c r="I119" s="250">
        <f t="shared" si="3"/>
        <v>0.12632515000000008</v>
      </c>
    </row>
    <row r="120" spans="2:9" x14ac:dyDescent="0.3">
      <c r="B120" s="2">
        <v>206</v>
      </c>
      <c r="C120" s="41" t="s">
        <v>114</v>
      </c>
      <c r="D120" s="2">
        <v>2</v>
      </c>
      <c r="E120" s="2" t="s">
        <v>112</v>
      </c>
      <c r="F120" s="294">
        <v>113490.3</v>
      </c>
      <c r="G120" s="247">
        <v>125550</v>
      </c>
      <c r="H120" s="295">
        <f t="shared" si="2"/>
        <v>12059.699999999997</v>
      </c>
      <c r="I120" s="250">
        <f t="shared" si="3"/>
        <v>9.6054958183990416E-2</v>
      </c>
    </row>
    <row r="121" spans="2:9" x14ac:dyDescent="0.3">
      <c r="B121" s="2">
        <v>207</v>
      </c>
      <c r="C121" s="41" t="s">
        <v>115</v>
      </c>
      <c r="D121" s="2">
        <v>2</v>
      </c>
      <c r="E121" s="2" t="s">
        <v>112</v>
      </c>
      <c r="F121" s="294">
        <v>94000</v>
      </c>
      <c r="G121" s="247">
        <v>101100</v>
      </c>
      <c r="H121" s="295">
        <f t="shared" si="2"/>
        <v>7100</v>
      </c>
      <c r="I121" s="250">
        <f t="shared" si="3"/>
        <v>7.0227497527200797E-2</v>
      </c>
    </row>
    <row r="122" spans="2:9" x14ac:dyDescent="0.3">
      <c r="B122" s="2">
        <v>210</v>
      </c>
      <c r="C122" s="41" t="s">
        <v>116</v>
      </c>
      <c r="D122" s="2">
        <v>2</v>
      </c>
      <c r="E122" s="2" t="s">
        <v>112</v>
      </c>
      <c r="F122" s="294">
        <v>169004.85</v>
      </c>
      <c r="G122" s="247">
        <v>187500</v>
      </c>
      <c r="H122" s="295">
        <f t="shared" si="2"/>
        <v>18495.149999999994</v>
      </c>
      <c r="I122" s="250">
        <f t="shared" si="3"/>
        <v>9.8640799999999973E-2</v>
      </c>
    </row>
    <row r="123" spans="2:9" x14ac:dyDescent="0.3">
      <c r="B123" s="2">
        <v>211</v>
      </c>
      <c r="C123" s="41" t="s">
        <v>117</v>
      </c>
      <c r="D123" s="2">
        <v>2</v>
      </c>
      <c r="E123" s="2" t="s">
        <v>112</v>
      </c>
      <c r="F123" s="294">
        <v>90549.9</v>
      </c>
      <c r="G123" s="247">
        <v>106433.33333333333</v>
      </c>
      <c r="H123" s="295">
        <f t="shared" si="2"/>
        <v>15883.433333333334</v>
      </c>
      <c r="I123" s="250">
        <f t="shared" si="3"/>
        <v>0.14923363607892265</v>
      </c>
    </row>
    <row r="124" spans="2:9" x14ac:dyDescent="0.3">
      <c r="B124" s="2">
        <v>212</v>
      </c>
      <c r="C124" s="41" t="s">
        <v>118</v>
      </c>
      <c r="D124" s="2">
        <v>2</v>
      </c>
      <c r="E124" s="2" t="s">
        <v>5</v>
      </c>
      <c r="F124" s="294">
        <v>2415.1574999999998</v>
      </c>
      <c r="G124" s="247">
        <v>2833.3333333333335</v>
      </c>
      <c r="H124" s="295">
        <f t="shared" si="2"/>
        <v>418.17583333333369</v>
      </c>
      <c r="I124" s="250">
        <f t="shared" si="3"/>
        <v>0.14759147058823541</v>
      </c>
    </row>
    <row r="125" spans="2:9" x14ac:dyDescent="0.3">
      <c r="B125" s="2">
        <v>213</v>
      </c>
      <c r="C125" s="41" t="s">
        <v>119</v>
      </c>
      <c r="D125" s="2">
        <v>2</v>
      </c>
      <c r="E125" s="2" t="s">
        <v>112</v>
      </c>
      <c r="F125" s="294">
        <v>87000</v>
      </c>
      <c r="G125" s="247">
        <v>97717</v>
      </c>
      <c r="H125" s="295">
        <f t="shared" si="2"/>
        <v>10717</v>
      </c>
      <c r="I125" s="250">
        <f t="shared" si="3"/>
        <v>0.10967385408884842</v>
      </c>
    </row>
    <row r="126" spans="2:9" x14ac:dyDescent="0.3">
      <c r="B126" s="2">
        <v>214</v>
      </c>
      <c r="C126" s="41" t="s">
        <v>120</v>
      </c>
      <c r="D126" s="2">
        <v>2</v>
      </c>
      <c r="E126" s="2" t="s">
        <v>5</v>
      </c>
      <c r="F126" s="294">
        <v>2232.2474999999999</v>
      </c>
      <c r="G126" s="247">
        <v>2633.3333333333335</v>
      </c>
      <c r="H126" s="295">
        <f t="shared" si="2"/>
        <v>401.08583333333354</v>
      </c>
      <c r="I126" s="250">
        <f t="shared" si="3"/>
        <v>0.15231107594936716</v>
      </c>
    </row>
    <row r="127" spans="2:9" x14ac:dyDescent="0.3">
      <c r="B127" s="2">
        <v>215</v>
      </c>
      <c r="C127" s="41" t="s">
        <v>121</v>
      </c>
      <c r="D127" s="2">
        <v>2</v>
      </c>
      <c r="E127" s="2" t="s">
        <v>112</v>
      </c>
      <c r="F127" s="294">
        <v>114669</v>
      </c>
      <c r="G127" s="247">
        <v>125000</v>
      </c>
      <c r="H127" s="295">
        <f t="shared" si="2"/>
        <v>10331</v>
      </c>
      <c r="I127" s="250">
        <f t="shared" si="3"/>
        <v>8.2647999999999999E-2</v>
      </c>
    </row>
    <row r="128" spans="2:9" x14ac:dyDescent="0.3">
      <c r="B128" s="2">
        <v>216</v>
      </c>
      <c r="C128" s="41" t="s">
        <v>1610</v>
      </c>
      <c r="D128" s="2">
        <v>2</v>
      </c>
      <c r="E128" s="2" t="s">
        <v>112</v>
      </c>
      <c r="F128" s="294">
        <v>97862.1</v>
      </c>
      <c r="G128" s="247">
        <v>113066.66666666667</v>
      </c>
      <c r="H128" s="295">
        <f t="shared" si="2"/>
        <v>15204.566666666666</v>
      </c>
      <c r="I128" s="250">
        <f t="shared" si="3"/>
        <v>0.13447435141509431</v>
      </c>
    </row>
    <row r="129" spans="2:9" x14ac:dyDescent="0.3">
      <c r="B129" s="2">
        <v>217</v>
      </c>
      <c r="C129" s="41" t="s">
        <v>122</v>
      </c>
      <c r="D129" s="2">
        <v>2</v>
      </c>
      <c r="E129" s="2" t="s">
        <v>5</v>
      </c>
      <c r="F129" s="294">
        <v>2369.0625</v>
      </c>
      <c r="G129" s="247">
        <v>2850</v>
      </c>
      <c r="H129" s="295">
        <f t="shared" si="2"/>
        <v>480.9375</v>
      </c>
      <c r="I129" s="250">
        <f t="shared" si="3"/>
        <v>0.16875000000000001</v>
      </c>
    </row>
    <row r="130" spans="2:9" x14ac:dyDescent="0.3">
      <c r="B130" s="2">
        <v>218</v>
      </c>
      <c r="C130" s="41" t="s">
        <v>1611</v>
      </c>
      <c r="D130" s="2">
        <v>2</v>
      </c>
      <c r="E130" s="2" t="s">
        <v>112</v>
      </c>
      <c r="F130" s="294">
        <v>85300</v>
      </c>
      <c r="G130" s="247">
        <v>104933.33333333333</v>
      </c>
      <c r="H130" s="295">
        <f t="shared" si="2"/>
        <v>19633.333333333328</v>
      </c>
      <c r="I130" s="250">
        <f t="shared" si="3"/>
        <v>0.18710292249047011</v>
      </c>
    </row>
    <row r="131" spans="2:9" x14ac:dyDescent="0.3">
      <c r="B131" s="2">
        <v>219</v>
      </c>
      <c r="C131" s="41" t="s">
        <v>123</v>
      </c>
      <c r="D131" s="2">
        <v>5</v>
      </c>
      <c r="E131" s="2" t="s">
        <v>5</v>
      </c>
      <c r="F131" s="294">
        <v>50000</v>
      </c>
      <c r="G131" s="247">
        <v>64000</v>
      </c>
      <c r="H131" s="295">
        <f t="shared" si="2"/>
        <v>14000</v>
      </c>
      <c r="I131" s="250">
        <f t="shared" si="3"/>
        <v>0.21875</v>
      </c>
    </row>
    <row r="132" spans="2:9" x14ac:dyDescent="0.3">
      <c r="B132" s="2">
        <v>221</v>
      </c>
      <c r="C132" s="41" t="s">
        <v>1612</v>
      </c>
      <c r="D132" s="2">
        <v>2</v>
      </c>
      <c r="E132" s="2" t="s">
        <v>112</v>
      </c>
      <c r="F132" s="294">
        <v>110543.75</v>
      </c>
      <c r="G132" s="247">
        <v>125650</v>
      </c>
      <c r="H132" s="295">
        <f t="shared" si="2"/>
        <v>15106.25</v>
      </c>
      <c r="I132" s="250">
        <f t="shared" si="3"/>
        <v>0.12022483087942698</v>
      </c>
    </row>
    <row r="133" spans="2:9" x14ac:dyDescent="0.3">
      <c r="B133" s="2">
        <v>223</v>
      </c>
      <c r="C133" s="41" t="s">
        <v>124</v>
      </c>
      <c r="D133" s="2">
        <v>2</v>
      </c>
      <c r="E133" s="2" t="s">
        <v>5</v>
      </c>
      <c r="F133" s="294">
        <v>2808.3825000000002</v>
      </c>
      <c r="G133" s="247">
        <v>3300</v>
      </c>
      <c r="H133" s="295">
        <f t="shared" si="2"/>
        <v>491.61749999999984</v>
      </c>
      <c r="I133" s="250">
        <f t="shared" si="3"/>
        <v>0.14897499999999994</v>
      </c>
    </row>
    <row r="134" spans="2:9" x14ac:dyDescent="0.3">
      <c r="B134" s="2">
        <v>225</v>
      </c>
      <c r="C134" s="41" t="s">
        <v>1613</v>
      </c>
      <c r="D134" s="2">
        <v>2</v>
      </c>
      <c r="E134" s="2" t="s">
        <v>112</v>
      </c>
      <c r="F134" s="294">
        <v>78577</v>
      </c>
      <c r="G134" s="247">
        <v>88133</v>
      </c>
      <c r="H134" s="295">
        <f t="shared" ref="H134:H197" si="4">G134-F134</f>
        <v>9556</v>
      </c>
      <c r="I134" s="250">
        <f t="shared" ref="I134:I197" si="5">H134/G134</f>
        <v>0.10842703641087902</v>
      </c>
    </row>
    <row r="135" spans="2:9" x14ac:dyDescent="0.3">
      <c r="B135" s="2">
        <v>226</v>
      </c>
      <c r="C135" s="41" t="s">
        <v>125</v>
      </c>
      <c r="D135" s="2">
        <v>2</v>
      </c>
      <c r="E135" s="2" t="s">
        <v>112</v>
      </c>
      <c r="F135" s="294">
        <v>76579</v>
      </c>
      <c r="G135" s="247">
        <v>80900</v>
      </c>
      <c r="H135" s="295">
        <f t="shared" si="4"/>
        <v>4321</v>
      </c>
      <c r="I135" s="250">
        <f t="shared" si="5"/>
        <v>5.3411619283065516E-2</v>
      </c>
    </row>
    <row r="136" spans="2:9" x14ac:dyDescent="0.3">
      <c r="B136" s="2">
        <v>227</v>
      </c>
      <c r="C136" s="41" t="s">
        <v>126</v>
      </c>
      <c r="D136" s="2">
        <v>2</v>
      </c>
      <c r="E136" s="2" t="s">
        <v>112</v>
      </c>
      <c r="F136" s="294">
        <v>71193</v>
      </c>
      <c r="G136" s="247">
        <v>80000</v>
      </c>
      <c r="H136" s="295">
        <f t="shared" si="4"/>
        <v>8807</v>
      </c>
      <c r="I136" s="250">
        <f t="shared" si="5"/>
        <v>0.1100875</v>
      </c>
    </row>
    <row r="137" spans="2:9" x14ac:dyDescent="0.3">
      <c r="B137" s="2">
        <v>228</v>
      </c>
      <c r="C137" s="41" t="s">
        <v>127</v>
      </c>
      <c r="D137" s="2">
        <v>2</v>
      </c>
      <c r="E137" s="2" t="s">
        <v>5</v>
      </c>
      <c r="F137" s="294">
        <v>77771.399999999994</v>
      </c>
      <c r="G137" s="247">
        <v>94216.666666666672</v>
      </c>
      <c r="H137" s="295">
        <f t="shared" si="4"/>
        <v>16445.266666666677</v>
      </c>
      <c r="I137" s="250">
        <f t="shared" si="5"/>
        <v>0.17454732000707598</v>
      </c>
    </row>
    <row r="138" spans="2:9" x14ac:dyDescent="0.3">
      <c r="B138" s="2">
        <v>229</v>
      </c>
      <c r="C138" s="41" t="s">
        <v>128</v>
      </c>
      <c r="D138" s="2">
        <v>7</v>
      </c>
      <c r="E138" s="2" t="s">
        <v>112</v>
      </c>
      <c r="F138" s="294">
        <v>600</v>
      </c>
      <c r="G138" s="247">
        <v>800</v>
      </c>
      <c r="H138" s="295">
        <f t="shared" si="4"/>
        <v>200</v>
      </c>
      <c r="I138" s="250">
        <f t="shared" si="5"/>
        <v>0.25</v>
      </c>
    </row>
    <row r="139" spans="2:9" x14ac:dyDescent="0.3">
      <c r="B139" s="2">
        <v>230</v>
      </c>
      <c r="C139" s="41" t="s">
        <v>129</v>
      </c>
      <c r="D139" s="2">
        <v>2</v>
      </c>
      <c r="E139" s="2" t="s">
        <v>5</v>
      </c>
      <c r="F139" s="294">
        <v>4398.5249999999996</v>
      </c>
      <c r="G139" s="247">
        <v>5016.666666666667</v>
      </c>
      <c r="H139" s="295">
        <f t="shared" si="4"/>
        <v>618.14166666666733</v>
      </c>
      <c r="I139" s="250">
        <f t="shared" si="5"/>
        <v>0.12321760797342206</v>
      </c>
    </row>
    <row r="140" spans="2:9" x14ac:dyDescent="0.3">
      <c r="B140" s="2">
        <v>232</v>
      </c>
      <c r="C140" s="41" t="s">
        <v>1614</v>
      </c>
      <c r="D140" s="2">
        <v>2</v>
      </c>
      <c r="E140" s="2" t="s">
        <v>142</v>
      </c>
      <c r="F140" s="294">
        <v>73458</v>
      </c>
      <c r="G140" s="247">
        <v>91800</v>
      </c>
      <c r="H140" s="295">
        <f t="shared" si="4"/>
        <v>18342</v>
      </c>
      <c r="I140" s="250">
        <f t="shared" si="5"/>
        <v>0.19980392156862745</v>
      </c>
    </row>
    <row r="141" spans="2:9" x14ac:dyDescent="0.3">
      <c r="B141" s="2">
        <v>234</v>
      </c>
      <c r="C141" s="41" t="s">
        <v>1615</v>
      </c>
      <c r="D141" s="2">
        <v>2</v>
      </c>
      <c r="E141" s="2" t="s">
        <v>112</v>
      </c>
      <c r="F141" s="294">
        <v>82071.149999999994</v>
      </c>
      <c r="G141" s="247">
        <v>132416.66666666666</v>
      </c>
      <c r="H141" s="295">
        <f t="shared" si="4"/>
        <v>50345.516666666663</v>
      </c>
      <c r="I141" s="250">
        <f t="shared" si="5"/>
        <v>0.38020528634361234</v>
      </c>
    </row>
    <row r="142" spans="2:9" x14ac:dyDescent="0.3">
      <c r="B142" s="2">
        <v>235</v>
      </c>
      <c r="C142" s="41" t="s">
        <v>130</v>
      </c>
      <c r="D142" s="2">
        <v>2</v>
      </c>
      <c r="E142" s="2" t="s">
        <v>112</v>
      </c>
      <c r="F142" s="294">
        <v>104188.35</v>
      </c>
      <c r="G142" s="247">
        <v>116508.33333333333</v>
      </c>
      <c r="H142" s="295">
        <f t="shared" si="4"/>
        <v>12319.983333333323</v>
      </c>
      <c r="I142" s="250">
        <f t="shared" si="5"/>
        <v>0.10574336599670973</v>
      </c>
    </row>
    <row r="143" spans="2:9" x14ac:dyDescent="0.3">
      <c r="B143" s="2">
        <v>237</v>
      </c>
      <c r="C143" s="41" t="s">
        <v>131</v>
      </c>
      <c r="D143" s="2">
        <v>2</v>
      </c>
      <c r="E143" s="2" t="s">
        <v>132</v>
      </c>
      <c r="F143" s="294">
        <v>18363.45</v>
      </c>
      <c r="G143" s="247">
        <v>21233.333333333332</v>
      </c>
      <c r="H143" s="295">
        <f t="shared" si="4"/>
        <v>2869.8833333333314</v>
      </c>
      <c r="I143" s="250">
        <f t="shared" si="5"/>
        <v>0.13515934065934057</v>
      </c>
    </row>
    <row r="144" spans="2:9" x14ac:dyDescent="0.3">
      <c r="B144" s="2">
        <v>238</v>
      </c>
      <c r="C144" s="41" t="s">
        <v>133</v>
      </c>
      <c r="D144" s="2">
        <v>2</v>
      </c>
      <c r="E144" s="2" t="s">
        <v>112</v>
      </c>
      <c r="F144" s="294">
        <v>62106.45</v>
      </c>
      <c r="G144" s="247">
        <v>71450</v>
      </c>
      <c r="H144" s="295">
        <f t="shared" si="4"/>
        <v>9343.5500000000029</v>
      </c>
      <c r="I144" s="250">
        <f t="shared" si="5"/>
        <v>0.13077046885934224</v>
      </c>
    </row>
    <row r="145" spans="2:9" x14ac:dyDescent="0.3">
      <c r="B145" s="2">
        <v>239</v>
      </c>
      <c r="C145" s="41" t="s">
        <v>134</v>
      </c>
      <c r="D145" s="2">
        <v>2</v>
      </c>
      <c r="E145" s="2" t="s">
        <v>5</v>
      </c>
      <c r="F145" s="294">
        <v>1647.3975</v>
      </c>
      <c r="G145" s="247">
        <v>1950</v>
      </c>
      <c r="H145" s="295">
        <f t="shared" si="4"/>
        <v>302.60249999999996</v>
      </c>
      <c r="I145" s="250">
        <f t="shared" si="5"/>
        <v>0.15518076923076921</v>
      </c>
    </row>
    <row r="146" spans="2:9" x14ac:dyDescent="0.3">
      <c r="B146" s="2">
        <v>241</v>
      </c>
      <c r="C146" s="41" t="s">
        <v>135</v>
      </c>
      <c r="D146" s="2">
        <v>2</v>
      </c>
      <c r="E146" s="2" t="s">
        <v>112</v>
      </c>
      <c r="F146" s="294">
        <v>78091.649999999994</v>
      </c>
      <c r="G146" s="247">
        <v>91916.666666666672</v>
      </c>
      <c r="H146" s="295">
        <f t="shared" si="4"/>
        <v>13825.016666666677</v>
      </c>
      <c r="I146" s="250">
        <f t="shared" si="5"/>
        <v>0.15040815956482331</v>
      </c>
    </row>
    <row r="147" spans="2:9" x14ac:dyDescent="0.3">
      <c r="B147" s="2">
        <v>244</v>
      </c>
      <c r="C147" s="41" t="s">
        <v>136</v>
      </c>
      <c r="D147" s="2">
        <v>14</v>
      </c>
      <c r="E147" s="2" t="s">
        <v>104</v>
      </c>
      <c r="F147" s="294">
        <v>10550</v>
      </c>
      <c r="G147" s="247">
        <v>12133.333333333334</v>
      </c>
      <c r="H147" s="295">
        <f t="shared" si="4"/>
        <v>1583.3333333333339</v>
      </c>
      <c r="I147" s="250">
        <f t="shared" si="5"/>
        <v>0.13049450549450553</v>
      </c>
    </row>
    <row r="148" spans="2:9" x14ac:dyDescent="0.3">
      <c r="B148" s="2">
        <v>248</v>
      </c>
      <c r="C148" s="41" t="s">
        <v>137</v>
      </c>
      <c r="D148" s="2">
        <v>6</v>
      </c>
      <c r="E148" s="2" t="s">
        <v>16</v>
      </c>
      <c r="F148" s="294">
        <v>18350</v>
      </c>
      <c r="G148" s="247">
        <v>22000</v>
      </c>
      <c r="H148" s="295">
        <f t="shared" si="4"/>
        <v>3650</v>
      </c>
      <c r="I148" s="250">
        <f t="shared" si="5"/>
        <v>0.16590909090909092</v>
      </c>
    </row>
    <row r="149" spans="2:9" x14ac:dyDescent="0.3">
      <c r="B149" s="2">
        <v>249</v>
      </c>
      <c r="C149" s="41" t="s">
        <v>138</v>
      </c>
      <c r="D149" s="2">
        <v>6</v>
      </c>
      <c r="E149" s="2" t="s">
        <v>16</v>
      </c>
      <c r="F149" s="294">
        <v>64476</v>
      </c>
      <c r="G149" s="247">
        <v>72000</v>
      </c>
      <c r="H149" s="295">
        <f t="shared" si="4"/>
        <v>7524</v>
      </c>
      <c r="I149" s="250">
        <f t="shared" si="5"/>
        <v>0.1045</v>
      </c>
    </row>
    <row r="150" spans="2:9" x14ac:dyDescent="0.3">
      <c r="B150" s="2">
        <v>250</v>
      </c>
      <c r="C150" s="41" t="s">
        <v>139</v>
      </c>
      <c r="D150" s="2">
        <v>14</v>
      </c>
      <c r="E150" s="2" t="s">
        <v>32</v>
      </c>
      <c r="F150" s="294">
        <v>13052</v>
      </c>
      <c r="G150" s="247">
        <v>16000</v>
      </c>
      <c r="H150" s="295">
        <f t="shared" si="4"/>
        <v>2948</v>
      </c>
      <c r="I150" s="250">
        <f t="shared" si="5"/>
        <v>0.18425</v>
      </c>
    </row>
    <row r="151" spans="2:9" x14ac:dyDescent="0.3">
      <c r="B151" s="2">
        <v>252</v>
      </c>
      <c r="C151" s="41" t="s">
        <v>1616</v>
      </c>
      <c r="D151" s="2">
        <v>2</v>
      </c>
      <c r="E151" s="2" t="s">
        <v>132</v>
      </c>
      <c r="F151" s="294">
        <v>31861.147499999999</v>
      </c>
      <c r="G151" s="247">
        <v>36250</v>
      </c>
      <c r="H151" s="295">
        <f t="shared" si="4"/>
        <v>4388.8525000000009</v>
      </c>
      <c r="I151" s="250">
        <f t="shared" si="5"/>
        <v>0.1210717931034483</v>
      </c>
    </row>
    <row r="152" spans="2:9" x14ac:dyDescent="0.3">
      <c r="B152" s="2">
        <v>253</v>
      </c>
      <c r="C152" s="41" t="s">
        <v>140</v>
      </c>
      <c r="D152" s="2">
        <v>2</v>
      </c>
      <c r="E152" s="2" t="s">
        <v>5</v>
      </c>
      <c r="F152" s="294">
        <v>3057.66</v>
      </c>
      <c r="G152" s="247">
        <v>3500</v>
      </c>
      <c r="H152" s="295">
        <f t="shared" si="4"/>
        <v>442.34000000000015</v>
      </c>
      <c r="I152" s="250">
        <f t="shared" si="5"/>
        <v>0.12638285714285719</v>
      </c>
    </row>
    <row r="153" spans="2:9" x14ac:dyDescent="0.3">
      <c r="B153" s="2">
        <v>254</v>
      </c>
      <c r="C153" s="41" t="s">
        <v>141</v>
      </c>
      <c r="D153" s="2">
        <v>2</v>
      </c>
      <c r="E153" s="2" t="s">
        <v>142</v>
      </c>
      <c r="F153" s="294">
        <v>89479.74</v>
      </c>
      <c r="G153" s="247">
        <v>100017</v>
      </c>
      <c r="H153" s="295">
        <f t="shared" si="4"/>
        <v>10537.259999999995</v>
      </c>
      <c r="I153" s="250">
        <f t="shared" si="5"/>
        <v>0.10535468970275048</v>
      </c>
    </row>
    <row r="154" spans="2:9" x14ac:dyDescent="0.3">
      <c r="B154" s="2">
        <v>256</v>
      </c>
      <c r="C154" s="41" t="s">
        <v>1617</v>
      </c>
      <c r="D154" s="2">
        <v>14</v>
      </c>
      <c r="E154" s="2" t="s">
        <v>12</v>
      </c>
      <c r="F154" s="294">
        <v>5200</v>
      </c>
      <c r="G154" s="247">
        <v>7200</v>
      </c>
      <c r="H154" s="295">
        <f t="shared" si="4"/>
        <v>2000</v>
      </c>
      <c r="I154" s="250">
        <f t="shared" si="5"/>
        <v>0.27777777777777779</v>
      </c>
    </row>
    <row r="155" spans="2:9" x14ac:dyDescent="0.3">
      <c r="B155" s="2">
        <v>257</v>
      </c>
      <c r="C155" s="41" t="s">
        <v>143</v>
      </c>
      <c r="D155" s="2">
        <v>4</v>
      </c>
      <c r="E155" s="2" t="s">
        <v>35</v>
      </c>
      <c r="F155" s="294">
        <v>23076.06</v>
      </c>
      <c r="G155" s="247">
        <v>27866.666666666668</v>
      </c>
      <c r="H155" s="295">
        <f t="shared" si="4"/>
        <v>4790.6066666666666</v>
      </c>
      <c r="I155" s="250">
        <f t="shared" si="5"/>
        <v>0.17191172248803827</v>
      </c>
    </row>
    <row r="156" spans="2:9" x14ac:dyDescent="0.3">
      <c r="B156" s="2">
        <v>260</v>
      </c>
      <c r="C156" s="41" t="s">
        <v>144</v>
      </c>
      <c r="D156" s="2">
        <v>5</v>
      </c>
      <c r="E156" s="2" t="s">
        <v>5</v>
      </c>
      <c r="F156" s="294">
        <v>9200</v>
      </c>
      <c r="G156" s="247">
        <v>10266.666666666666</v>
      </c>
      <c r="H156" s="295">
        <f t="shared" si="4"/>
        <v>1066.6666666666661</v>
      </c>
      <c r="I156" s="250">
        <f t="shared" si="5"/>
        <v>0.10389610389610385</v>
      </c>
    </row>
    <row r="157" spans="2:9" x14ac:dyDescent="0.3">
      <c r="B157" s="2">
        <v>261</v>
      </c>
      <c r="C157" s="41" t="s">
        <v>1618</v>
      </c>
      <c r="D157" s="2">
        <v>14</v>
      </c>
      <c r="E157" s="2" t="s">
        <v>59</v>
      </c>
      <c r="F157" s="294">
        <v>6000</v>
      </c>
      <c r="G157" s="247">
        <v>6000</v>
      </c>
      <c r="H157" s="295">
        <f t="shared" si="4"/>
        <v>0</v>
      </c>
      <c r="I157" s="250">
        <f t="shared" si="5"/>
        <v>0</v>
      </c>
    </row>
    <row r="158" spans="2:9" x14ac:dyDescent="0.3">
      <c r="B158" s="2">
        <v>264</v>
      </c>
      <c r="C158" s="41" t="s">
        <v>145</v>
      </c>
      <c r="D158" s="2">
        <v>5</v>
      </c>
      <c r="E158" s="2" t="s">
        <v>5</v>
      </c>
      <c r="F158" s="294">
        <v>41000</v>
      </c>
      <c r="G158" s="247">
        <v>55466.666666666664</v>
      </c>
      <c r="H158" s="295">
        <f t="shared" si="4"/>
        <v>14466.666666666664</v>
      </c>
      <c r="I158" s="250">
        <f t="shared" si="5"/>
        <v>0.26081730769230765</v>
      </c>
    </row>
    <row r="159" spans="2:9" x14ac:dyDescent="0.3">
      <c r="B159" s="2">
        <v>265</v>
      </c>
      <c r="C159" s="41" t="s">
        <v>146</v>
      </c>
      <c r="D159" s="2">
        <v>5</v>
      </c>
      <c r="E159" s="2" t="s">
        <v>5</v>
      </c>
      <c r="F159" s="294">
        <v>41000</v>
      </c>
      <c r="G159" s="247">
        <v>64333.333333333336</v>
      </c>
      <c r="H159" s="295">
        <f t="shared" si="4"/>
        <v>23333.333333333336</v>
      </c>
      <c r="I159" s="250">
        <f t="shared" si="5"/>
        <v>0.36269430051813473</v>
      </c>
    </row>
    <row r="160" spans="2:9" x14ac:dyDescent="0.3">
      <c r="B160" s="2">
        <v>266</v>
      </c>
      <c r="C160" s="41" t="s">
        <v>147</v>
      </c>
      <c r="D160" s="2">
        <v>4</v>
      </c>
      <c r="E160" s="2" t="s">
        <v>21</v>
      </c>
      <c r="F160" s="294">
        <v>13386</v>
      </c>
      <c r="G160" s="247">
        <v>16500</v>
      </c>
      <c r="H160" s="295">
        <f t="shared" si="4"/>
        <v>3114</v>
      </c>
      <c r="I160" s="250">
        <f t="shared" si="5"/>
        <v>0.18872727272727272</v>
      </c>
    </row>
    <row r="161" spans="2:9" x14ac:dyDescent="0.3">
      <c r="B161" s="2">
        <v>272</v>
      </c>
      <c r="C161" s="41" t="s">
        <v>148</v>
      </c>
      <c r="D161" s="2">
        <v>12</v>
      </c>
      <c r="E161" s="2" t="s">
        <v>12</v>
      </c>
      <c r="F161" s="294">
        <v>16458.75</v>
      </c>
      <c r="G161" s="247">
        <v>18500</v>
      </c>
      <c r="H161" s="295">
        <f t="shared" si="4"/>
        <v>2041.25</v>
      </c>
      <c r="I161" s="250">
        <f t="shared" si="5"/>
        <v>0.11033783783783783</v>
      </c>
    </row>
    <row r="162" spans="2:9" x14ac:dyDescent="0.3">
      <c r="B162" s="2">
        <v>273</v>
      </c>
      <c r="C162" s="41" t="s">
        <v>1619</v>
      </c>
      <c r="D162" s="2">
        <v>12</v>
      </c>
      <c r="E162" s="2" t="s">
        <v>12</v>
      </c>
      <c r="F162" s="294">
        <v>37500</v>
      </c>
      <c r="G162" s="247">
        <v>37250</v>
      </c>
      <c r="H162" s="295">
        <f t="shared" si="4"/>
        <v>-250</v>
      </c>
      <c r="I162" s="250">
        <f t="shared" si="5"/>
        <v>-6.7114093959731542E-3</v>
      </c>
    </row>
    <row r="163" spans="2:9" x14ac:dyDescent="0.3">
      <c r="B163" s="2">
        <v>274</v>
      </c>
      <c r="C163" s="41" t="s">
        <v>149</v>
      </c>
      <c r="D163" s="2">
        <v>12</v>
      </c>
      <c r="E163" s="2" t="s">
        <v>12</v>
      </c>
      <c r="F163" s="294">
        <v>332000</v>
      </c>
      <c r="G163" s="247">
        <v>361000</v>
      </c>
      <c r="H163" s="295">
        <f t="shared" si="4"/>
        <v>29000</v>
      </c>
      <c r="I163" s="250">
        <f t="shared" si="5"/>
        <v>8.0332409972299165E-2</v>
      </c>
    </row>
    <row r="164" spans="2:9" x14ac:dyDescent="0.3">
      <c r="B164" s="2">
        <v>275</v>
      </c>
      <c r="C164" s="41" t="s">
        <v>1620</v>
      </c>
      <c r="D164" s="2">
        <v>8</v>
      </c>
      <c r="E164" s="2" t="s">
        <v>27</v>
      </c>
      <c r="F164" s="294">
        <v>260500</v>
      </c>
      <c r="G164" s="247">
        <v>342600</v>
      </c>
      <c r="H164" s="295">
        <f t="shared" si="4"/>
        <v>82100</v>
      </c>
      <c r="I164" s="250">
        <f t="shared" si="5"/>
        <v>0.23963806187974315</v>
      </c>
    </row>
    <row r="165" spans="2:9" x14ac:dyDescent="0.3">
      <c r="B165" s="2">
        <v>278</v>
      </c>
      <c r="C165" s="41" t="s">
        <v>150</v>
      </c>
      <c r="D165" s="2">
        <v>14</v>
      </c>
      <c r="E165" s="2" t="s">
        <v>32</v>
      </c>
      <c r="F165" s="294">
        <v>33247</v>
      </c>
      <c r="G165" s="247">
        <v>38600</v>
      </c>
      <c r="H165" s="295">
        <f t="shared" si="4"/>
        <v>5353</v>
      </c>
      <c r="I165" s="250">
        <f t="shared" si="5"/>
        <v>0.13867875647668393</v>
      </c>
    </row>
    <row r="166" spans="2:9" x14ac:dyDescent="0.3">
      <c r="B166" s="2">
        <v>279</v>
      </c>
      <c r="C166" s="41" t="s">
        <v>1621</v>
      </c>
      <c r="D166" s="2">
        <v>14</v>
      </c>
      <c r="E166" s="2" t="s">
        <v>32</v>
      </c>
      <c r="F166" s="294">
        <v>40262</v>
      </c>
      <c r="G166" s="247">
        <v>46300</v>
      </c>
      <c r="H166" s="295">
        <f t="shared" si="4"/>
        <v>6038</v>
      </c>
      <c r="I166" s="250">
        <f t="shared" si="5"/>
        <v>0.13041036717062635</v>
      </c>
    </row>
    <row r="167" spans="2:9" x14ac:dyDescent="0.3">
      <c r="B167" s="2">
        <v>286</v>
      </c>
      <c r="C167" s="41" t="s">
        <v>151</v>
      </c>
      <c r="D167" s="2">
        <v>4</v>
      </c>
      <c r="E167" s="2" t="s">
        <v>21</v>
      </c>
      <c r="F167" s="294">
        <v>27300</v>
      </c>
      <c r="G167" s="247">
        <v>30000</v>
      </c>
      <c r="H167" s="295">
        <f t="shared" si="4"/>
        <v>2700</v>
      </c>
      <c r="I167" s="250">
        <f t="shared" si="5"/>
        <v>0.09</v>
      </c>
    </row>
    <row r="168" spans="2:9" x14ac:dyDescent="0.3">
      <c r="B168" s="2">
        <v>287</v>
      </c>
      <c r="C168" s="41" t="s">
        <v>152</v>
      </c>
      <c r="D168" s="2">
        <v>8</v>
      </c>
      <c r="E168" s="2" t="s">
        <v>16</v>
      </c>
      <c r="F168" s="294">
        <v>34500</v>
      </c>
      <c r="G168" s="247">
        <v>38866.666666666664</v>
      </c>
      <c r="H168" s="295">
        <f t="shared" si="4"/>
        <v>4366.6666666666642</v>
      </c>
      <c r="I168" s="250">
        <f t="shared" si="5"/>
        <v>0.11234991423670664</v>
      </c>
    </row>
    <row r="169" spans="2:9" x14ac:dyDescent="0.3">
      <c r="B169" s="2">
        <v>288</v>
      </c>
      <c r="C169" s="41" t="s">
        <v>1622</v>
      </c>
      <c r="D169" s="2">
        <v>8</v>
      </c>
      <c r="E169" s="2" t="s">
        <v>41</v>
      </c>
      <c r="F169" s="294">
        <v>137300</v>
      </c>
      <c r="G169" s="247">
        <v>150550</v>
      </c>
      <c r="H169" s="295">
        <f t="shared" si="4"/>
        <v>13250</v>
      </c>
      <c r="I169" s="250">
        <f t="shared" si="5"/>
        <v>8.8010627698439051E-2</v>
      </c>
    </row>
    <row r="170" spans="2:9" x14ac:dyDescent="0.3">
      <c r="B170" s="2">
        <v>289</v>
      </c>
      <c r="C170" s="41" t="s">
        <v>153</v>
      </c>
      <c r="D170" s="2">
        <v>8</v>
      </c>
      <c r="E170" s="2" t="s">
        <v>39</v>
      </c>
      <c r="F170" s="294">
        <v>680500</v>
      </c>
      <c r="G170" s="247">
        <v>713333.33333333337</v>
      </c>
      <c r="H170" s="295">
        <f t="shared" si="4"/>
        <v>32833.333333333372</v>
      </c>
      <c r="I170" s="250">
        <f t="shared" si="5"/>
        <v>4.6028037383177622E-2</v>
      </c>
    </row>
    <row r="171" spans="2:9" x14ac:dyDescent="0.3">
      <c r="B171" s="2">
        <v>296</v>
      </c>
      <c r="C171" s="41" t="s">
        <v>154</v>
      </c>
      <c r="D171" s="2">
        <v>8</v>
      </c>
      <c r="E171" s="2" t="s">
        <v>41</v>
      </c>
      <c r="F171" s="294">
        <v>98988</v>
      </c>
      <c r="G171" s="247">
        <v>111333.33333333333</v>
      </c>
      <c r="H171" s="295">
        <f t="shared" si="4"/>
        <v>12345.333333333328</v>
      </c>
      <c r="I171" s="250">
        <f t="shared" si="5"/>
        <v>0.11088622754491013</v>
      </c>
    </row>
    <row r="172" spans="2:9" x14ac:dyDescent="0.3">
      <c r="B172" s="2">
        <v>297</v>
      </c>
      <c r="C172" s="41" t="s">
        <v>155</v>
      </c>
      <c r="D172" s="2">
        <v>8</v>
      </c>
      <c r="E172" s="2" t="s">
        <v>16</v>
      </c>
      <c r="F172" s="294">
        <v>26422</v>
      </c>
      <c r="G172" s="247">
        <v>31583.333333333332</v>
      </c>
      <c r="H172" s="295">
        <f t="shared" si="4"/>
        <v>5161.3333333333321</v>
      </c>
      <c r="I172" s="250">
        <f t="shared" si="5"/>
        <v>0.16341952506596302</v>
      </c>
    </row>
    <row r="173" spans="2:9" x14ac:dyDescent="0.3">
      <c r="B173" s="2">
        <v>299</v>
      </c>
      <c r="C173" s="41" t="s">
        <v>156</v>
      </c>
      <c r="D173" s="2">
        <v>9</v>
      </c>
      <c r="E173" s="2" t="s">
        <v>56</v>
      </c>
      <c r="F173" s="294">
        <v>9778.23</v>
      </c>
      <c r="G173" s="247">
        <v>10833.333333333334</v>
      </c>
      <c r="H173" s="295">
        <f t="shared" si="4"/>
        <v>1055.1033333333344</v>
      </c>
      <c r="I173" s="250">
        <f t="shared" si="5"/>
        <v>9.7394153846153936E-2</v>
      </c>
    </row>
    <row r="174" spans="2:9" x14ac:dyDescent="0.3">
      <c r="B174" s="2">
        <v>302</v>
      </c>
      <c r="C174" s="41" t="s">
        <v>1623</v>
      </c>
      <c r="D174" s="2">
        <v>9</v>
      </c>
      <c r="E174" s="2" t="s">
        <v>12</v>
      </c>
      <c r="F174" s="294">
        <v>12000</v>
      </c>
      <c r="G174" s="247">
        <v>16000</v>
      </c>
      <c r="H174" s="295">
        <f t="shared" si="4"/>
        <v>4000</v>
      </c>
      <c r="I174" s="250">
        <f t="shared" si="5"/>
        <v>0.25</v>
      </c>
    </row>
    <row r="175" spans="2:9" x14ac:dyDescent="0.3">
      <c r="B175" s="2">
        <v>307</v>
      </c>
      <c r="C175" s="41" t="s">
        <v>157</v>
      </c>
      <c r="D175" s="2">
        <v>14</v>
      </c>
      <c r="E175" s="2" t="s">
        <v>59</v>
      </c>
      <c r="F175" s="294">
        <v>7466</v>
      </c>
      <c r="G175" s="247">
        <v>8500</v>
      </c>
      <c r="H175" s="295">
        <f t="shared" si="4"/>
        <v>1034</v>
      </c>
      <c r="I175" s="250">
        <f t="shared" si="5"/>
        <v>0.12164705882352941</v>
      </c>
    </row>
    <row r="176" spans="2:9" x14ac:dyDescent="0.3">
      <c r="B176" s="2">
        <v>311</v>
      </c>
      <c r="C176" s="41" t="s">
        <v>158</v>
      </c>
      <c r="D176" s="2">
        <v>2</v>
      </c>
      <c r="E176" s="2" t="s">
        <v>5</v>
      </c>
      <c r="F176" s="294">
        <v>1749.6121000000001</v>
      </c>
      <c r="G176" s="247">
        <v>2083.3333333333335</v>
      </c>
      <c r="H176" s="295">
        <f t="shared" si="4"/>
        <v>333.72123333333343</v>
      </c>
      <c r="I176" s="250">
        <f t="shared" si="5"/>
        <v>0.16018619200000003</v>
      </c>
    </row>
    <row r="177" spans="2:9" x14ac:dyDescent="0.3">
      <c r="B177" s="2">
        <v>312</v>
      </c>
      <c r="C177" s="41" t="s">
        <v>159</v>
      </c>
      <c r="D177" s="2">
        <v>7</v>
      </c>
      <c r="E177" s="2" t="s">
        <v>160</v>
      </c>
      <c r="F177" s="294">
        <v>2420</v>
      </c>
      <c r="G177" s="247">
        <v>3383.3333333333335</v>
      </c>
      <c r="H177" s="295">
        <f t="shared" si="4"/>
        <v>963.33333333333348</v>
      </c>
      <c r="I177" s="250">
        <f t="shared" si="5"/>
        <v>0.2847290640394089</v>
      </c>
    </row>
    <row r="178" spans="2:9" x14ac:dyDescent="0.3">
      <c r="B178" s="2">
        <v>315</v>
      </c>
      <c r="C178" s="41" t="s">
        <v>161</v>
      </c>
      <c r="D178" s="2">
        <v>14</v>
      </c>
      <c r="E178" s="2" t="s">
        <v>81</v>
      </c>
      <c r="F178" s="294">
        <v>11333</v>
      </c>
      <c r="G178" s="247">
        <v>14200</v>
      </c>
      <c r="H178" s="295">
        <f t="shared" si="4"/>
        <v>2867</v>
      </c>
      <c r="I178" s="250">
        <f t="shared" si="5"/>
        <v>0.20190140845070423</v>
      </c>
    </row>
    <row r="179" spans="2:9" x14ac:dyDescent="0.3">
      <c r="B179" s="2">
        <v>316</v>
      </c>
      <c r="C179" s="41" t="s">
        <v>162</v>
      </c>
      <c r="D179" s="2">
        <v>9</v>
      </c>
      <c r="E179" s="2" t="s">
        <v>12</v>
      </c>
      <c r="F179" s="294">
        <v>9855.58</v>
      </c>
      <c r="G179" s="247">
        <v>12733.333333333334</v>
      </c>
      <c r="H179" s="295">
        <f t="shared" si="4"/>
        <v>2877.753333333334</v>
      </c>
      <c r="I179" s="250">
        <f t="shared" si="5"/>
        <v>0.22600157068062832</v>
      </c>
    </row>
    <row r="180" spans="2:9" x14ac:dyDescent="0.3">
      <c r="B180" s="2">
        <v>317</v>
      </c>
      <c r="C180" s="41" t="s">
        <v>163</v>
      </c>
      <c r="D180" s="2">
        <v>9</v>
      </c>
      <c r="E180" s="2" t="s">
        <v>12</v>
      </c>
      <c r="F180" s="294">
        <v>13400.59</v>
      </c>
      <c r="G180" s="247">
        <v>15000</v>
      </c>
      <c r="H180" s="295">
        <f t="shared" si="4"/>
        <v>1599.4099999999999</v>
      </c>
      <c r="I180" s="250">
        <f t="shared" si="5"/>
        <v>0.10662733333333332</v>
      </c>
    </row>
    <row r="181" spans="2:9" x14ac:dyDescent="0.3">
      <c r="B181" s="2">
        <v>319</v>
      </c>
      <c r="C181" s="41" t="s">
        <v>164</v>
      </c>
      <c r="D181" s="2">
        <v>5</v>
      </c>
      <c r="E181" s="2" t="s">
        <v>35</v>
      </c>
      <c r="F181" s="294">
        <v>14700</v>
      </c>
      <c r="G181" s="247">
        <v>18500</v>
      </c>
      <c r="H181" s="295">
        <f t="shared" si="4"/>
        <v>3800</v>
      </c>
      <c r="I181" s="250">
        <f t="shared" si="5"/>
        <v>0.20540540540540542</v>
      </c>
    </row>
    <row r="182" spans="2:9" x14ac:dyDescent="0.3">
      <c r="B182" s="2">
        <v>327</v>
      </c>
      <c r="C182" s="41" t="s">
        <v>165</v>
      </c>
      <c r="D182" s="2">
        <v>14</v>
      </c>
      <c r="E182" s="2" t="s">
        <v>32</v>
      </c>
      <c r="F182" s="294">
        <v>39528</v>
      </c>
      <c r="G182" s="247">
        <v>45200</v>
      </c>
      <c r="H182" s="295">
        <f t="shared" si="4"/>
        <v>5672</v>
      </c>
      <c r="I182" s="250">
        <f t="shared" si="5"/>
        <v>0.12548672566371682</v>
      </c>
    </row>
    <row r="183" spans="2:9" x14ac:dyDescent="0.3">
      <c r="B183" s="2">
        <v>328</v>
      </c>
      <c r="C183" s="41" t="s">
        <v>166</v>
      </c>
      <c r="D183" s="2">
        <v>14</v>
      </c>
      <c r="E183" s="2" t="s">
        <v>100</v>
      </c>
      <c r="F183" s="294">
        <v>12423</v>
      </c>
      <c r="G183" s="247">
        <v>13600</v>
      </c>
      <c r="H183" s="295">
        <f t="shared" si="4"/>
        <v>1177</v>
      </c>
      <c r="I183" s="250">
        <f t="shared" si="5"/>
        <v>8.6544117647058827E-2</v>
      </c>
    </row>
    <row r="184" spans="2:9" x14ac:dyDescent="0.3">
      <c r="B184" s="2">
        <v>330</v>
      </c>
      <c r="C184" s="41" t="s">
        <v>167</v>
      </c>
      <c r="D184" s="2">
        <v>13</v>
      </c>
      <c r="E184" s="2" t="s">
        <v>12</v>
      </c>
      <c r="F184" s="294">
        <v>179640.1152</v>
      </c>
      <c r="G184" s="247">
        <v>230000</v>
      </c>
      <c r="H184" s="295">
        <f t="shared" si="4"/>
        <v>50359.8848</v>
      </c>
      <c r="I184" s="250">
        <f t="shared" si="5"/>
        <v>0.21895602086956523</v>
      </c>
    </row>
    <row r="185" spans="2:9" x14ac:dyDescent="0.3">
      <c r="B185" s="2">
        <v>333</v>
      </c>
      <c r="C185" s="41" t="s">
        <v>168</v>
      </c>
      <c r="D185" s="2">
        <v>6</v>
      </c>
      <c r="E185" s="2" t="s">
        <v>12</v>
      </c>
      <c r="F185" s="294">
        <v>20427</v>
      </c>
      <c r="G185" s="247">
        <v>24833.333333333332</v>
      </c>
      <c r="H185" s="295">
        <f t="shared" si="4"/>
        <v>4406.3333333333321</v>
      </c>
      <c r="I185" s="250">
        <f t="shared" si="5"/>
        <v>0.1774362416107382</v>
      </c>
    </row>
    <row r="186" spans="2:9" x14ac:dyDescent="0.3">
      <c r="B186" s="2">
        <v>334</v>
      </c>
      <c r="C186" s="41" t="s">
        <v>169</v>
      </c>
      <c r="D186" s="2">
        <v>6</v>
      </c>
      <c r="E186" s="2" t="s">
        <v>16</v>
      </c>
      <c r="F186" s="294">
        <v>181625.71</v>
      </c>
      <c r="G186" s="247">
        <v>208833.33333333334</v>
      </c>
      <c r="H186" s="295">
        <f t="shared" si="4"/>
        <v>27207.623333333351</v>
      </c>
      <c r="I186" s="250">
        <f t="shared" si="5"/>
        <v>0.13028391061452521</v>
      </c>
    </row>
    <row r="187" spans="2:9" x14ac:dyDescent="0.3">
      <c r="B187" s="2">
        <v>338</v>
      </c>
      <c r="C187" s="41" t="s">
        <v>1624</v>
      </c>
      <c r="D187" s="2">
        <v>14</v>
      </c>
      <c r="E187" s="2" t="s">
        <v>12</v>
      </c>
      <c r="F187" s="294">
        <v>8250</v>
      </c>
      <c r="G187" s="247">
        <v>9300</v>
      </c>
      <c r="H187" s="295">
        <f t="shared" si="4"/>
        <v>1050</v>
      </c>
      <c r="I187" s="250">
        <f t="shared" si="5"/>
        <v>0.11290322580645161</v>
      </c>
    </row>
    <row r="188" spans="2:9" x14ac:dyDescent="0.3">
      <c r="B188" s="2">
        <v>339</v>
      </c>
      <c r="C188" s="41" t="s">
        <v>170</v>
      </c>
      <c r="D188" s="2">
        <v>14</v>
      </c>
      <c r="E188" s="2" t="s">
        <v>12</v>
      </c>
      <c r="F188" s="294">
        <v>8618</v>
      </c>
      <c r="G188" s="247">
        <v>10000</v>
      </c>
      <c r="H188" s="295">
        <f t="shared" si="4"/>
        <v>1382</v>
      </c>
      <c r="I188" s="250">
        <f t="shared" si="5"/>
        <v>0.13819999999999999</v>
      </c>
    </row>
    <row r="189" spans="2:9" x14ac:dyDescent="0.3">
      <c r="B189" s="2">
        <v>340</v>
      </c>
      <c r="C189" s="41" t="s">
        <v>1625</v>
      </c>
      <c r="D189" s="2">
        <v>14</v>
      </c>
      <c r="E189" s="2" t="s">
        <v>12</v>
      </c>
      <c r="F189" s="294">
        <v>5593</v>
      </c>
      <c r="G189" s="247">
        <v>6800</v>
      </c>
      <c r="H189" s="295">
        <f t="shared" si="4"/>
        <v>1207</v>
      </c>
      <c r="I189" s="250">
        <f t="shared" si="5"/>
        <v>0.17749999999999999</v>
      </c>
    </row>
    <row r="190" spans="2:9" x14ac:dyDescent="0.3">
      <c r="B190" s="2">
        <v>342</v>
      </c>
      <c r="C190" s="41" t="s">
        <v>171</v>
      </c>
      <c r="D190" s="2">
        <v>10</v>
      </c>
      <c r="E190" s="2" t="s">
        <v>12</v>
      </c>
      <c r="F190" s="294">
        <v>452.2</v>
      </c>
      <c r="G190" s="247">
        <v>550</v>
      </c>
      <c r="H190" s="295">
        <f t="shared" si="4"/>
        <v>97.800000000000011</v>
      </c>
      <c r="I190" s="250">
        <f t="shared" si="5"/>
        <v>0.17781818181818185</v>
      </c>
    </row>
    <row r="191" spans="2:9" x14ac:dyDescent="0.3">
      <c r="B191" s="2">
        <v>343</v>
      </c>
      <c r="C191" s="41" t="s">
        <v>172</v>
      </c>
      <c r="D191" s="2">
        <v>10</v>
      </c>
      <c r="E191" s="2" t="s">
        <v>12</v>
      </c>
      <c r="F191" s="294">
        <v>248.42</v>
      </c>
      <c r="G191" s="247">
        <v>450</v>
      </c>
      <c r="H191" s="295">
        <f t="shared" si="4"/>
        <v>201.58</v>
      </c>
      <c r="I191" s="250">
        <f t="shared" si="5"/>
        <v>0.44795555555555561</v>
      </c>
    </row>
    <row r="192" spans="2:9" x14ac:dyDescent="0.3">
      <c r="B192" s="2">
        <v>344</v>
      </c>
      <c r="C192" s="41" t="s">
        <v>173</v>
      </c>
      <c r="D192" s="2">
        <v>16</v>
      </c>
      <c r="E192" s="2" t="s">
        <v>12</v>
      </c>
      <c r="F192" s="294">
        <v>368.9</v>
      </c>
      <c r="G192" s="247">
        <v>500</v>
      </c>
      <c r="H192" s="295">
        <f t="shared" si="4"/>
        <v>131.10000000000002</v>
      </c>
      <c r="I192" s="250">
        <f t="shared" si="5"/>
        <v>0.26220000000000004</v>
      </c>
    </row>
    <row r="193" spans="2:9" x14ac:dyDescent="0.3">
      <c r="B193" s="2">
        <v>345</v>
      </c>
      <c r="C193" s="41" t="s">
        <v>174</v>
      </c>
      <c r="D193" s="2">
        <v>10</v>
      </c>
      <c r="E193" s="2" t="s">
        <v>12</v>
      </c>
      <c r="F193" s="294">
        <v>23566</v>
      </c>
      <c r="G193" s="247">
        <v>30000</v>
      </c>
      <c r="H193" s="295">
        <f t="shared" si="4"/>
        <v>6434</v>
      </c>
      <c r="I193" s="250">
        <f t="shared" si="5"/>
        <v>0.21446666666666667</v>
      </c>
    </row>
    <row r="194" spans="2:9" x14ac:dyDescent="0.3">
      <c r="B194" s="2">
        <v>353</v>
      </c>
      <c r="C194" s="41" t="s">
        <v>175</v>
      </c>
      <c r="D194" s="2">
        <v>14</v>
      </c>
      <c r="E194" s="2" t="s">
        <v>176</v>
      </c>
      <c r="F194" s="294">
        <v>12361.6</v>
      </c>
      <c r="G194" s="247">
        <v>14516.666666666666</v>
      </c>
      <c r="H194" s="295">
        <f t="shared" si="4"/>
        <v>2155.0666666666657</v>
      </c>
      <c r="I194" s="250">
        <f t="shared" si="5"/>
        <v>0.14845464982778409</v>
      </c>
    </row>
    <row r="195" spans="2:9" x14ac:dyDescent="0.3">
      <c r="B195" s="2">
        <v>355</v>
      </c>
      <c r="C195" s="41" t="s">
        <v>177</v>
      </c>
      <c r="D195" s="2">
        <v>1</v>
      </c>
      <c r="E195" s="2" t="s">
        <v>178</v>
      </c>
      <c r="F195" s="294">
        <v>220000</v>
      </c>
      <c r="G195" s="247">
        <v>244000</v>
      </c>
      <c r="H195" s="295">
        <f t="shared" si="4"/>
        <v>24000</v>
      </c>
      <c r="I195" s="250">
        <f t="shared" si="5"/>
        <v>9.8360655737704916E-2</v>
      </c>
    </row>
    <row r="196" spans="2:9" x14ac:dyDescent="0.3">
      <c r="B196" s="2">
        <v>356</v>
      </c>
      <c r="C196" s="41" t="s">
        <v>179</v>
      </c>
      <c r="D196" s="2">
        <v>1</v>
      </c>
      <c r="E196" s="2" t="s">
        <v>5</v>
      </c>
      <c r="F196" s="294">
        <v>3060</v>
      </c>
      <c r="G196" s="247">
        <v>4600</v>
      </c>
      <c r="H196" s="295">
        <f t="shared" si="4"/>
        <v>1540</v>
      </c>
      <c r="I196" s="250">
        <f t="shared" si="5"/>
        <v>0.33478260869565218</v>
      </c>
    </row>
    <row r="197" spans="2:9" x14ac:dyDescent="0.3">
      <c r="B197" s="2">
        <v>358</v>
      </c>
      <c r="C197" s="41" t="s">
        <v>180</v>
      </c>
      <c r="D197" s="2">
        <v>14</v>
      </c>
      <c r="E197" s="2" t="s">
        <v>181</v>
      </c>
      <c r="F197" s="294">
        <v>1000</v>
      </c>
      <c r="G197" s="247">
        <v>1600</v>
      </c>
      <c r="H197" s="295">
        <f t="shared" si="4"/>
        <v>600</v>
      </c>
      <c r="I197" s="250">
        <f t="shared" si="5"/>
        <v>0.375</v>
      </c>
    </row>
    <row r="198" spans="2:9" x14ac:dyDescent="0.3">
      <c r="B198" s="2">
        <v>360</v>
      </c>
      <c r="C198" s="41" t="s">
        <v>182</v>
      </c>
      <c r="D198" s="2">
        <v>12</v>
      </c>
      <c r="E198" s="2" t="s">
        <v>12</v>
      </c>
      <c r="F198" s="294">
        <v>3200</v>
      </c>
      <c r="G198" s="247">
        <v>3700</v>
      </c>
      <c r="H198" s="295">
        <f t="shared" ref="H198:H261" si="6">G198-F198</f>
        <v>500</v>
      </c>
      <c r="I198" s="250">
        <f t="shared" ref="I198:I261" si="7">H198/G198</f>
        <v>0.13513513513513514</v>
      </c>
    </row>
    <row r="199" spans="2:9" x14ac:dyDescent="0.3">
      <c r="B199" s="2">
        <v>361</v>
      </c>
      <c r="C199" s="41" t="s">
        <v>183</v>
      </c>
      <c r="D199" s="2">
        <v>12</v>
      </c>
      <c r="E199" s="2" t="s">
        <v>12</v>
      </c>
      <c r="F199" s="294">
        <v>5265.75</v>
      </c>
      <c r="G199" s="247">
        <v>7200</v>
      </c>
      <c r="H199" s="295">
        <f t="shared" si="6"/>
        <v>1934.25</v>
      </c>
      <c r="I199" s="250">
        <f t="shared" si="7"/>
        <v>0.26864583333333331</v>
      </c>
    </row>
    <row r="200" spans="2:9" x14ac:dyDescent="0.3">
      <c r="B200" s="2">
        <v>362</v>
      </c>
      <c r="C200" s="41" t="s">
        <v>184</v>
      </c>
      <c r="D200" s="2">
        <v>12</v>
      </c>
      <c r="E200" s="2" t="s">
        <v>12</v>
      </c>
      <c r="F200" s="294">
        <v>3500</v>
      </c>
      <c r="G200" s="247">
        <v>4800</v>
      </c>
      <c r="H200" s="295">
        <f t="shared" si="6"/>
        <v>1300</v>
      </c>
      <c r="I200" s="250">
        <f t="shared" si="7"/>
        <v>0.27083333333333331</v>
      </c>
    </row>
    <row r="201" spans="2:9" x14ac:dyDescent="0.3">
      <c r="B201" s="2">
        <v>363</v>
      </c>
      <c r="C201" s="41" t="s">
        <v>185</v>
      </c>
      <c r="D201" s="2">
        <v>12</v>
      </c>
      <c r="E201" s="2" t="s">
        <v>12</v>
      </c>
      <c r="F201" s="294">
        <v>1250</v>
      </c>
      <c r="G201" s="247">
        <v>1700</v>
      </c>
      <c r="H201" s="295">
        <f t="shared" si="6"/>
        <v>450</v>
      </c>
      <c r="I201" s="250">
        <f t="shared" si="7"/>
        <v>0.26470588235294118</v>
      </c>
    </row>
    <row r="202" spans="2:9" x14ac:dyDescent="0.3">
      <c r="B202" s="2">
        <v>364</v>
      </c>
      <c r="C202" s="41" t="s">
        <v>186</v>
      </c>
      <c r="D202" s="2">
        <v>14</v>
      </c>
      <c r="E202" s="2" t="s">
        <v>21</v>
      </c>
      <c r="F202" s="294">
        <v>3822</v>
      </c>
      <c r="G202" s="247">
        <v>4600</v>
      </c>
      <c r="H202" s="295">
        <f t="shared" si="6"/>
        <v>778</v>
      </c>
      <c r="I202" s="250">
        <f t="shared" si="7"/>
        <v>0.1691304347826087</v>
      </c>
    </row>
    <row r="203" spans="2:9" x14ac:dyDescent="0.3">
      <c r="B203" s="2">
        <v>366</v>
      </c>
      <c r="C203" s="41" t="s">
        <v>187</v>
      </c>
      <c r="D203" s="2">
        <v>6</v>
      </c>
      <c r="E203" s="2" t="s">
        <v>21</v>
      </c>
      <c r="F203" s="294">
        <v>12444</v>
      </c>
      <c r="G203" s="247">
        <v>17200</v>
      </c>
      <c r="H203" s="295">
        <f t="shared" si="6"/>
        <v>4756</v>
      </c>
      <c r="I203" s="250">
        <f t="shared" si="7"/>
        <v>0.27651162790697675</v>
      </c>
    </row>
    <row r="204" spans="2:9" x14ac:dyDescent="0.3">
      <c r="B204" s="2">
        <v>367</v>
      </c>
      <c r="C204" s="41" t="s">
        <v>188</v>
      </c>
      <c r="D204" s="2">
        <v>6</v>
      </c>
      <c r="E204" s="2" t="s">
        <v>16</v>
      </c>
      <c r="F204" s="294">
        <v>39611.89</v>
      </c>
      <c r="G204" s="247">
        <v>45666.666666666664</v>
      </c>
      <c r="H204" s="295">
        <f t="shared" si="6"/>
        <v>6054.7766666666648</v>
      </c>
      <c r="I204" s="250">
        <f t="shared" si="7"/>
        <v>0.13258635036496347</v>
      </c>
    </row>
    <row r="205" spans="2:9" x14ac:dyDescent="0.3">
      <c r="B205" s="2">
        <v>368</v>
      </c>
      <c r="C205" s="41" t="s">
        <v>189</v>
      </c>
      <c r="D205" s="2">
        <v>12</v>
      </c>
      <c r="E205" s="2" t="s">
        <v>12</v>
      </c>
      <c r="F205" s="294">
        <v>17300</v>
      </c>
      <c r="G205" s="247">
        <v>19800</v>
      </c>
      <c r="H205" s="295">
        <f t="shared" si="6"/>
        <v>2500</v>
      </c>
      <c r="I205" s="250">
        <f t="shared" si="7"/>
        <v>0.12626262626262627</v>
      </c>
    </row>
    <row r="206" spans="2:9" x14ac:dyDescent="0.3">
      <c r="B206" s="2">
        <v>371</v>
      </c>
      <c r="C206" s="41" t="s">
        <v>1626</v>
      </c>
      <c r="D206" s="2">
        <v>6</v>
      </c>
      <c r="E206" s="2" t="s">
        <v>32</v>
      </c>
      <c r="F206" s="294">
        <v>19000</v>
      </c>
      <c r="G206" s="247">
        <v>23000</v>
      </c>
      <c r="H206" s="295">
        <f t="shared" si="6"/>
        <v>4000</v>
      </c>
      <c r="I206" s="250">
        <f t="shared" si="7"/>
        <v>0.17391304347826086</v>
      </c>
    </row>
    <row r="207" spans="2:9" x14ac:dyDescent="0.3">
      <c r="B207" s="2">
        <v>372</v>
      </c>
      <c r="C207" s="41" t="s">
        <v>190</v>
      </c>
      <c r="D207" s="2">
        <v>6</v>
      </c>
      <c r="E207" s="2" t="s">
        <v>16</v>
      </c>
      <c r="F207" s="294">
        <v>70000</v>
      </c>
      <c r="G207" s="247">
        <v>82000</v>
      </c>
      <c r="H207" s="295">
        <f t="shared" si="6"/>
        <v>12000</v>
      </c>
      <c r="I207" s="250">
        <f t="shared" si="7"/>
        <v>0.14634146341463414</v>
      </c>
    </row>
    <row r="208" spans="2:9" x14ac:dyDescent="0.3">
      <c r="B208" s="2">
        <v>373</v>
      </c>
      <c r="C208" s="41" t="s">
        <v>1627</v>
      </c>
      <c r="D208" s="2">
        <v>7</v>
      </c>
      <c r="E208" s="2" t="s">
        <v>446</v>
      </c>
      <c r="F208" s="294">
        <v>90200</v>
      </c>
      <c r="G208" s="247">
        <v>113100</v>
      </c>
      <c r="H208" s="295">
        <f t="shared" si="6"/>
        <v>22900</v>
      </c>
      <c r="I208" s="250">
        <f t="shared" si="7"/>
        <v>0.20247568523430592</v>
      </c>
    </row>
    <row r="209" spans="2:9" x14ac:dyDescent="0.3">
      <c r="B209" s="2">
        <v>374</v>
      </c>
      <c r="C209" s="41" t="s">
        <v>1628</v>
      </c>
      <c r="D209" s="2">
        <v>7</v>
      </c>
      <c r="E209" s="2" t="s">
        <v>21</v>
      </c>
      <c r="F209" s="294">
        <v>2200</v>
      </c>
      <c r="G209" s="247">
        <v>2600</v>
      </c>
      <c r="H209" s="295">
        <f t="shared" si="6"/>
        <v>400</v>
      </c>
      <c r="I209" s="250">
        <f t="shared" si="7"/>
        <v>0.15384615384615385</v>
      </c>
    </row>
    <row r="210" spans="2:9" x14ac:dyDescent="0.3">
      <c r="B210" s="2">
        <v>375</v>
      </c>
      <c r="C210" s="41" t="s">
        <v>191</v>
      </c>
      <c r="D210" s="2">
        <v>9</v>
      </c>
      <c r="E210" s="2" t="s">
        <v>12</v>
      </c>
      <c r="F210" s="294">
        <v>7461.0144</v>
      </c>
      <c r="G210" s="247">
        <v>9000</v>
      </c>
      <c r="H210" s="295">
        <f t="shared" si="6"/>
        <v>1538.9856</v>
      </c>
      <c r="I210" s="250">
        <f t="shared" si="7"/>
        <v>0.17099839999999999</v>
      </c>
    </row>
    <row r="211" spans="2:9" x14ac:dyDescent="0.3">
      <c r="B211" s="2">
        <v>376</v>
      </c>
      <c r="C211" s="41" t="s">
        <v>192</v>
      </c>
      <c r="D211" s="2">
        <v>9</v>
      </c>
      <c r="E211" s="2" t="s">
        <v>12</v>
      </c>
      <c r="F211" s="294">
        <v>6466.2219999999998</v>
      </c>
      <c r="G211" s="247">
        <v>8000</v>
      </c>
      <c r="H211" s="295">
        <f t="shared" si="6"/>
        <v>1533.7780000000002</v>
      </c>
      <c r="I211" s="250">
        <f t="shared" si="7"/>
        <v>0.19172225000000004</v>
      </c>
    </row>
    <row r="212" spans="2:9" x14ac:dyDescent="0.3">
      <c r="B212" s="2">
        <v>377</v>
      </c>
      <c r="C212" s="41" t="s">
        <v>1629</v>
      </c>
      <c r="D212" s="2">
        <v>12</v>
      </c>
      <c r="E212" s="2" t="s">
        <v>12</v>
      </c>
      <c r="F212" s="294">
        <v>11000.36</v>
      </c>
      <c r="G212" s="247">
        <v>17500</v>
      </c>
      <c r="H212" s="295">
        <f t="shared" si="6"/>
        <v>6499.6399999999994</v>
      </c>
      <c r="I212" s="250">
        <f t="shared" si="7"/>
        <v>0.37140799999999996</v>
      </c>
    </row>
    <row r="213" spans="2:9" x14ac:dyDescent="0.3">
      <c r="B213" s="2">
        <v>378</v>
      </c>
      <c r="C213" s="41" t="s">
        <v>193</v>
      </c>
      <c r="D213" s="2">
        <v>12</v>
      </c>
      <c r="E213" s="2" t="s">
        <v>12</v>
      </c>
      <c r="F213" s="294">
        <v>6873.44</v>
      </c>
      <c r="G213" s="247">
        <v>7500</v>
      </c>
      <c r="H213" s="295">
        <f t="shared" si="6"/>
        <v>626.5600000000004</v>
      </c>
      <c r="I213" s="250">
        <f t="shared" si="7"/>
        <v>8.3541333333333384E-2</v>
      </c>
    </row>
    <row r="214" spans="2:9" x14ac:dyDescent="0.3">
      <c r="B214" s="2">
        <v>379</v>
      </c>
      <c r="C214" s="41" t="s">
        <v>194</v>
      </c>
      <c r="D214" s="2">
        <v>13</v>
      </c>
      <c r="E214" s="2" t="s">
        <v>12</v>
      </c>
      <c r="F214" s="294">
        <v>3451</v>
      </c>
      <c r="G214" s="247">
        <v>4500</v>
      </c>
      <c r="H214" s="295">
        <f t="shared" si="6"/>
        <v>1049</v>
      </c>
      <c r="I214" s="250">
        <f t="shared" si="7"/>
        <v>0.2331111111111111</v>
      </c>
    </row>
    <row r="215" spans="2:9" x14ac:dyDescent="0.3">
      <c r="B215" s="2">
        <v>383</v>
      </c>
      <c r="C215" s="41" t="s">
        <v>195</v>
      </c>
      <c r="D215" s="2">
        <v>6</v>
      </c>
      <c r="E215" s="2" t="s">
        <v>32</v>
      </c>
      <c r="F215" s="294">
        <v>13402</v>
      </c>
      <c r="G215" s="247">
        <v>15800</v>
      </c>
      <c r="H215" s="295">
        <f t="shared" si="6"/>
        <v>2398</v>
      </c>
      <c r="I215" s="250">
        <f t="shared" si="7"/>
        <v>0.15177215189873416</v>
      </c>
    </row>
    <row r="216" spans="2:9" x14ac:dyDescent="0.3">
      <c r="B216" s="2">
        <v>384</v>
      </c>
      <c r="C216" s="41" t="s">
        <v>196</v>
      </c>
      <c r="D216" s="2">
        <v>6</v>
      </c>
      <c r="E216" s="2" t="s">
        <v>5</v>
      </c>
      <c r="F216" s="294">
        <v>7300</v>
      </c>
      <c r="G216" s="247">
        <v>8500</v>
      </c>
      <c r="H216" s="295">
        <f t="shared" si="6"/>
        <v>1200</v>
      </c>
      <c r="I216" s="250">
        <f t="shared" si="7"/>
        <v>0.14117647058823529</v>
      </c>
    </row>
    <row r="217" spans="2:9" x14ac:dyDescent="0.3">
      <c r="B217" s="2">
        <v>385</v>
      </c>
      <c r="C217" s="41" t="s">
        <v>197</v>
      </c>
      <c r="D217" s="2">
        <v>6</v>
      </c>
      <c r="E217" s="2" t="s">
        <v>16</v>
      </c>
      <c r="F217" s="294">
        <v>48454</v>
      </c>
      <c r="G217" s="247">
        <v>57250</v>
      </c>
      <c r="H217" s="295">
        <f t="shared" si="6"/>
        <v>8796</v>
      </c>
      <c r="I217" s="250">
        <f t="shared" si="7"/>
        <v>0.15364192139737992</v>
      </c>
    </row>
    <row r="218" spans="2:9" x14ac:dyDescent="0.3">
      <c r="B218" s="2">
        <v>386</v>
      </c>
      <c r="C218" s="41" t="s">
        <v>1630</v>
      </c>
      <c r="D218" s="2">
        <v>9</v>
      </c>
      <c r="E218" s="2" t="s">
        <v>12</v>
      </c>
      <c r="F218" s="294">
        <v>16855.650000000001</v>
      </c>
      <c r="G218" s="247">
        <v>19500</v>
      </c>
      <c r="H218" s="295">
        <f t="shared" si="6"/>
        <v>2644.3499999999985</v>
      </c>
      <c r="I218" s="250">
        <f t="shared" si="7"/>
        <v>0.13560769230769223</v>
      </c>
    </row>
    <row r="219" spans="2:9" x14ac:dyDescent="0.3">
      <c r="B219" s="2">
        <v>387</v>
      </c>
      <c r="C219" s="41" t="s">
        <v>198</v>
      </c>
      <c r="D219" s="2">
        <v>9</v>
      </c>
      <c r="E219" s="2" t="s">
        <v>12</v>
      </c>
      <c r="F219" s="294">
        <v>16855.650000000001</v>
      </c>
      <c r="G219" s="247">
        <v>19350</v>
      </c>
      <c r="H219" s="295">
        <f t="shared" si="6"/>
        <v>2494.3499999999985</v>
      </c>
      <c r="I219" s="250">
        <f t="shared" si="7"/>
        <v>0.12890697674418597</v>
      </c>
    </row>
    <row r="220" spans="2:9" x14ac:dyDescent="0.3">
      <c r="B220" s="2">
        <v>388</v>
      </c>
      <c r="C220" s="41" t="s">
        <v>199</v>
      </c>
      <c r="D220" s="2">
        <v>5</v>
      </c>
      <c r="E220" s="2" t="s">
        <v>16</v>
      </c>
      <c r="F220" s="294">
        <v>28500</v>
      </c>
      <c r="G220" s="247">
        <v>33000</v>
      </c>
      <c r="H220" s="295">
        <f t="shared" si="6"/>
        <v>4500</v>
      </c>
      <c r="I220" s="250">
        <f t="shared" si="7"/>
        <v>0.13636363636363635</v>
      </c>
    </row>
    <row r="221" spans="2:9" x14ac:dyDescent="0.3">
      <c r="B221" s="2">
        <v>389</v>
      </c>
      <c r="C221" s="41" t="s">
        <v>200</v>
      </c>
      <c r="D221" s="2">
        <v>6</v>
      </c>
      <c r="E221" s="2" t="s">
        <v>21</v>
      </c>
      <c r="F221" s="294">
        <v>19500</v>
      </c>
      <c r="G221" s="247">
        <v>25000</v>
      </c>
      <c r="H221" s="295">
        <f t="shared" si="6"/>
        <v>5500</v>
      </c>
      <c r="I221" s="250">
        <f t="shared" si="7"/>
        <v>0.22</v>
      </c>
    </row>
    <row r="222" spans="2:9" x14ac:dyDescent="0.3">
      <c r="B222" s="2">
        <v>391</v>
      </c>
      <c r="C222" s="41" t="s">
        <v>201</v>
      </c>
      <c r="D222" s="2">
        <v>7</v>
      </c>
      <c r="E222" s="2" t="s">
        <v>5</v>
      </c>
      <c r="F222" s="294">
        <v>6200</v>
      </c>
      <c r="G222" s="247">
        <v>7750</v>
      </c>
      <c r="H222" s="295">
        <f t="shared" si="6"/>
        <v>1550</v>
      </c>
      <c r="I222" s="250">
        <f t="shared" si="7"/>
        <v>0.2</v>
      </c>
    </row>
    <row r="223" spans="2:9" x14ac:dyDescent="0.3">
      <c r="B223" s="2">
        <v>395</v>
      </c>
      <c r="C223" s="41" t="s">
        <v>202</v>
      </c>
      <c r="D223" s="2">
        <v>6</v>
      </c>
      <c r="E223" s="2" t="s">
        <v>16</v>
      </c>
      <c r="F223" s="294">
        <v>37500</v>
      </c>
      <c r="G223" s="247">
        <v>42500</v>
      </c>
      <c r="H223" s="295">
        <f t="shared" si="6"/>
        <v>5000</v>
      </c>
      <c r="I223" s="250">
        <f t="shared" si="7"/>
        <v>0.11764705882352941</v>
      </c>
    </row>
    <row r="224" spans="2:9" x14ac:dyDescent="0.3">
      <c r="B224" s="2">
        <v>396</v>
      </c>
      <c r="C224" s="41" t="s">
        <v>203</v>
      </c>
      <c r="D224" s="2">
        <v>9</v>
      </c>
      <c r="E224" s="2" t="s">
        <v>12</v>
      </c>
      <c r="F224" s="294">
        <v>56346.5</v>
      </c>
      <c r="G224" s="247">
        <v>72416.666666666672</v>
      </c>
      <c r="H224" s="295">
        <f t="shared" si="6"/>
        <v>16070.166666666672</v>
      </c>
      <c r="I224" s="250">
        <f t="shared" si="7"/>
        <v>0.22191254315304954</v>
      </c>
    </row>
    <row r="225" spans="2:9" x14ac:dyDescent="0.3">
      <c r="B225" s="2">
        <v>397</v>
      </c>
      <c r="C225" s="41" t="s">
        <v>204</v>
      </c>
      <c r="D225" s="2">
        <v>14</v>
      </c>
      <c r="E225" s="2" t="s">
        <v>59</v>
      </c>
      <c r="F225" s="294">
        <v>6139</v>
      </c>
      <c r="G225" s="247">
        <v>7200</v>
      </c>
      <c r="H225" s="295">
        <f t="shared" si="6"/>
        <v>1061</v>
      </c>
      <c r="I225" s="250">
        <f t="shared" si="7"/>
        <v>0.14736111111111111</v>
      </c>
    </row>
    <row r="226" spans="2:9" x14ac:dyDescent="0.3">
      <c r="B226" s="2">
        <v>400</v>
      </c>
      <c r="C226" s="41" t="s">
        <v>205</v>
      </c>
      <c r="D226" s="2">
        <v>12</v>
      </c>
      <c r="E226" s="2" t="s">
        <v>12</v>
      </c>
      <c r="F226" s="294">
        <v>8200</v>
      </c>
      <c r="G226" s="247">
        <v>9500</v>
      </c>
      <c r="H226" s="295">
        <f t="shared" si="6"/>
        <v>1300</v>
      </c>
      <c r="I226" s="250">
        <f t="shared" si="7"/>
        <v>0.1368421052631579</v>
      </c>
    </row>
    <row r="227" spans="2:9" x14ac:dyDescent="0.3">
      <c r="B227" s="2">
        <v>401</v>
      </c>
      <c r="C227" s="41" t="s">
        <v>206</v>
      </c>
      <c r="D227" s="2">
        <v>12</v>
      </c>
      <c r="E227" s="2" t="s">
        <v>12</v>
      </c>
      <c r="F227" s="294">
        <v>14900</v>
      </c>
      <c r="G227" s="247">
        <v>16800</v>
      </c>
      <c r="H227" s="295">
        <f t="shared" si="6"/>
        <v>1900</v>
      </c>
      <c r="I227" s="250">
        <f t="shared" si="7"/>
        <v>0.1130952380952381</v>
      </c>
    </row>
    <row r="228" spans="2:9" x14ac:dyDescent="0.3">
      <c r="B228" s="2">
        <v>402</v>
      </c>
      <c r="C228" s="41" t="s">
        <v>207</v>
      </c>
      <c r="D228" s="2">
        <v>9</v>
      </c>
      <c r="E228" s="2" t="s">
        <v>208</v>
      </c>
      <c r="F228" s="294">
        <v>100</v>
      </c>
      <c r="G228" s="247">
        <v>200</v>
      </c>
      <c r="H228" s="295">
        <f t="shared" si="6"/>
        <v>100</v>
      </c>
      <c r="I228" s="250">
        <f t="shared" si="7"/>
        <v>0.5</v>
      </c>
    </row>
    <row r="229" spans="2:9" x14ac:dyDescent="0.3">
      <c r="B229" s="2">
        <v>406</v>
      </c>
      <c r="C229" s="41" t="s">
        <v>209</v>
      </c>
      <c r="D229" s="2">
        <v>4</v>
      </c>
      <c r="E229" s="2" t="s">
        <v>5</v>
      </c>
      <c r="F229" s="294">
        <v>19400</v>
      </c>
      <c r="G229" s="247">
        <v>24500</v>
      </c>
      <c r="H229" s="295">
        <f t="shared" si="6"/>
        <v>5100</v>
      </c>
      <c r="I229" s="250">
        <f t="shared" si="7"/>
        <v>0.20816326530612245</v>
      </c>
    </row>
    <row r="230" spans="2:9" x14ac:dyDescent="0.3">
      <c r="B230" s="2">
        <v>407</v>
      </c>
      <c r="C230" s="41" t="s">
        <v>210</v>
      </c>
      <c r="D230" s="2">
        <v>5</v>
      </c>
      <c r="E230" s="2" t="s">
        <v>50</v>
      </c>
      <c r="F230" s="294">
        <v>6551.82</v>
      </c>
      <c r="G230" s="247">
        <v>7900</v>
      </c>
      <c r="H230" s="295">
        <f t="shared" si="6"/>
        <v>1348.1800000000003</v>
      </c>
      <c r="I230" s="250">
        <f t="shared" si="7"/>
        <v>0.17065569620253168</v>
      </c>
    </row>
    <row r="231" spans="2:9" x14ac:dyDescent="0.3">
      <c r="B231" s="2">
        <v>409</v>
      </c>
      <c r="C231" s="41" t="s">
        <v>211</v>
      </c>
      <c r="D231" s="2">
        <v>14</v>
      </c>
      <c r="E231" s="2" t="s">
        <v>32</v>
      </c>
      <c r="F231" s="294">
        <v>16125</v>
      </c>
      <c r="G231" s="247">
        <v>21600</v>
      </c>
      <c r="H231" s="295">
        <f t="shared" si="6"/>
        <v>5475</v>
      </c>
      <c r="I231" s="250">
        <f t="shared" si="7"/>
        <v>0.25347222222222221</v>
      </c>
    </row>
    <row r="232" spans="2:9" x14ac:dyDescent="0.3">
      <c r="B232" s="2">
        <v>410</v>
      </c>
      <c r="C232" s="41" t="s">
        <v>212</v>
      </c>
      <c r="D232" s="2">
        <v>6</v>
      </c>
      <c r="E232" s="2" t="s">
        <v>35</v>
      </c>
      <c r="F232" s="294">
        <v>8500</v>
      </c>
      <c r="G232" s="247">
        <v>9800</v>
      </c>
      <c r="H232" s="295">
        <f t="shared" si="6"/>
        <v>1300</v>
      </c>
      <c r="I232" s="250">
        <f t="shared" si="7"/>
        <v>0.1326530612244898</v>
      </c>
    </row>
    <row r="233" spans="2:9" x14ac:dyDescent="0.3">
      <c r="B233" s="2">
        <v>414</v>
      </c>
      <c r="C233" s="41" t="s">
        <v>213</v>
      </c>
      <c r="D233" s="2">
        <v>4</v>
      </c>
      <c r="E233" s="2" t="s">
        <v>32</v>
      </c>
      <c r="F233" s="294">
        <v>32987</v>
      </c>
      <c r="G233" s="247">
        <v>37750</v>
      </c>
      <c r="H233" s="295">
        <f t="shared" si="6"/>
        <v>4763</v>
      </c>
      <c r="I233" s="250">
        <f t="shared" si="7"/>
        <v>0.12617218543046357</v>
      </c>
    </row>
    <row r="234" spans="2:9" x14ac:dyDescent="0.3">
      <c r="B234" s="2">
        <v>417</v>
      </c>
      <c r="C234" s="41" t="s">
        <v>1631</v>
      </c>
      <c r="D234" s="2">
        <v>5</v>
      </c>
      <c r="E234" s="2" t="s">
        <v>1632</v>
      </c>
      <c r="F234" s="294">
        <v>81000</v>
      </c>
      <c r="G234" s="247">
        <v>92000</v>
      </c>
      <c r="H234" s="295">
        <f t="shared" si="6"/>
        <v>11000</v>
      </c>
      <c r="I234" s="250">
        <f t="shared" si="7"/>
        <v>0.11956521739130435</v>
      </c>
    </row>
    <row r="235" spans="2:9" x14ac:dyDescent="0.3">
      <c r="B235" s="2">
        <v>422</v>
      </c>
      <c r="C235" s="41" t="s">
        <v>214</v>
      </c>
      <c r="D235" s="2">
        <v>2</v>
      </c>
      <c r="E235" s="2" t="s">
        <v>215</v>
      </c>
      <c r="F235" s="294">
        <v>35500</v>
      </c>
      <c r="G235" s="247">
        <v>38083.333333333336</v>
      </c>
      <c r="H235" s="295">
        <f t="shared" si="6"/>
        <v>2583.3333333333358</v>
      </c>
      <c r="I235" s="250">
        <f t="shared" si="7"/>
        <v>6.7833698030634632E-2</v>
      </c>
    </row>
    <row r="236" spans="2:9" x14ac:dyDescent="0.3">
      <c r="B236" s="2">
        <v>423</v>
      </c>
      <c r="C236" s="41" t="s">
        <v>216</v>
      </c>
      <c r="D236" s="2">
        <v>2</v>
      </c>
      <c r="E236" s="2" t="s">
        <v>59</v>
      </c>
      <c r="F236" s="294">
        <v>7800</v>
      </c>
      <c r="G236" s="247">
        <v>8683.3333333333339</v>
      </c>
      <c r="H236" s="295">
        <f t="shared" si="6"/>
        <v>883.33333333333394</v>
      </c>
      <c r="I236" s="250">
        <f t="shared" si="7"/>
        <v>0.10172744721689066</v>
      </c>
    </row>
    <row r="237" spans="2:9" x14ac:dyDescent="0.3">
      <c r="B237" s="2">
        <v>424</v>
      </c>
      <c r="C237" s="41" t="s">
        <v>217</v>
      </c>
      <c r="D237" s="2">
        <v>10</v>
      </c>
      <c r="E237" s="2" t="s">
        <v>12</v>
      </c>
      <c r="F237" s="294">
        <v>5712</v>
      </c>
      <c r="G237" s="247">
        <v>7000</v>
      </c>
      <c r="H237" s="295">
        <f t="shared" si="6"/>
        <v>1288</v>
      </c>
      <c r="I237" s="250">
        <f t="shared" si="7"/>
        <v>0.184</v>
      </c>
    </row>
    <row r="238" spans="2:9" x14ac:dyDescent="0.3">
      <c r="B238" s="2">
        <v>425</v>
      </c>
      <c r="C238" s="41" t="s">
        <v>218</v>
      </c>
      <c r="D238" s="2">
        <v>6</v>
      </c>
      <c r="E238" s="2" t="s">
        <v>12</v>
      </c>
      <c r="F238" s="294">
        <v>40082</v>
      </c>
      <c r="G238" s="247">
        <v>45200</v>
      </c>
      <c r="H238" s="295">
        <f t="shared" si="6"/>
        <v>5118</v>
      </c>
      <c r="I238" s="250">
        <f t="shared" si="7"/>
        <v>0.11323008849557523</v>
      </c>
    </row>
    <row r="239" spans="2:9" x14ac:dyDescent="0.3">
      <c r="B239" s="2">
        <v>428</v>
      </c>
      <c r="C239" s="41" t="s">
        <v>219</v>
      </c>
      <c r="D239" s="2">
        <v>14</v>
      </c>
      <c r="E239" s="2" t="s">
        <v>21</v>
      </c>
      <c r="F239" s="294">
        <v>3540.5</v>
      </c>
      <c r="G239" s="247">
        <v>4466.666666666667</v>
      </c>
      <c r="H239" s="295">
        <f t="shared" si="6"/>
        <v>926.16666666666697</v>
      </c>
      <c r="I239" s="250">
        <f t="shared" si="7"/>
        <v>0.20735074626865677</v>
      </c>
    </row>
    <row r="240" spans="2:9" x14ac:dyDescent="0.3">
      <c r="B240" s="2">
        <v>429</v>
      </c>
      <c r="C240" s="41" t="s">
        <v>220</v>
      </c>
      <c r="D240" s="2">
        <v>2</v>
      </c>
      <c r="E240" s="2" t="s">
        <v>35</v>
      </c>
      <c r="F240" s="294">
        <v>3794.7473</v>
      </c>
      <c r="G240" s="247">
        <v>4500</v>
      </c>
      <c r="H240" s="295">
        <f t="shared" si="6"/>
        <v>705.2527</v>
      </c>
      <c r="I240" s="250">
        <f t="shared" si="7"/>
        <v>0.15672282222222222</v>
      </c>
    </row>
    <row r="241" spans="2:9" x14ac:dyDescent="0.3">
      <c r="B241" s="2">
        <v>430</v>
      </c>
      <c r="C241" s="41" t="s">
        <v>221</v>
      </c>
      <c r="D241" s="2">
        <v>4</v>
      </c>
      <c r="E241" s="2" t="s">
        <v>32</v>
      </c>
      <c r="F241" s="294">
        <v>21802</v>
      </c>
      <c r="G241" s="247">
        <v>26000</v>
      </c>
      <c r="H241" s="295">
        <f t="shared" si="6"/>
        <v>4198</v>
      </c>
      <c r="I241" s="250">
        <f t="shared" si="7"/>
        <v>0.16146153846153846</v>
      </c>
    </row>
    <row r="242" spans="2:9" x14ac:dyDescent="0.3">
      <c r="B242" s="2">
        <v>431</v>
      </c>
      <c r="C242" s="41" t="s">
        <v>222</v>
      </c>
      <c r="D242" s="2">
        <v>2</v>
      </c>
      <c r="E242" s="2" t="s">
        <v>5</v>
      </c>
      <c r="F242" s="294">
        <v>7134.8680999999997</v>
      </c>
      <c r="G242" s="247">
        <v>7833.333333333333</v>
      </c>
      <c r="H242" s="295">
        <f t="shared" si="6"/>
        <v>698.46523333333334</v>
      </c>
      <c r="I242" s="250">
        <f t="shared" si="7"/>
        <v>8.9165774468085116E-2</v>
      </c>
    </row>
    <row r="243" spans="2:9" x14ac:dyDescent="0.3">
      <c r="B243" s="2">
        <v>432</v>
      </c>
      <c r="C243" s="41" t="s">
        <v>223</v>
      </c>
      <c r="D243" s="2">
        <v>2</v>
      </c>
      <c r="E243" s="2" t="s">
        <v>35</v>
      </c>
      <c r="F243" s="294">
        <v>3717.1338999999998</v>
      </c>
      <c r="G243" s="247">
        <v>4700</v>
      </c>
      <c r="H243" s="295">
        <f t="shared" si="6"/>
        <v>982.86610000000019</v>
      </c>
      <c r="I243" s="250">
        <f t="shared" si="7"/>
        <v>0.20912044680851069</v>
      </c>
    </row>
    <row r="244" spans="2:9" x14ac:dyDescent="0.3">
      <c r="B244" s="2">
        <v>434</v>
      </c>
      <c r="C244" s="41" t="s">
        <v>224</v>
      </c>
      <c r="D244" s="2">
        <v>5</v>
      </c>
      <c r="E244" s="2" t="s">
        <v>16</v>
      </c>
      <c r="F244" s="294">
        <v>18500</v>
      </c>
      <c r="G244" s="247">
        <v>24000</v>
      </c>
      <c r="H244" s="295">
        <f t="shared" si="6"/>
        <v>5500</v>
      </c>
      <c r="I244" s="250">
        <f t="shared" si="7"/>
        <v>0.22916666666666666</v>
      </c>
    </row>
    <row r="245" spans="2:9" x14ac:dyDescent="0.3">
      <c r="B245" s="2">
        <v>437</v>
      </c>
      <c r="C245" s="41" t="s">
        <v>225</v>
      </c>
      <c r="D245" s="2">
        <v>2</v>
      </c>
      <c r="E245" s="2" t="s">
        <v>112</v>
      </c>
      <c r="F245" s="294">
        <v>65000.001499999998</v>
      </c>
      <c r="G245" s="247">
        <v>70000</v>
      </c>
      <c r="H245" s="295">
        <f t="shared" si="6"/>
        <v>4999.9985000000015</v>
      </c>
      <c r="I245" s="250">
        <f t="shared" si="7"/>
        <v>7.1428550000000021E-2</v>
      </c>
    </row>
    <row r="246" spans="2:9" x14ac:dyDescent="0.3">
      <c r="B246" s="2">
        <v>438</v>
      </c>
      <c r="C246" s="41" t="s">
        <v>226</v>
      </c>
      <c r="D246" s="2">
        <v>10</v>
      </c>
      <c r="E246" s="2" t="s">
        <v>227</v>
      </c>
      <c r="F246" s="294">
        <v>132944.42000000001</v>
      </c>
      <c r="G246" s="247">
        <v>160416.66666666666</v>
      </c>
      <c r="H246" s="295">
        <f t="shared" si="6"/>
        <v>27472.246666666644</v>
      </c>
      <c r="I246" s="250">
        <f t="shared" si="7"/>
        <v>0.17125556363636352</v>
      </c>
    </row>
    <row r="247" spans="2:9" x14ac:dyDescent="0.3">
      <c r="B247" s="2">
        <v>443</v>
      </c>
      <c r="C247" s="41" t="s">
        <v>228</v>
      </c>
      <c r="D247" s="2">
        <v>6</v>
      </c>
      <c r="E247" s="2" t="s">
        <v>32</v>
      </c>
      <c r="F247" s="294">
        <v>100188</v>
      </c>
      <c r="G247" s="247">
        <v>109333.33333333333</v>
      </c>
      <c r="H247" s="295">
        <f t="shared" si="6"/>
        <v>9145.3333333333285</v>
      </c>
      <c r="I247" s="250">
        <f t="shared" si="7"/>
        <v>8.3646341463414597E-2</v>
      </c>
    </row>
    <row r="248" spans="2:9" x14ac:dyDescent="0.3">
      <c r="B248" s="2">
        <v>447</v>
      </c>
      <c r="C248" s="41" t="s">
        <v>229</v>
      </c>
      <c r="D248" s="2">
        <v>1</v>
      </c>
      <c r="E248" s="2" t="s">
        <v>5</v>
      </c>
      <c r="F248" s="294">
        <v>9487.5</v>
      </c>
      <c r="G248" s="247">
        <v>13150</v>
      </c>
      <c r="H248" s="295">
        <f t="shared" si="6"/>
        <v>3662.5</v>
      </c>
      <c r="I248" s="250">
        <f t="shared" si="7"/>
        <v>0.27851711026615972</v>
      </c>
    </row>
    <row r="249" spans="2:9" x14ac:dyDescent="0.3">
      <c r="B249" s="2">
        <v>448</v>
      </c>
      <c r="C249" s="41" t="s">
        <v>1633</v>
      </c>
      <c r="D249" s="2">
        <v>1</v>
      </c>
      <c r="E249" s="2" t="s">
        <v>3</v>
      </c>
      <c r="F249" s="294">
        <v>194000</v>
      </c>
      <c r="G249" s="247">
        <v>86000</v>
      </c>
      <c r="H249" s="295">
        <f t="shared" si="6"/>
        <v>-108000</v>
      </c>
      <c r="I249" s="250">
        <f t="shared" si="7"/>
        <v>-1.2558139534883721</v>
      </c>
    </row>
    <row r="250" spans="2:9" x14ac:dyDescent="0.3">
      <c r="B250" s="2">
        <v>450</v>
      </c>
      <c r="C250" s="41" t="s">
        <v>1634</v>
      </c>
      <c r="D250" s="2">
        <v>1</v>
      </c>
      <c r="E250" s="2" t="s">
        <v>243</v>
      </c>
      <c r="F250" s="294">
        <v>63000</v>
      </c>
      <c r="G250" s="247">
        <v>75000</v>
      </c>
      <c r="H250" s="295">
        <f t="shared" si="6"/>
        <v>12000</v>
      </c>
      <c r="I250" s="250">
        <f t="shared" si="7"/>
        <v>0.16</v>
      </c>
    </row>
    <row r="251" spans="2:9" x14ac:dyDescent="0.3">
      <c r="B251" s="2">
        <v>451</v>
      </c>
      <c r="C251" s="41" t="s">
        <v>230</v>
      </c>
      <c r="D251" s="2">
        <v>14</v>
      </c>
      <c r="E251" s="2" t="s">
        <v>104</v>
      </c>
      <c r="F251" s="294">
        <v>3844.8</v>
      </c>
      <c r="G251" s="247">
        <v>5000</v>
      </c>
      <c r="H251" s="295">
        <f t="shared" si="6"/>
        <v>1155.1999999999998</v>
      </c>
      <c r="I251" s="250">
        <f t="shared" si="7"/>
        <v>0.23103999999999997</v>
      </c>
    </row>
    <row r="252" spans="2:9" x14ac:dyDescent="0.3">
      <c r="B252" s="2">
        <v>454</v>
      </c>
      <c r="C252" s="41" t="s">
        <v>231</v>
      </c>
      <c r="D252" s="2">
        <v>6</v>
      </c>
      <c r="E252" s="2" t="s">
        <v>16</v>
      </c>
      <c r="F252" s="294">
        <v>29650</v>
      </c>
      <c r="G252" s="247">
        <v>38000</v>
      </c>
      <c r="H252" s="295">
        <f t="shared" si="6"/>
        <v>8350</v>
      </c>
      <c r="I252" s="250">
        <f t="shared" si="7"/>
        <v>0.21973684210526315</v>
      </c>
    </row>
    <row r="253" spans="2:9" x14ac:dyDescent="0.3">
      <c r="B253" s="2">
        <v>456</v>
      </c>
      <c r="C253" s="41" t="s">
        <v>232</v>
      </c>
      <c r="D253" s="2">
        <v>2</v>
      </c>
      <c r="E253" s="2" t="s">
        <v>233</v>
      </c>
      <c r="F253" s="294">
        <v>87250</v>
      </c>
      <c r="G253" s="247">
        <v>97583.333333333328</v>
      </c>
      <c r="H253" s="295">
        <f t="shared" si="6"/>
        <v>10333.333333333328</v>
      </c>
      <c r="I253" s="250">
        <f t="shared" si="7"/>
        <v>0.10589239965841157</v>
      </c>
    </row>
    <row r="254" spans="2:9" x14ac:dyDescent="0.3">
      <c r="B254" s="2">
        <v>457</v>
      </c>
      <c r="C254" s="41" t="s">
        <v>234</v>
      </c>
      <c r="D254" s="2">
        <v>2</v>
      </c>
      <c r="E254" s="2" t="s">
        <v>35</v>
      </c>
      <c r="F254" s="294">
        <v>3020</v>
      </c>
      <c r="G254" s="247">
        <v>3250</v>
      </c>
      <c r="H254" s="295">
        <f t="shared" si="6"/>
        <v>230</v>
      </c>
      <c r="I254" s="250">
        <f t="shared" si="7"/>
        <v>7.0769230769230765E-2</v>
      </c>
    </row>
    <row r="255" spans="2:9" x14ac:dyDescent="0.3">
      <c r="B255" s="2">
        <v>458</v>
      </c>
      <c r="C255" s="41" t="s">
        <v>235</v>
      </c>
      <c r="D255" s="2">
        <v>2</v>
      </c>
      <c r="E255" s="2" t="s">
        <v>12</v>
      </c>
      <c r="F255" s="294">
        <v>4060</v>
      </c>
      <c r="G255" s="247">
        <v>4500</v>
      </c>
      <c r="H255" s="295">
        <f t="shared" si="6"/>
        <v>440</v>
      </c>
      <c r="I255" s="250">
        <f t="shared" si="7"/>
        <v>9.7777777777777783E-2</v>
      </c>
    </row>
    <row r="256" spans="2:9" x14ac:dyDescent="0.3">
      <c r="B256" s="2">
        <v>459</v>
      </c>
      <c r="C256" s="41" t="s">
        <v>236</v>
      </c>
      <c r="D256" s="2">
        <v>2</v>
      </c>
      <c r="E256" s="2" t="s">
        <v>237</v>
      </c>
      <c r="F256" s="294">
        <v>125400</v>
      </c>
      <c r="G256" s="247">
        <v>136500</v>
      </c>
      <c r="H256" s="295">
        <f t="shared" si="6"/>
        <v>11100</v>
      </c>
      <c r="I256" s="250">
        <f t="shared" si="7"/>
        <v>8.1318681318681321E-2</v>
      </c>
    </row>
    <row r="257" spans="2:9" x14ac:dyDescent="0.3">
      <c r="B257" s="2">
        <v>460</v>
      </c>
      <c r="C257" s="41" t="s">
        <v>238</v>
      </c>
      <c r="D257" s="2">
        <v>2</v>
      </c>
      <c r="E257" s="2" t="s">
        <v>112</v>
      </c>
      <c r="F257" s="294">
        <v>113800</v>
      </c>
      <c r="G257" s="247">
        <v>123766.66666666667</v>
      </c>
      <c r="H257" s="295">
        <f t="shared" si="6"/>
        <v>9966.6666666666715</v>
      </c>
      <c r="I257" s="250">
        <f t="shared" si="7"/>
        <v>8.0527875033665541E-2</v>
      </c>
    </row>
    <row r="258" spans="2:9" x14ac:dyDescent="0.3">
      <c r="B258" s="2">
        <v>461</v>
      </c>
      <c r="C258" s="41" t="s">
        <v>239</v>
      </c>
      <c r="D258" s="2">
        <v>2</v>
      </c>
      <c r="E258" s="2" t="s">
        <v>5</v>
      </c>
      <c r="F258" s="294">
        <v>3055</v>
      </c>
      <c r="G258" s="247">
        <v>3400</v>
      </c>
      <c r="H258" s="295">
        <f t="shared" si="6"/>
        <v>345</v>
      </c>
      <c r="I258" s="250">
        <f t="shared" si="7"/>
        <v>0.10147058823529412</v>
      </c>
    </row>
    <row r="259" spans="2:9" x14ac:dyDescent="0.3">
      <c r="B259" s="2">
        <v>464</v>
      </c>
      <c r="C259" s="41" t="s">
        <v>240</v>
      </c>
      <c r="D259" s="2">
        <v>2</v>
      </c>
      <c r="E259" s="2" t="s">
        <v>5</v>
      </c>
      <c r="F259" s="294">
        <v>5237.2057999999997</v>
      </c>
      <c r="G259" s="247">
        <v>5966.666666666667</v>
      </c>
      <c r="H259" s="295">
        <f t="shared" si="6"/>
        <v>729.46086666666724</v>
      </c>
      <c r="I259" s="250">
        <f t="shared" si="7"/>
        <v>0.12225601117318445</v>
      </c>
    </row>
    <row r="260" spans="2:9" x14ac:dyDescent="0.3">
      <c r="B260" s="2">
        <v>465</v>
      </c>
      <c r="C260" s="41" t="s">
        <v>241</v>
      </c>
      <c r="D260" s="2">
        <v>2</v>
      </c>
      <c r="E260" s="2" t="s">
        <v>5</v>
      </c>
      <c r="F260" s="294">
        <v>6787.3759</v>
      </c>
      <c r="G260" s="247">
        <v>7650</v>
      </c>
      <c r="H260" s="295">
        <f t="shared" si="6"/>
        <v>862.6241</v>
      </c>
      <c r="I260" s="250">
        <f t="shared" si="7"/>
        <v>0.11276132026143791</v>
      </c>
    </row>
    <row r="261" spans="2:9" x14ac:dyDescent="0.3">
      <c r="B261" s="2">
        <v>466</v>
      </c>
      <c r="C261" s="41" t="s">
        <v>242</v>
      </c>
      <c r="D261" s="2">
        <v>2</v>
      </c>
      <c r="E261" s="2" t="s">
        <v>243</v>
      </c>
      <c r="F261" s="294">
        <v>132352.92000000001</v>
      </c>
      <c r="G261" s="247">
        <v>148166.66666666666</v>
      </c>
      <c r="H261" s="295">
        <f t="shared" si="6"/>
        <v>15813.746666666644</v>
      </c>
      <c r="I261" s="250">
        <f t="shared" si="7"/>
        <v>0.1067294488188975</v>
      </c>
    </row>
    <row r="262" spans="2:9" x14ac:dyDescent="0.3">
      <c r="B262" s="2">
        <v>469</v>
      </c>
      <c r="C262" s="41" t="s">
        <v>244</v>
      </c>
      <c r="D262" s="2">
        <v>6</v>
      </c>
      <c r="E262" s="2" t="s">
        <v>21</v>
      </c>
      <c r="F262" s="294">
        <v>21290.1</v>
      </c>
      <c r="G262" s="247">
        <v>29000</v>
      </c>
      <c r="H262" s="295">
        <f t="shared" ref="H262:H325" si="8">G262-F262</f>
        <v>7709.9000000000015</v>
      </c>
      <c r="I262" s="250">
        <f t="shared" ref="I262:I325" si="9">H262/G262</f>
        <v>0.26585862068965521</v>
      </c>
    </row>
    <row r="263" spans="2:9" x14ac:dyDescent="0.3">
      <c r="B263" s="2">
        <v>470</v>
      </c>
      <c r="C263" s="41" t="s">
        <v>245</v>
      </c>
      <c r="D263" s="2">
        <v>4</v>
      </c>
      <c r="E263" s="2" t="s">
        <v>35</v>
      </c>
      <c r="F263" s="294">
        <v>22350</v>
      </c>
      <c r="G263" s="247">
        <v>26500</v>
      </c>
      <c r="H263" s="295">
        <f t="shared" si="8"/>
        <v>4150</v>
      </c>
      <c r="I263" s="250">
        <f t="shared" si="9"/>
        <v>0.15660377358490565</v>
      </c>
    </row>
    <row r="264" spans="2:9" x14ac:dyDescent="0.3">
      <c r="B264" s="2">
        <v>471</v>
      </c>
      <c r="C264" s="41" t="s">
        <v>1635</v>
      </c>
      <c r="D264" s="2">
        <v>4</v>
      </c>
      <c r="E264" s="2" t="s">
        <v>5</v>
      </c>
      <c r="F264" s="294">
        <v>9898</v>
      </c>
      <c r="G264" s="247">
        <v>11500</v>
      </c>
      <c r="H264" s="295">
        <f t="shared" si="8"/>
        <v>1602</v>
      </c>
      <c r="I264" s="250">
        <f t="shared" si="9"/>
        <v>0.13930434782608694</v>
      </c>
    </row>
    <row r="265" spans="2:9" x14ac:dyDescent="0.3">
      <c r="B265" s="2">
        <v>472</v>
      </c>
      <c r="C265" s="41" t="s">
        <v>246</v>
      </c>
      <c r="D265" s="2">
        <v>14</v>
      </c>
      <c r="E265" s="2" t="s">
        <v>32</v>
      </c>
      <c r="F265" s="294">
        <v>34353</v>
      </c>
      <c r="G265" s="247">
        <v>38433.333333333336</v>
      </c>
      <c r="H265" s="295">
        <f t="shared" si="8"/>
        <v>4080.3333333333358</v>
      </c>
      <c r="I265" s="250">
        <f t="shared" si="9"/>
        <v>0.10616652211621862</v>
      </c>
    </row>
    <row r="266" spans="2:9" x14ac:dyDescent="0.3">
      <c r="B266" s="2">
        <v>473</v>
      </c>
      <c r="C266" s="41" t="s">
        <v>247</v>
      </c>
      <c r="D266" s="2">
        <v>14</v>
      </c>
      <c r="E266" s="2" t="s">
        <v>32</v>
      </c>
      <c r="F266" s="294">
        <v>8229</v>
      </c>
      <c r="G266" s="247">
        <v>9600</v>
      </c>
      <c r="H266" s="295">
        <f t="shared" si="8"/>
        <v>1371</v>
      </c>
      <c r="I266" s="250">
        <f t="shared" si="9"/>
        <v>0.14281250000000001</v>
      </c>
    </row>
    <row r="267" spans="2:9" x14ac:dyDescent="0.3">
      <c r="B267" s="2">
        <v>474</v>
      </c>
      <c r="C267" s="41" t="s">
        <v>248</v>
      </c>
      <c r="D267" s="2">
        <v>10</v>
      </c>
      <c r="E267" s="2" t="s">
        <v>12</v>
      </c>
      <c r="F267" s="294">
        <v>15666.335999999999</v>
      </c>
      <c r="G267" s="247">
        <v>18500</v>
      </c>
      <c r="H267" s="295">
        <f t="shared" si="8"/>
        <v>2833.6640000000007</v>
      </c>
      <c r="I267" s="250">
        <f t="shared" si="9"/>
        <v>0.15317102702702706</v>
      </c>
    </row>
    <row r="268" spans="2:9" x14ac:dyDescent="0.3">
      <c r="B268" s="2">
        <v>476</v>
      </c>
      <c r="C268" s="41" t="s">
        <v>1636</v>
      </c>
      <c r="D268" s="2">
        <v>9</v>
      </c>
      <c r="E268" s="2" t="s">
        <v>12</v>
      </c>
      <c r="F268" s="294">
        <v>47073.599999999999</v>
      </c>
      <c r="G268" s="247">
        <v>54500</v>
      </c>
      <c r="H268" s="295">
        <f t="shared" si="8"/>
        <v>7426.4000000000015</v>
      </c>
      <c r="I268" s="250">
        <f t="shared" si="9"/>
        <v>0.13626422018348627</v>
      </c>
    </row>
    <row r="269" spans="2:9" x14ac:dyDescent="0.3">
      <c r="B269" s="2">
        <v>478</v>
      </c>
      <c r="C269" s="41" t="s">
        <v>249</v>
      </c>
      <c r="D269" s="2">
        <v>9</v>
      </c>
      <c r="E269" s="2" t="s">
        <v>12</v>
      </c>
      <c r="F269" s="294">
        <v>17841.599999999999</v>
      </c>
      <c r="G269" s="247">
        <v>20500</v>
      </c>
      <c r="H269" s="295">
        <f t="shared" si="8"/>
        <v>2658.4000000000015</v>
      </c>
      <c r="I269" s="250">
        <f t="shared" si="9"/>
        <v>0.12967804878048789</v>
      </c>
    </row>
    <row r="270" spans="2:9" x14ac:dyDescent="0.3">
      <c r="B270" s="2">
        <v>479</v>
      </c>
      <c r="C270" s="41" t="s">
        <v>250</v>
      </c>
      <c r="D270" s="2">
        <v>9</v>
      </c>
      <c r="E270" s="2" t="s">
        <v>12</v>
      </c>
      <c r="F270" s="294">
        <v>16245.936</v>
      </c>
      <c r="G270" s="247">
        <v>20200</v>
      </c>
      <c r="H270" s="295">
        <f t="shared" si="8"/>
        <v>3954.0640000000003</v>
      </c>
      <c r="I270" s="250">
        <f t="shared" si="9"/>
        <v>0.19574574257425745</v>
      </c>
    </row>
    <row r="271" spans="2:9" x14ac:dyDescent="0.3">
      <c r="B271" s="2">
        <v>480</v>
      </c>
      <c r="C271" s="41" t="s">
        <v>1637</v>
      </c>
      <c r="D271" s="2">
        <v>9</v>
      </c>
      <c r="E271" s="2" t="s">
        <v>12</v>
      </c>
      <c r="F271" s="294">
        <v>14522.255999999999</v>
      </c>
      <c r="G271" s="247">
        <v>19366.666666666668</v>
      </c>
      <c r="H271" s="295">
        <f t="shared" si="8"/>
        <v>4844.4106666666685</v>
      </c>
      <c r="I271" s="250">
        <f t="shared" si="9"/>
        <v>0.25014168674698806</v>
      </c>
    </row>
    <row r="272" spans="2:9" x14ac:dyDescent="0.3">
      <c r="B272" s="2">
        <v>481</v>
      </c>
      <c r="C272" s="41" t="s">
        <v>251</v>
      </c>
      <c r="D272" s="2">
        <v>14</v>
      </c>
      <c r="E272" s="2" t="s">
        <v>104</v>
      </c>
      <c r="F272" s="294">
        <v>7339.2</v>
      </c>
      <c r="G272" s="247">
        <v>9600</v>
      </c>
      <c r="H272" s="295">
        <f t="shared" si="8"/>
        <v>2260.8000000000002</v>
      </c>
      <c r="I272" s="250">
        <f t="shared" si="9"/>
        <v>0.23550000000000001</v>
      </c>
    </row>
    <row r="273" spans="2:9" x14ac:dyDescent="0.3">
      <c r="B273" s="2">
        <v>489</v>
      </c>
      <c r="C273" s="41" t="s">
        <v>1638</v>
      </c>
      <c r="D273" s="2">
        <v>14</v>
      </c>
      <c r="E273" s="2" t="s">
        <v>1639</v>
      </c>
      <c r="F273" s="294">
        <v>2099</v>
      </c>
      <c r="G273" s="247">
        <v>3300</v>
      </c>
      <c r="H273" s="295">
        <f t="shared" si="8"/>
        <v>1201</v>
      </c>
      <c r="I273" s="250">
        <f t="shared" si="9"/>
        <v>0.36393939393939395</v>
      </c>
    </row>
    <row r="274" spans="2:9" x14ac:dyDescent="0.3">
      <c r="B274" s="2">
        <v>492</v>
      </c>
      <c r="C274" s="41" t="s">
        <v>252</v>
      </c>
      <c r="D274" s="2">
        <v>2</v>
      </c>
      <c r="E274" s="2" t="s">
        <v>10</v>
      </c>
      <c r="F274" s="294">
        <v>99100</v>
      </c>
      <c r="G274" s="247">
        <v>106700</v>
      </c>
      <c r="H274" s="295">
        <f t="shared" si="8"/>
        <v>7600</v>
      </c>
      <c r="I274" s="250">
        <f t="shared" si="9"/>
        <v>7.1227741330834121E-2</v>
      </c>
    </row>
    <row r="275" spans="2:9" x14ac:dyDescent="0.3">
      <c r="B275" s="2">
        <v>494</v>
      </c>
      <c r="C275" s="41" t="s">
        <v>1640</v>
      </c>
      <c r="D275" s="2">
        <v>14</v>
      </c>
      <c r="E275" s="2" t="s">
        <v>5</v>
      </c>
      <c r="F275" s="294">
        <v>22777</v>
      </c>
      <c r="G275" s="247">
        <v>28900</v>
      </c>
      <c r="H275" s="295">
        <f t="shared" si="8"/>
        <v>6123</v>
      </c>
      <c r="I275" s="250">
        <f t="shared" si="9"/>
        <v>0.21186851211072663</v>
      </c>
    </row>
    <row r="276" spans="2:9" x14ac:dyDescent="0.3">
      <c r="B276" s="2">
        <v>496</v>
      </c>
      <c r="C276" s="41" t="s">
        <v>1641</v>
      </c>
      <c r="D276" s="2">
        <v>5</v>
      </c>
      <c r="E276" s="2" t="s">
        <v>16</v>
      </c>
      <c r="F276" s="294">
        <v>18326</v>
      </c>
      <c r="G276" s="247">
        <v>23000</v>
      </c>
      <c r="H276" s="295">
        <f t="shared" si="8"/>
        <v>4674</v>
      </c>
      <c r="I276" s="250">
        <f t="shared" si="9"/>
        <v>0.20321739130434782</v>
      </c>
    </row>
    <row r="277" spans="2:9" x14ac:dyDescent="0.3">
      <c r="B277" s="2">
        <v>499</v>
      </c>
      <c r="C277" s="41" t="s">
        <v>253</v>
      </c>
      <c r="D277" s="2">
        <v>9</v>
      </c>
      <c r="E277" s="2" t="s">
        <v>12</v>
      </c>
      <c r="F277" s="294">
        <v>14308</v>
      </c>
      <c r="G277" s="247">
        <v>16500</v>
      </c>
      <c r="H277" s="295">
        <f t="shared" si="8"/>
        <v>2192</v>
      </c>
      <c r="I277" s="250">
        <f t="shared" si="9"/>
        <v>0.13284848484848485</v>
      </c>
    </row>
    <row r="278" spans="2:9" x14ac:dyDescent="0.3">
      <c r="B278" s="2">
        <v>500</v>
      </c>
      <c r="C278" s="41" t="s">
        <v>254</v>
      </c>
      <c r="D278" s="2">
        <v>7</v>
      </c>
      <c r="E278" s="2" t="s">
        <v>160</v>
      </c>
      <c r="F278" s="294">
        <v>2420</v>
      </c>
      <c r="G278" s="247">
        <v>2800</v>
      </c>
      <c r="H278" s="295">
        <f t="shared" si="8"/>
        <v>380</v>
      </c>
      <c r="I278" s="250">
        <f t="shared" si="9"/>
        <v>0.1357142857142857</v>
      </c>
    </row>
    <row r="279" spans="2:9" x14ac:dyDescent="0.3">
      <c r="B279" s="2">
        <v>501</v>
      </c>
      <c r="C279" s="41" t="s">
        <v>255</v>
      </c>
      <c r="D279" s="2">
        <v>7</v>
      </c>
      <c r="E279" s="2" t="s">
        <v>160</v>
      </c>
      <c r="F279" s="294">
        <v>2230</v>
      </c>
      <c r="G279" s="247">
        <v>2650</v>
      </c>
      <c r="H279" s="295">
        <f t="shared" si="8"/>
        <v>420</v>
      </c>
      <c r="I279" s="250">
        <f t="shared" si="9"/>
        <v>0.15849056603773584</v>
      </c>
    </row>
    <row r="280" spans="2:9" x14ac:dyDescent="0.3">
      <c r="B280" s="2">
        <v>502</v>
      </c>
      <c r="C280" s="41" t="s">
        <v>256</v>
      </c>
      <c r="D280" s="2">
        <v>14</v>
      </c>
      <c r="E280" s="2" t="s">
        <v>32</v>
      </c>
      <c r="F280" s="294">
        <v>13954</v>
      </c>
      <c r="G280" s="247">
        <v>19000</v>
      </c>
      <c r="H280" s="295">
        <f t="shared" si="8"/>
        <v>5046</v>
      </c>
      <c r="I280" s="250">
        <f t="shared" si="9"/>
        <v>0.26557894736842103</v>
      </c>
    </row>
    <row r="281" spans="2:9" x14ac:dyDescent="0.3">
      <c r="B281" s="2">
        <v>506</v>
      </c>
      <c r="C281" s="41" t="s">
        <v>1642</v>
      </c>
      <c r="D281" s="2">
        <v>14</v>
      </c>
      <c r="E281" s="2" t="s">
        <v>12</v>
      </c>
      <c r="F281" s="294">
        <v>2058</v>
      </c>
      <c r="G281" s="247">
        <v>2500</v>
      </c>
      <c r="H281" s="295">
        <f t="shared" si="8"/>
        <v>442</v>
      </c>
      <c r="I281" s="250">
        <f t="shared" si="9"/>
        <v>0.17680000000000001</v>
      </c>
    </row>
    <row r="282" spans="2:9" x14ac:dyDescent="0.3">
      <c r="B282" s="2">
        <v>507</v>
      </c>
      <c r="C282" s="41" t="s">
        <v>1643</v>
      </c>
      <c r="D282" s="2">
        <v>5</v>
      </c>
      <c r="E282" s="2" t="s">
        <v>16</v>
      </c>
      <c r="F282" s="294">
        <v>15310</v>
      </c>
      <c r="G282" s="247">
        <v>20000</v>
      </c>
      <c r="H282" s="295">
        <f t="shared" si="8"/>
        <v>4690</v>
      </c>
      <c r="I282" s="250">
        <f t="shared" si="9"/>
        <v>0.23449999999999999</v>
      </c>
    </row>
    <row r="283" spans="2:9" x14ac:dyDescent="0.3">
      <c r="B283" s="2">
        <v>509</v>
      </c>
      <c r="C283" s="41" t="s">
        <v>257</v>
      </c>
      <c r="D283" s="2">
        <v>14</v>
      </c>
      <c r="E283" s="2" t="s">
        <v>21</v>
      </c>
      <c r="F283" s="294">
        <v>2438.9074000000001</v>
      </c>
      <c r="G283" s="247">
        <v>3000</v>
      </c>
      <c r="H283" s="295">
        <f t="shared" si="8"/>
        <v>561.09259999999995</v>
      </c>
      <c r="I283" s="250">
        <f t="shared" si="9"/>
        <v>0.18703086666666666</v>
      </c>
    </row>
    <row r="284" spans="2:9" x14ac:dyDescent="0.3">
      <c r="B284" s="2">
        <v>510</v>
      </c>
      <c r="C284" s="41" t="s">
        <v>1644</v>
      </c>
      <c r="D284" s="2">
        <v>12</v>
      </c>
      <c r="E284" s="2" t="s">
        <v>12</v>
      </c>
      <c r="F284" s="294">
        <v>3808</v>
      </c>
      <c r="G284" s="247">
        <v>4800</v>
      </c>
      <c r="H284" s="295">
        <f t="shared" si="8"/>
        <v>992</v>
      </c>
      <c r="I284" s="250">
        <f t="shared" si="9"/>
        <v>0.20666666666666667</v>
      </c>
    </row>
    <row r="285" spans="2:9" x14ac:dyDescent="0.3">
      <c r="B285" s="2">
        <v>514</v>
      </c>
      <c r="C285" s="41" t="s">
        <v>258</v>
      </c>
      <c r="D285" s="2">
        <v>6</v>
      </c>
      <c r="E285" s="2" t="s">
        <v>16</v>
      </c>
      <c r="F285" s="294">
        <v>48791</v>
      </c>
      <c r="G285" s="247">
        <v>56200</v>
      </c>
      <c r="H285" s="295">
        <f t="shared" si="8"/>
        <v>7409</v>
      </c>
      <c r="I285" s="250">
        <f t="shared" si="9"/>
        <v>0.13183274021352312</v>
      </c>
    </row>
    <row r="286" spans="2:9" x14ac:dyDescent="0.3">
      <c r="B286" s="2">
        <v>519</v>
      </c>
      <c r="C286" s="41" t="s">
        <v>259</v>
      </c>
      <c r="D286" s="2">
        <v>9</v>
      </c>
      <c r="E286" s="2" t="s">
        <v>56</v>
      </c>
      <c r="F286" s="294">
        <v>2237</v>
      </c>
      <c r="G286" s="247">
        <v>4400</v>
      </c>
      <c r="H286" s="295">
        <f t="shared" si="8"/>
        <v>2163</v>
      </c>
      <c r="I286" s="250">
        <f t="shared" si="9"/>
        <v>0.49159090909090908</v>
      </c>
    </row>
    <row r="287" spans="2:9" x14ac:dyDescent="0.3">
      <c r="B287" s="2">
        <v>520</v>
      </c>
      <c r="C287" s="41" t="s">
        <v>260</v>
      </c>
      <c r="D287" s="2">
        <v>9</v>
      </c>
      <c r="E287" s="2" t="s">
        <v>56</v>
      </c>
      <c r="F287" s="294">
        <v>3518.83</v>
      </c>
      <c r="G287" s="247">
        <v>5100</v>
      </c>
      <c r="H287" s="295">
        <f t="shared" si="8"/>
        <v>1581.17</v>
      </c>
      <c r="I287" s="250">
        <f t="shared" si="9"/>
        <v>0.31003333333333333</v>
      </c>
    </row>
    <row r="288" spans="2:9" x14ac:dyDescent="0.3">
      <c r="B288" s="2">
        <v>521</v>
      </c>
      <c r="C288" s="41" t="s">
        <v>261</v>
      </c>
      <c r="D288" s="2">
        <v>9</v>
      </c>
      <c r="E288" s="2" t="s">
        <v>56</v>
      </c>
      <c r="F288" s="294">
        <v>2000</v>
      </c>
      <c r="G288" s="247">
        <v>2000</v>
      </c>
      <c r="H288" s="295">
        <f t="shared" si="8"/>
        <v>0</v>
      </c>
      <c r="I288" s="250">
        <f t="shared" si="9"/>
        <v>0</v>
      </c>
    </row>
    <row r="289" spans="2:9" x14ac:dyDescent="0.3">
      <c r="B289" s="2">
        <v>522</v>
      </c>
      <c r="C289" s="41" t="s">
        <v>262</v>
      </c>
      <c r="D289" s="2">
        <v>9</v>
      </c>
      <c r="E289" s="2" t="s">
        <v>56</v>
      </c>
      <c r="F289" s="294">
        <v>3518.83</v>
      </c>
      <c r="G289" s="247">
        <v>5200</v>
      </c>
      <c r="H289" s="295">
        <f t="shared" si="8"/>
        <v>1681.17</v>
      </c>
      <c r="I289" s="250">
        <f t="shared" si="9"/>
        <v>0.32330192307692307</v>
      </c>
    </row>
    <row r="290" spans="2:9" x14ac:dyDescent="0.3">
      <c r="B290" s="2">
        <v>523</v>
      </c>
      <c r="C290" s="41" t="s">
        <v>263</v>
      </c>
      <c r="D290" s="2">
        <v>9</v>
      </c>
      <c r="E290" s="2" t="s">
        <v>56</v>
      </c>
      <c r="F290" s="294">
        <v>3500</v>
      </c>
      <c r="G290" s="247">
        <v>3500</v>
      </c>
      <c r="H290" s="295">
        <f t="shared" si="8"/>
        <v>0</v>
      </c>
      <c r="I290" s="250">
        <f t="shared" si="9"/>
        <v>0</v>
      </c>
    </row>
    <row r="291" spans="2:9" x14ac:dyDescent="0.3">
      <c r="B291" s="2">
        <v>524</v>
      </c>
      <c r="C291" s="41" t="s">
        <v>264</v>
      </c>
      <c r="D291" s="2">
        <v>6</v>
      </c>
      <c r="E291" s="2" t="s">
        <v>16</v>
      </c>
      <c r="F291" s="294">
        <v>39819</v>
      </c>
      <c r="G291" s="247">
        <v>47000</v>
      </c>
      <c r="H291" s="295">
        <f t="shared" si="8"/>
        <v>7181</v>
      </c>
      <c r="I291" s="250">
        <f t="shared" si="9"/>
        <v>0.1527872340425532</v>
      </c>
    </row>
    <row r="292" spans="2:9" x14ac:dyDescent="0.3">
      <c r="B292" s="2">
        <v>525</v>
      </c>
      <c r="C292" s="41" t="s">
        <v>265</v>
      </c>
      <c r="D292" s="2">
        <v>14</v>
      </c>
      <c r="E292" s="2" t="s">
        <v>59</v>
      </c>
      <c r="F292" s="294">
        <v>5506.6124</v>
      </c>
      <c r="G292" s="247">
        <v>7500</v>
      </c>
      <c r="H292" s="295">
        <f t="shared" si="8"/>
        <v>1993.3876</v>
      </c>
      <c r="I292" s="250">
        <f t="shared" si="9"/>
        <v>0.26578501333333332</v>
      </c>
    </row>
    <row r="293" spans="2:9" x14ac:dyDescent="0.3">
      <c r="B293" s="2">
        <v>526</v>
      </c>
      <c r="C293" s="41" t="s">
        <v>266</v>
      </c>
      <c r="D293" s="2">
        <v>14</v>
      </c>
      <c r="E293" s="2" t="s">
        <v>50</v>
      </c>
      <c r="F293" s="294">
        <v>213.4</v>
      </c>
      <c r="G293" s="247">
        <v>350</v>
      </c>
      <c r="H293" s="295">
        <f t="shared" si="8"/>
        <v>136.6</v>
      </c>
      <c r="I293" s="250">
        <f t="shared" si="9"/>
        <v>0.39028571428571429</v>
      </c>
    </row>
    <row r="294" spans="2:9" x14ac:dyDescent="0.3">
      <c r="B294" s="2">
        <v>527</v>
      </c>
      <c r="C294" s="41" t="s">
        <v>1645</v>
      </c>
      <c r="D294" s="2">
        <v>2</v>
      </c>
      <c r="E294" s="2" t="s">
        <v>5</v>
      </c>
      <c r="F294" s="294">
        <v>4280.6216000000004</v>
      </c>
      <c r="G294" s="247">
        <v>5033.333333333333</v>
      </c>
      <c r="H294" s="295">
        <f t="shared" si="8"/>
        <v>752.71173333333263</v>
      </c>
      <c r="I294" s="250">
        <f t="shared" si="9"/>
        <v>0.14954537748344357</v>
      </c>
    </row>
    <row r="295" spans="2:9" x14ac:dyDescent="0.3">
      <c r="B295" s="2">
        <v>529</v>
      </c>
      <c r="C295" s="41" t="s">
        <v>1646</v>
      </c>
      <c r="D295" s="2">
        <v>2</v>
      </c>
      <c r="E295" s="2" t="s">
        <v>1647</v>
      </c>
      <c r="F295" s="294">
        <v>65479.89</v>
      </c>
      <c r="G295" s="247">
        <v>71666.666666666672</v>
      </c>
      <c r="H295" s="295">
        <f t="shared" si="8"/>
        <v>6186.7766666666721</v>
      </c>
      <c r="I295" s="250">
        <f t="shared" si="9"/>
        <v>8.6327116279069832E-2</v>
      </c>
    </row>
    <row r="296" spans="2:9" x14ac:dyDescent="0.3">
      <c r="B296" s="2">
        <v>530</v>
      </c>
      <c r="C296" s="41" t="s">
        <v>267</v>
      </c>
      <c r="D296" s="2">
        <v>2</v>
      </c>
      <c r="E296" s="2" t="s">
        <v>142</v>
      </c>
      <c r="F296" s="294">
        <v>118657.66499999999</v>
      </c>
      <c r="G296" s="247">
        <v>131250</v>
      </c>
      <c r="H296" s="295">
        <f t="shared" si="8"/>
        <v>12592.335000000006</v>
      </c>
      <c r="I296" s="250">
        <f t="shared" si="9"/>
        <v>9.5941600000000044E-2</v>
      </c>
    </row>
    <row r="297" spans="2:9" x14ac:dyDescent="0.3">
      <c r="B297" s="2">
        <v>531</v>
      </c>
      <c r="C297" s="41" t="s">
        <v>1648</v>
      </c>
      <c r="D297" s="2">
        <v>2</v>
      </c>
      <c r="E297" s="2" t="s">
        <v>215</v>
      </c>
      <c r="F297" s="294">
        <v>104082.1425</v>
      </c>
      <c r="G297" s="247">
        <v>116733.33333333333</v>
      </c>
      <c r="H297" s="295">
        <f t="shared" si="8"/>
        <v>12651.190833333327</v>
      </c>
      <c r="I297" s="250">
        <f t="shared" si="9"/>
        <v>0.10837684894346082</v>
      </c>
    </row>
    <row r="298" spans="2:9" x14ac:dyDescent="0.3">
      <c r="B298" s="2">
        <v>533</v>
      </c>
      <c r="C298" s="41" t="s">
        <v>268</v>
      </c>
      <c r="D298" s="2">
        <v>12</v>
      </c>
      <c r="E298" s="2" t="s">
        <v>12</v>
      </c>
      <c r="F298" s="294">
        <v>5569.2</v>
      </c>
      <c r="G298" s="247">
        <v>6733.333333333333</v>
      </c>
      <c r="H298" s="295">
        <f t="shared" si="8"/>
        <v>1164.1333333333332</v>
      </c>
      <c r="I298" s="250">
        <f t="shared" si="9"/>
        <v>0.17289108910891088</v>
      </c>
    </row>
    <row r="299" spans="2:9" x14ac:dyDescent="0.3">
      <c r="B299" s="2">
        <v>534</v>
      </c>
      <c r="C299" s="41" t="s">
        <v>1649</v>
      </c>
      <c r="D299" s="2">
        <v>14</v>
      </c>
      <c r="E299" s="2" t="s">
        <v>12</v>
      </c>
      <c r="F299" s="294">
        <v>7235</v>
      </c>
      <c r="G299" s="247">
        <v>10700</v>
      </c>
      <c r="H299" s="295">
        <f t="shared" si="8"/>
        <v>3465</v>
      </c>
      <c r="I299" s="250">
        <f t="shared" si="9"/>
        <v>0.32383177570093458</v>
      </c>
    </row>
    <row r="300" spans="2:9" x14ac:dyDescent="0.3">
      <c r="B300" s="2">
        <v>536</v>
      </c>
      <c r="C300" s="41" t="s">
        <v>1650</v>
      </c>
      <c r="D300" s="2">
        <v>1</v>
      </c>
      <c r="E300" s="2" t="s">
        <v>5</v>
      </c>
      <c r="F300" s="294">
        <v>2500</v>
      </c>
      <c r="G300" s="247">
        <v>3000</v>
      </c>
      <c r="H300" s="295">
        <f t="shared" si="8"/>
        <v>500</v>
      </c>
      <c r="I300" s="250">
        <f t="shared" si="9"/>
        <v>0.16666666666666666</v>
      </c>
    </row>
    <row r="301" spans="2:9" x14ac:dyDescent="0.3">
      <c r="B301" s="2">
        <v>537</v>
      </c>
      <c r="C301" s="41" t="s">
        <v>269</v>
      </c>
      <c r="D301" s="2">
        <v>5</v>
      </c>
      <c r="E301" s="2" t="s">
        <v>16</v>
      </c>
      <c r="F301" s="294">
        <v>69230.769199999995</v>
      </c>
      <c r="G301" s="247">
        <v>92000</v>
      </c>
      <c r="H301" s="295">
        <f t="shared" si="8"/>
        <v>22769.230800000005</v>
      </c>
      <c r="I301" s="250">
        <f t="shared" si="9"/>
        <v>0.24749163913043484</v>
      </c>
    </row>
    <row r="302" spans="2:9" x14ac:dyDescent="0.3">
      <c r="B302" s="2">
        <v>539</v>
      </c>
      <c r="C302" s="41" t="s">
        <v>1651</v>
      </c>
      <c r="D302" s="2">
        <v>14</v>
      </c>
      <c r="E302" s="2" t="s">
        <v>32</v>
      </c>
      <c r="F302" s="294">
        <v>9550</v>
      </c>
      <c r="G302" s="247">
        <v>10800</v>
      </c>
      <c r="H302" s="295">
        <f t="shared" si="8"/>
        <v>1250</v>
      </c>
      <c r="I302" s="250">
        <f t="shared" si="9"/>
        <v>0.11574074074074074</v>
      </c>
    </row>
    <row r="303" spans="2:9" x14ac:dyDescent="0.3">
      <c r="B303" s="2">
        <v>540</v>
      </c>
      <c r="C303" s="41" t="s">
        <v>270</v>
      </c>
      <c r="D303" s="2">
        <v>5</v>
      </c>
      <c r="E303" s="2" t="s">
        <v>5</v>
      </c>
      <c r="F303" s="294">
        <v>32691</v>
      </c>
      <c r="G303" s="247">
        <v>38500</v>
      </c>
      <c r="H303" s="295">
        <f t="shared" si="8"/>
        <v>5809</v>
      </c>
      <c r="I303" s="250">
        <f t="shared" si="9"/>
        <v>0.1508831168831169</v>
      </c>
    </row>
    <row r="304" spans="2:9" x14ac:dyDescent="0.3">
      <c r="B304" s="2">
        <v>542</v>
      </c>
      <c r="C304" s="41" t="s">
        <v>271</v>
      </c>
      <c r="D304" s="2">
        <v>5</v>
      </c>
      <c r="E304" s="2" t="s">
        <v>132</v>
      </c>
      <c r="F304" s="294">
        <v>116900</v>
      </c>
      <c r="G304" s="247">
        <v>132000</v>
      </c>
      <c r="H304" s="295">
        <f t="shared" si="8"/>
        <v>15100</v>
      </c>
      <c r="I304" s="250">
        <f t="shared" si="9"/>
        <v>0.1143939393939394</v>
      </c>
    </row>
    <row r="305" spans="2:9" x14ac:dyDescent="0.3">
      <c r="B305" s="2">
        <v>543</v>
      </c>
      <c r="C305" s="41" t="s">
        <v>272</v>
      </c>
      <c r="D305" s="2">
        <v>5</v>
      </c>
      <c r="E305" s="2" t="s">
        <v>5</v>
      </c>
      <c r="F305" s="294">
        <v>18600</v>
      </c>
      <c r="G305" s="247">
        <v>21333.333333333332</v>
      </c>
      <c r="H305" s="295">
        <f t="shared" si="8"/>
        <v>2733.3333333333321</v>
      </c>
      <c r="I305" s="250">
        <f t="shared" si="9"/>
        <v>0.12812499999999996</v>
      </c>
    </row>
    <row r="306" spans="2:9" x14ac:dyDescent="0.3">
      <c r="B306" s="2">
        <v>546</v>
      </c>
      <c r="C306" s="41" t="s">
        <v>273</v>
      </c>
      <c r="D306" s="2">
        <v>7</v>
      </c>
      <c r="E306" s="2" t="s">
        <v>160</v>
      </c>
      <c r="F306" s="294">
        <v>2230</v>
      </c>
      <c r="G306" s="247">
        <v>2666.6666666666665</v>
      </c>
      <c r="H306" s="295">
        <f t="shared" si="8"/>
        <v>436.66666666666652</v>
      </c>
      <c r="I306" s="250">
        <f t="shared" si="9"/>
        <v>0.16374999999999995</v>
      </c>
    </row>
    <row r="307" spans="2:9" x14ac:dyDescent="0.3">
      <c r="B307" s="2">
        <v>548</v>
      </c>
      <c r="C307" s="41" t="s">
        <v>274</v>
      </c>
      <c r="D307" s="2">
        <v>7</v>
      </c>
      <c r="E307" s="2" t="s">
        <v>160</v>
      </c>
      <c r="F307" s="294">
        <v>2230</v>
      </c>
      <c r="G307" s="247">
        <v>2716.6666666666665</v>
      </c>
      <c r="H307" s="295">
        <f t="shared" si="8"/>
        <v>486.66666666666652</v>
      </c>
      <c r="I307" s="250">
        <f t="shared" si="9"/>
        <v>0.17914110429447849</v>
      </c>
    </row>
    <row r="308" spans="2:9" x14ac:dyDescent="0.3">
      <c r="B308" s="2">
        <v>549</v>
      </c>
      <c r="C308" s="41" t="s">
        <v>275</v>
      </c>
      <c r="D308" s="2">
        <v>4</v>
      </c>
      <c r="E308" s="2" t="s">
        <v>32</v>
      </c>
      <c r="F308" s="294">
        <v>21002</v>
      </c>
      <c r="G308" s="247">
        <v>25000</v>
      </c>
      <c r="H308" s="295">
        <f t="shared" si="8"/>
        <v>3998</v>
      </c>
      <c r="I308" s="250">
        <f t="shared" si="9"/>
        <v>0.15992000000000001</v>
      </c>
    </row>
    <row r="309" spans="2:9" x14ac:dyDescent="0.3">
      <c r="B309" s="2">
        <v>551</v>
      </c>
      <c r="C309" s="41" t="s">
        <v>276</v>
      </c>
      <c r="D309" s="2">
        <v>4</v>
      </c>
      <c r="E309" s="2" t="s">
        <v>21</v>
      </c>
      <c r="F309" s="294">
        <v>26320</v>
      </c>
      <c r="G309" s="247">
        <v>30300</v>
      </c>
      <c r="H309" s="295">
        <f t="shared" si="8"/>
        <v>3980</v>
      </c>
      <c r="I309" s="250">
        <f t="shared" si="9"/>
        <v>0.13135313531353135</v>
      </c>
    </row>
    <row r="310" spans="2:9" x14ac:dyDescent="0.3">
      <c r="B310" s="2">
        <v>553</v>
      </c>
      <c r="C310" s="41" t="s">
        <v>277</v>
      </c>
      <c r="D310" s="2">
        <v>14</v>
      </c>
      <c r="E310" s="2" t="s">
        <v>56</v>
      </c>
      <c r="F310" s="294">
        <v>5579</v>
      </c>
      <c r="G310" s="247">
        <v>8500</v>
      </c>
      <c r="H310" s="295">
        <f t="shared" si="8"/>
        <v>2921</v>
      </c>
      <c r="I310" s="250">
        <f t="shared" si="9"/>
        <v>0.34364705882352942</v>
      </c>
    </row>
    <row r="311" spans="2:9" x14ac:dyDescent="0.3">
      <c r="B311" s="2">
        <v>554</v>
      </c>
      <c r="C311" s="41" t="s">
        <v>1652</v>
      </c>
      <c r="D311" s="2">
        <v>14</v>
      </c>
      <c r="E311" s="2" t="s">
        <v>21</v>
      </c>
      <c r="F311" s="294">
        <v>5007</v>
      </c>
      <c r="G311" s="247">
        <v>6000</v>
      </c>
      <c r="H311" s="295">
        <f t="shared" si="8"/>
        <v>993</v>
      </c>
      <c r="I311" s="250">
        <f t="shared" si="9"/>
        <v>0.16550000000000001</v>
      </c>
    </row>
    <row r="312" spans="2:9" x14ac:dyDescent="0.3">
      <c r="B312" s="2">
        <v>555</v>
      </c>
      <c r="C312" s="41" t="s">
        <v>278</v>
      </c>
      <c r="D312" s="2">
        <v>14</v>
      </c>
      <c r="E312" s="2" t="s">
        <v>97</v>
      </c>
      <c r="F312" s="294">
        <v>1660</v>
      </c>
      <c r="G312" s="247">
        <v>2000</v>
      </c>
      <c r="H312" s="295">
        <f t="shared" si="8"/>
        <v>340</v>
      </c>
      <c r="I312" s="250">
        <f t="shared" si="9"/>
        <v>0.17</v>
      </c>
    </row>
    <row r="313" spans="2:9" x14ac:dyDescent="0.3">
      <c r="B313" s="2">
        <v>556</v>
      </c>
      <c r="C313" s="41" t="s">
        <v>279</v>
      </c>
      <c r="D313" s="2">
        <v>14</v>
      </c>
      <c r="E313" s="2" t="s">
        <v>104</v>
      </c>
      <c r="F313" s="294">
        <v>4240</v>
      </c>
      <c r="G313" s="247">
        <v>8000</v>
      </c>
      <c r="H313" s="295">
        <f t="shared" si="8"/>
        <v>3760</v>
      </c>
      <c r="I313" s="250">
        <f t="shared" si="9"/>
        <v>0.47</v>
      </c>
    </row>
    <row r="314" spans="2:9" x14ac:dyDescent="0.3">
      <c r="B314" s="2">
        <v>557</v>
      </c>
      <c r="C314" s="41" t="s">
        <v>1653</v>
      </c>
      <c r="D314" s="2">
        <v>14</v>
      </c>
      <c r="E314" s="2" t="s">
        <v>81</v>
      </c>
      <c r="F314" s="294">
        <v>4799</v>
      </c>
      <c r="G314" s="247">
        <v>8000</v>
      </c>
      <c r="H314" s="295">
        <f t="shared" si="8"/>
        <v>3201</v>
      </c>
      <c r="I314" s="250">
        <f t="shared" si="9"/>
        <v>0.40012500000000001</v>
      </c>
    </row>
    <row r="315" spans="2:9" x14ac:dyDescent="0.3">
      <c r="B315" s="2">
        <v>558</v>
      </c>
      <c r="C315" s="41" t="s">
        <v>280</v>
      </c>
      <c r="D315" s="2">
        <v>14</v>
      </c>
      <c r="E315" s="2" t="s">
        <v>104</v>
      </c>
      <c r="F315" s="294">
        <v>8765</v>
      </c>
      <c r="G315" s="247">
        <v>11000</v>
      </c>
      <c r="H315" s="295">
        <f t="shared" si="8"/>
        <v>2235</v>
      </c>
      <c r="I315" s="250">
        <f t="shared" si="9"/>
        <v>0.20318181818181819</v>
      </c>
    </row>
    <row r="316" spans="2:9" x14ac:dyDescent="0.3">
      <c r="B316" s="2">
        <v>560</v>
      </c>
      <c r="C316" s="41" t="s">
        <v>281</v>
      </c>
      <c r="D316" s="2">
        <v>8</v>
      </c>
      <c r="E316" s="2" t="s">
        <v>41</v>
      </c>
      <c r="F316" s="294">
        <v>143874.51999999999</v>
      </c>
      <c r="G316" s="247">
        <v>158283.33333333334</v>
      </c>
      <c r="H316" s="295">
        <f t="shared" si="8"/>
        <v>14408.813333333354</v>
      </c>
      <c r="I316" s="250">
        <f t="shared" si="9"/>
        <v>9.1031778456354753E-2</v>
      </c>
    </row>
    <row r="317" spans="2:9" x14ac:dyDescent="0.3">
      <c r="B317" s="2">
        <v>561</v>
      </c>
      <c r="C317" s="41" t="s">
        <v>282</v>
      </c>
      <c r="D317" s="2">
        <v>8</v>
      </c>
      <c r="E317" s="2" t="s">
        <v>16</v>
      </c>
      <c r="F317" s="294">
        <v>38400</v>
      </c>
      <c r="G317" s="247">
        <v>45766.666666666664</v>
      </c>
      <c r="H317" s="295">
        <f t="shared" si="8"/>
        <v>7366.6666666666642</v>
      </c>
      <c r="I317" s="250">
        <f t="shared" si="9"/>
        <v>0.16096139839766929</v>
      </c>
    </row>
    <row r="318" spans="2:9" x14ac:dyDescent="0.3">
      <c r="B318" s="2">
        <v>562</v>
      </c>
      <c r="C318" s="41" t="s">
        <v>283</v>
      </c>
      <c r="D318" s="2">
        <v>6</v>
      </c>
      <c r="E318" s="2" t="s">
        <v>32</v>
      </c>
      <c r="F318" s="294">
        <v>28000</v>
      </c>
      <c r="G318" s="247">
        <v>32000</v>
      </c>
      <c r="H318" s="295">
        <f t="shared" si="8"/>
        <v>4000</v>
      </c>
      <c r="I318" s="250">
        <f t="shared" si="9"/>
        <v>0.125</v>
      </c>
    </row>
    <row r="319" spans="2:9" x14ac:dyDescent="0.3">
      <c r="B319" s="2">
        <v>564</v>
      </c>
      <c r="C319" s="41" t="s">
        <v>284</v>
      </c>
      <c r="D319" s="2">
        <v>8</v>
      </c>
      <c r="E319" s="2" t="s">
        <v>32</v>
      </c>
      <c r="F319" s="294">
        <v>3781</v>
      </c>
      <c r="G319" s="247">
        <v>5183.333333333333</v>
      </c>
      <c r="H319" s="295">
        <f t="shared" si="8"/>
        <v>1402.333333333333</v>
      </c>
      <c r="I319" s="250">
        <f t="shared" si="9"/>
        <v>0.27054662379421218</v>
      </c>
    </row>
    <row r="320" spans="2:9" x14ac:dyDescent="0.3">
      <c r="B320" s="2">
        <v>565</v>
      </c>
      <c r="C320" s="41" t="s">
        <v>285</v>
      </c>
      <c r="D320" s="2">
        <v>6</v>
      </c>
      <c r="E320" s="2" t="s">
        <v>32</v>
      </c>
      <c r="F320" s="294">
        <v>11305</v>
      </c>
      <c r="G320" s="247">
        <v>15500</v>
      </c>
      <c r="H320" s="295">
        <f t="shared" si="8"/>
        <v>4195</v>
      </c>
      <c r="I320" s="250">
        <f t="shared" si="9"/>
        <v>0.27064516129032257</v>
      </c>
    </row>
    <row r="321" spans="2:9" x14ac:dyDescent="0.3">
      <c r="B321" s="2">
        <v>566</v>
      </c>
      <c r="C321" s="41" t="s">
        <v>286</v>
      </c>
      <c r="D321" s="2">
        <v>4</v>
      </c>
      <c r="E321" s="2" t="s">
        <v>32</v>
      </c>
      <c r="F321" s="294">
        <v>22488</v>
      </c>
      <c r="G321" s="247">
        <v>25750</v>
      </c>
      <c r="H321" s="295">
        <f t="shared" si="8"/>
        <v>3262</v>
      </c>
      <c r="I321" s="250">
        <f t="shared" si="9"/>
        <v>0.12667961165048544</v>
      </c>
    </row>
    <row r="322" spans="2:9" x14ac:dyDescent="0.3">
      <c r="B322" s="2">
        <v>567</v>
      </c>
      <c r="C322" s="41" t="s">
        <v>287</v>
      </c>
      <c r="D322" s="2">
        <v>4</v>
      </c>
      <c r="E322" s="2" t="s">
        <v>32</v>
      </c>
      <c r="F322" s="294">
        <v>51827</v>
      </c>
      <c r="G322" s="247">
        <v>58500</v>
      </c>
      <c r="H322" s="295">
        <f t="shared" si="8"/>
        <v>6673</v>
      </c>
      <c r="I322" s="250">
        <f t="shared" si="9"/>
        <v>0.11406837606837607</v>
      </c>
    </row>
    <row r="323" spans="2:9" x14ac:dyDescent="0.3">
      <c r="B323" s="2">
        <v>569</v>
      </c>
      <c r="C323" s="41" t="s">
        <v>288</v>
      </c>
      <c r="D323" s="2">
        <v>7</v>
      </c>
      <c r="E323" s="2" t="s">
        <v>12</v>
      </c>
      <c r="F323" s="294">
        <v>17000</v>
      </c>
      <c r="G323" s="247">
        <v>20250</v>
      </c>
      <c r="H323" s="295">
        <f t="shared" si="8"/>
        <v>3250</v>
      </c>
      <c r="I323" s="250">
        <f t="shared" si="9"/>
        <v>0.16049382716049382</v>
      </c>
    </row>
    <row r="324" spans="2:9" x14ac:dyDescent="0.3">
      <c r="B324" s="2">
        <v>575</v>
      </c>
      <c r="C324" s="41" t="s">
        <v>1654</v>
      </c>
      <c r="D324" s="2">
        <v>4</v>
      </c>
      <c r="E324" s="2" t="s">
        <v>32</v>
      </c>
      <c r="F324" s="294">
        <v>15500</v>
      </c>
      <c r="G324" s="247">
        <v>17500</v>
      </c>
      <c r="H324" s="295">
        <f t="shared" si="8"/>
        <v>2000</v>
      </c>
      <c r="I324" s="250">
        <f t="shared" si="9"/>
        <v>0.11428571428571428</v>
      </c>
    </row>
    <row r="325" spans="2:9" x14ac:dyDescent="0.3">
      <c r="B325" s="2">
        <v>577</v>
      </c>
      <c r="C325" s="41" t="s">
        <v>289</v>
      </c>
      <c r="D325" s="2">
        <v>2</v>
      </c>
      <c r="E325" s="2" t="s">
        <v>112</v>
      </c>
      <c r="F325" s="294">
        <v>106100</v>
      </c>
      <c r="G325" s="247">
        <v>113533.33333333333</v>
      </c>
      <c r="H325" s="295">
        <f t="shared" si="8"/>
        <v>7433.3333333333285</v>
      </c>
      <c r="I325" s="250">
        <f t="shared" si="9"/>
        <v>6.5472695243687568E-2</v>
      </c>
    </row>
    <row r="326" spans="2:9" x14ac:dyDescent="0.3">
      <c r="B326" s="2">
        <v>579</v>
      </c>
      <c r="C326" s="41" t="s">
        <v>290</v>
      </c>
      <c r="D326" s="2">
        <v>4</v>
      </c>
      <c r="E326" s="2" t="s">
        <v>16</v>
      </c>
      <c r="F326" s="294">
        <v>106500</v>
      </c>
      <c r="G326" s="247">
        <v>122833.33333333333</v>
      </c>
      <c r="H326" s="295">
        <f t="shared" ref="H326:H389" si="10">G326-F326</f>
        <v>16333.333333333328</v>
      </c>
      <c r="I326" s="250">
        <f t="shared" ref="I326:I389" si="11">H326/G326</f>
        <v>0.13297150610583444</v>
      </c>
    </row>
    <row r="327" spans="2:9" x14ac:dyDescent="0.3">
      <c r="B327" s="2">
        <v>582</v>
      </c>
      <c r="C327" s="41" t="s">
        <v>291</v>
      </c>
      <c r="D327" s="2">
        <v>14</v>
      </c>
      <c r="E327" s="2" t="s">
        <v>21</v>
      </c>
      <c r="F327" s="294">
        <v>7423</v>
      </c>
      <c r="G327" s="247">
        <v>8900</v>
      </c>
      <c r="H327" s="295">
        <f t="shared" si="10"/>
        <v>1477</v>
      </c>
      <c r="I327" s="250">
        <f t="shared" si="11"/>
        <v>0.16595505617977527</v>
      </c>
    </row>
    <row r="328" spans="2:9" x14ac:dyDescent="0.3">
      <c r="B328" s="2">
        <v>584</v>
      </c>
      <c r="C328" s="41" t="s">
        <v>1655</v>
      </c>
      <c r="D328" s="2">
        <v>1</v>
      </c>
      <c r="E328" s="2" t="s">
        <v>3</v>
      </c>
      <c r="F328" s="294">
        <v>115000</v>
      </c>
      <c r="G328" s="247">
        <v>124916.66666666667</v>
      </c>
      <c r="H328" s="295">
        <f t="shared" si="10"/>
        <v>9916.6666666666715</v>
      </c>
      <c r="I328" s="250">
        <f t="shared" si="11"/>
        <v>7.9386257505003374E-2</v>
      </c>
    </row>
    <row r="329" spans="2:9" x14ac:dyDescent="0.3">
      <c r="B329" s="2">
        <v>592</v>
      </c>
      <c r="C329" s="41" t="s">
        <v>292</v>
      </c>
      <c r="D329" s="2">
        <v>12</v>
      </c>
      <c r="E329" s="2" t="s">
        <v>12</v>
      </c>
      <c r="F329" s="294">
        <v>4403</v>
      </c>
      <c r="G329" s="247">
        <v>5400</v>
      </c>
      <c r="H329" s="295">
        <f t="shared" si="10"/>
        <v>997</v>
      </c>
      <c r="I329" s="250">
        <f t="shared" si="11"/>
        <v>0.18462962962962962</v>
      </c>
    </row>
    <row r="330" spans="2:9" x14ac:dyDescent="0.3">
      <c r="B330" s="2">
        <v>594</v>
      </c>
      <c r="C330" s="41" t="s">
        <v>293</v>
      </c>
      <c r="D330" s="2">
        <v>12</v>
      </c>
      <c r="E330" s="2" t="s">
        <v>12</v>
      </c>
      <c r="F330" s="294">
        <v>4000</v>
      </c>
      <c r="G330" s="247">
        <v>4000</v>
      </c>
      <c r="H330" s="295">
        <f t="shared" si="10"/>
        <v>0</v>
      </c>
      <c r="I330" s="250">
        <f t="shared" si="11"/>
        <v>0</v>
      </c>
    </row>
    <row r="331" spans="2:9" x14ac:dyDescent="0.3">
      <c r="B331" s="2">
        <v>599</v>
      </c>
      <c r="C331" s="41" t="s">
        <v>294</v>
      </c>
      <c r="D331" s="2">
        <v>12</v>
      </c>
      <c r="E331" s="2" t="s">
        <v>32</v>
      </c>
      <c r="F331" s="294">
        <v>15500</v>
      </c>
      <c r="G331" s="247">
        <v>20750</v>
      </c>
      <c r="H331" s="295">
        <f t="shared" si="10"/>
        <v>5250</v>
      </c>
      <c r="I331" s="250">
        <f t="shared" si="11"/>
        <v>0.25301204819277107</v>
      </c>
    </row>
    <row r="332" spans="2:9" x14ac:dyDescent="0.3">
      <c r="B332" s="2">
        <v>600</v>
      </c>
      <c r="C332" s="41" t="s">
        <v>295</v>
      </c>
      <c r="D332" s="2">
        <v>10</v>
      </c>
      <c r="E332" s="2" t="s">
        <v>208</v>
      </c>
      <c r="F332" s="294">
        <v>2000</v>
      </c>
      <c r="G332" s="247">
        <v>2800</v>
      </c>
      <c r="H332" s="295">
        <f t="shared" si="10"/>
        <v>800</v>
      </c>
      <c r="I332" s="250">
        <f t="shared" si="11"/>
        <v>0.2857142857142857</v>
      </c>
    </row>
    <row r="333" spans="2:9" x14ac:dyDescent="0.3">
      <c r="B333" s="2">
        <v>602</v>
      </c>
      <c r="C333" s="41" t="s">
        <v>296</v>
      </c>
      <c r="D333" s="2">
        <v>14</v>
      </c>
      <c r="E333" s="2" t="s">
        <v>12</v>
      </c>
      <c r="F333" s="294">
        <v>376</v>
      </c>
      <c r="G333" s="247">
        <v>600</v>
      </c>
      <c r="H333" s="295">
        <f t="shared" si="10"/>
        <v>224</v>
      </c>
      <c r="I333" s="250">
        <f t="shared" si="11"/>
        <v>0.37333333333333335</v>
      </c>
    </row>
    <row r="334" spans="2:9" x14ac:dyDescent="0.3">
      <c r="B334" s="2">
        <v>603</v>
      </c>
      <c r="C334" s="41" t="s">
        <v>1656</v>
      </c>
      <c r="D334" s="2">
        <v>5</v>
      </c>
      <c r="E334" s="2" t="s">
        <v>5</v>
      </c>
      <c r="F334" s="294">
        <v>6700</v>
      </c>
      <c r="G334" s="247">
        <v>8000</v>
      </c>
      <c r="H334" s="295">
        <f t="shared" si="10"/>
        <v>1300</v>
      </c>
      <c r="I334" s="250">
        <f t="shared" si="11"/>
        <v>0.16250000000000001</v>
      </c>
    </row>
    <row r="335" spans="2:9" x14ac:dyDescent="0.3">
      <c r="B335" s="2">
        <v>604</v>
      </c>
      <c r="C335" s="41" t="s">
        <v>297</v>
      </c>
      <c r="D335" s="2">
        <v>7</v>
      </c>
      <c r="E335" s="2" t="s">
        <v>160</v>
      </c>
      <c r="F335" s="294">
        <v>2230</v>
      </c>
      <c r="G335" s="247">
        <v>2733.3333333333335</v>
      </c>
      <c r="H335" s="295">
        <f t="shared" si="10"/>
        <v>503.33333333333348</v>
      </c>
      <c r="I335" s="250">
        <f t="shared" si="11"/>
        <v>0.18414634146341469</v>
      </c>
    </row>
    <row r="336" spans="2:9" x14ac:dyDescent="0.3">
      <c r="B336" s="2">
        <v>605</v>
      </c>
      <c r="C336" s="41" t="s">
        <v>298</v>
      </c>
      <c r="D336" s="2">
        <v>12</v>
      </c>
      <c r="E336" s="2" t="s">
        <v>12</v>
      </c>
      <c r="F336" s="294">
        <v>1700</v>
      </c>
      <c r="G336" s="247">
        <v>1700</v>
      </c>
      <c r="H336" s="295">
        <f t="shared" si="10"/>
        <v>0</v>
      </c>
      <c r="I336" s="250">
        <f t="shared" si="11"/>
        <v>0</v>
      </c>
    </row>
    <row r="337" spans="2:9" x14ac:dyDescent="0.3">
      <c r="B337" s="2">
        <v>607</v>
      </c>
      <c r="C337" s="41" t="s">
        <v>299</v>
      </c>
      <c r="D337" s="2">
        <v>5</v>
      </c>
      <c r="E337" s="2" t="s">
        <v>16</v>
      </c>
      <c r="F337" s="294">
        <v>43100</v>
      </c>
      <c r="G337" s="247">
        <v>48500</v>
      </c>
      <c r="H337" s="295">
        <f t="shared" si="10"/>
        <v>5400</v>
      </c>
      <c r="I337" s="250">
        <f t="shared" si="11"/>
        <v>0.11134020618556702</v>
      </c>
    </row>
    <row r="338" spans="2:9" x14ac:dyDescent="0.3">
      <c r="B338" s="2">
        <v>609</v>
      </c>
      <c r="C338" s="41" t="s">
        <v>300</v>
      </c>
      <c r="D338" s="2">
        <v>6</v>
      </c>
      <c r="E338" s="2" t="s">
        <v>21</v>
      </c>
      <c r="F338" s="294">
        <v>9215</v>
      </c>
      <c r="G338" s="247">
        <v>10500</v>
      </c>
      <c r="H338" s="295">
        <f t="shared" si="10"/>
        <v>1285</v>
      </c>
      <c r="I338" s="250">
        <f t="shared" si="11"/>
        <v>0.12238095238095238</v>
      </c>
    </row>
    <row r="339" spans="2:9" x14ac:dyDescent="0.3">
      <c r="B339" s="2">
        <v>610</v>
      </c>
      <c r="C339" s="41" t="s">
        <v>301</v>
      </c>
      <c r="D339" s="2">
        <v>14</v>
      </c>
      <c r="E339" s="2" t="s">
        <v>32</v>
      </c>
      <c r="F339" s="294">
        <v>7980.4544999999998</v>
      </c>
      <c r="G339" s="247">
        <v>13450</v>
      </c>
      <c r="H339" s="295">
        <f t="shared" si="10"/>
        <v>5469.5455000000002</v>
      </c>
      <c r="I339" s="250">
        <f t="shared" si="11"/>
        <v>0.40665765799256509</v>
      </c>
    </row>
    <row r="340" spans="2:9" x14ac:dyDescent="0.3">
      <c r="B340" s="2">
        <v>611</v>
      </c>
      <c r="C340" s="41" t="s">
        <v>302</v>
      </c>
      <c r="D340" s="2">
        <v>14</v>
      </c>
      <c r="E340" s="2" t="s">
        <v>32</v>
      </c>
      <c r="F340" s="294">
        <v>25506</v>
      </c>
      <c r="G340" s="247">
        <v>33900</v>
      </c>
      <c r="H340" s="295">
        <f t="shared" si="10"/>
        <v>8394</v>
      </c>
      <c r="I340" s="250">
        <f t="shared" si="11"/>
        <v>0.24761061946902654</v>
      </c>
    </row>
    <row r="341" spans="2:9" x14ac:dyDescent="0.3">
      <c r="B341" s="2">
        <v>617</v>
      </c>
      <c r="C341" s="41" t="s">
        <v>303</v>
      </c>
      <c r="D341" s="2">
        <v>4</v>
      </c>
      <c r="E341" s="2" t="s">
        <v>21</v>
      </c>
      <c r="F341" s="294">
        <v>24226.62</v>
      </c>
      <c r="G341" s="247">
        <v>32250</v>
      </c>
      <c r="H341" s="295">
        <f t="shared" si="10"/>
        <v>8023.380000000001</v>
      </c>
      <c r="I341" s="250">
        <f t="shared" si="11"/>
        <v>0.24878697674418607</v>
      </c>
    </row>
    <row r="342" spans="2:9" x14ac:dyDescent="0.3">
      <c r="B342" s="2">
        <v>618</v>
      </c>
      <c r="C342" s="41" t="s">
        <v>304</v>
      </c>
      <c r="D342" s="2">
        <v>12</v>
      </c>
      <c r="E342" s="2" t="s">
        <v>12</v>
      </c>
      <c r="F342" s="294">
        <v>3117.8</v>
      </c>
      <c r="G342" s="247">
        <v>4000</v>
      </c>
      <c r="H342" s="295">
        <f t="shared" si="10"/>
        <v>882.19999999999982</v>
      </c>
      <c r="I342" s="250">
        <f t="shared" si="11"/>
        <v>0.22054999999999997</v>
      </c>
    </row>
    <row r="343" spans="2:9" x14ac:dyDescent="0.3">
      <c r="B343" s="2">
        <v>621</v>
      </c>
      <c r="C343" s="41" t="s">
        <v>305</v>
      </c>
      <c r="D343" s="2">
        <v>1</v>
      </c>
      <c r="E343" s="2" t="s">
        <v>5</v>
      </c>
      <c r="F343" s="294">
        <v>4580.54</v>
      </c>
      <c r="G343" s="247">
        <v>5700</v>
      </c>
      <c r="H343" s="295">
        <f t="shared" si="10"/>
        <v>1119.46</v>
      </c>
      <c r="I343" s="250">
        <f t="shared" si="11"/>
        <v>0.19639649122807018</v>
      </c>
    </row>
    <row r="344" spans="2:9" x14ac:dyDescent="0.3">
      <c r="B344" s="2">
        <v>622</v>
      </c>
      <c r="C344" s="41" t="s">
        <v>306</v>
      </c>
      <c r="D344" s="2">
        <v>14</v>
      </c>
      <c r="E344" s="2" t="s">
        <v>59</v>
      </c>
      <c r="F344" s="294">
        <v>29294</v>
      </c>
      <c r="G344" s="247">
        <v>37550</v>
      </c>
      <c r="H344" s="295">
        <f t="shared" si="10"/>
        <v>8256</v>
      </c>
      <c r="I344" s="250">
        <f t="shared" si="11"/>
        <v>0.21986684420772304</v>
      </c>
    </row>
    <row r="345" spans="2:9" x14ac:dyDescent="0.3">
      <c r="B345" s="2">
        <v>623</v>
      </c>
      <c r="C345" s="41" t="s">
        <v>307</v>
      </c>
      <c r="D345" s="2">
        <v>14</v>
      </c>
      <c r="E345" s="2" t="s">
        <v>59</v>
      </c>
      <c r="F345" s="294">
        <v>8130</v>
      </c>
      <c r="G345" s="247">
        <v>9500</v>
      </c>
      <c r="H345" s="295">
        <f t="shared" si="10"/>
        <v>1370</v>
      </c>
      <c r="I345" s="250">
        <f t="shared" si="11"/>
        <v>0.14421052631578948</v>
      </c>
    </row>
    <row r="346" spans="2:9" x14ac:dyDescent="0.3">
      <c r="B346" s="2">
        <v>624</v>
      </c>
      <c r="C346" s="41" t="s">
        <v>308</v>
      </c>
      <c r="D346" s="2">
        <v>10</v>
      </c>
      <c r="E346" s="2" t="s">
        <v>12</v>
      </c>
      <c r="F346" s="294">
        <v>15232</v>
      </c>
      <c r="G346" s="247">
        <v>18200</v>
      </c>
      <c r="H346" s="295">
        <f t="shared" si="10"/>
        <v>2968</v>
      </c>
      <c r="I346" s="250">
        <f t="shared" si="11"/>
        <v>0.16307692307692306</v>
      </c>
    </row>
    <row r="347" spans="2:9" x14ac:dyDescent="0.3">
      <c r="B347" s="2">
        <v>625</v>
      </c>
      <c r="C347" s="41" t="s">
        <v>309</v>
      </c>
      <c r="D347" s="2">
        <v>4</v>
      </c>
      <c r="E347" s="2" t="s">
        <v>21</v>
      </c>
      <c r="F347" s="294">
        <v>24850</v>
      </c>
      <c r="G347" s="247">
        <v>33500</v>
      </c>
      <c r="H347" s="295">
        <f t="shared" si="10"/>
        <v>8650</v>
      </c>
      <c r="I347" s="250">
        <f t="shared" si="11"/>
        <v>0.2582089552238806</v>
      </c>
    </row>
    <row r="348" spans="2:9" x14ac:dyDescent="0.3">
      <c r="B348" s="2">
        <v>626</v>
      </c>
      <c r="C348" s="41" t="s">
        <v>1657</v>
      </c>
      <c r="D348" s="2">
        <v>14</v>
      </c>
      <c r="E348" s="2" t="s">
        <v>21</v>
      </c>
      <c r="F348" s="294">
        <v>1745.37</v>
      </c>
      <c r="G348" s="247">
        <v>2500</v>
      </c>
      <c r="H348" s="295">
        <f t="shared" si="10"/>
        <v>754.63000000000011</v>
      </c>
      <c r="I348" s="250">
        <f t="shared" si="11"/>
        <v>0.30185200000000006</v>
      </c>
    </row>
    <row r="349" spans="2:9" x14ac:dyDescent="0.3">
      <c r="B349" s="2">
        <v>627</v>
      </c>
      <c r="C349" s="41" t="s">
        <v>310</v>
      </c>
      <c r="D349" s="2">
        <v>6</v>
      </c>
      <c r="E349" s="2" t="s">
        <v>32</v>
      </c>
      <c r="F349" s="294">
        <v>23429</v>
      </c>
      <c r="G349" s="247">
        <v>28500</v>
      </c>
      <c r="H349" s="295">
        <f t="shared" si="10"/>
        <v>5071</v>
      </c>
      <c r="I349" s="250">
        <f t="shared" si="11"/>
        <v>0.17792982456140352</v>
      </c>
    </row>
    <row r="350" spans="2:9" x14ac:dyDescent="0.3">
      <c r="B350" s="2">
        <v>628</v>
      </c>
      <c r="C350" s="41" t="s">
        <v>311</v>
      </c>
      <c r="D350" s="2">
        <v>6</v>
      </c>
      <c r="E350" s="2" t="s">
        <v>32</v>
      </c>
      <c r="F350" s="294">
        <v>57674</v>
      </c>
      <c r="G350" s="247">
        <v>65000</v>
      </c>
      <c r="H350" s="295">
        <f t="shared" si="10"/>
        <v>7326</v>
      </c>
      <c r="I350" s="250">
        <f t="shared" si="11"/>
        <v>0.11270769230769231</v>
      </c>
    </row>
    <row r="351" spans="2:9" x14ac:dyDescent="0.3">
      <c r="B351" s="2">
        <v>629</v>
      </c>
      <c r="C351" s="41" t="s">
        <v>312</v>
      </c>
      <c r="D351" s="2">
        <v>14</v>
      </c>
      <c r="E351" s="2" t="s">
        <v>32</v>
      </c>
      <c r="F351" s="294">
        <v>33645</v>
      </c>
      <c r="G351" s="247">
        <v>43000</v>
      </c>
      <c r="H351" s="295">
        <f t="shared" si="10"/>
        <v>9355</v>
      </c>
      <c r="I351" s="250">
        <f t="shared" si="11"/>
        <v>0.21755813953488373</v>
      </c>
    </row>
    <row r="352" spans="2:9" x14ac:dyDescent="0.3">
      <c r="B352" s="2">
        <v>630</v>
      </c>
      <c r="C352" s="41" t="s">
        <v>313</v>
      </c>
      <c r="D352" s="2">
        <v>14</v>
      </c>
      <c r="E352" s="2" t="s">
        <v>32</v>
      </c>
      <c r="F352" s="294">
        <v>7401</v>
      </c>
      <c r="G352" s="247">
        <v>8500</v>
      </c>
      <c r="H352" s="295">
        <f t="shared" si="10"/>
        <v>1099</v>
      </c>
      <c r="I352" s="250">
        <f t="shared" si="11"/>
        <v>0.12929411764705884</v>
      </c>
    </row>
    <row r="353" spans="2:9" x14ac:dyDescent="0.3">
      <c r="B353" s="2">
        <v>631</v>
      </c>
      <c r="C353" s="41" t="s">
        <v>314</v>
      </c>
      <c r="D353" s="2">
        <v>14</v>
      </c>
      <c r="E353" s="2" t="s">
        <v>32</v>
      </c>
      <c r="F353" s="294">
        <v>142726</v>
      </c>
      <c r="G353" s="247">
        <v>190000</v>
      </c>
      <c r="H353" s="295">
        <f t="shared" si="10"/>
        <v>47274</v>
      </c>
      <c r="I353" s="250">
        <f t="shared" si="11"/>
        <v>0.24881052631578948</v>
      </c>
    </row>
    <row r="354" spans="2:9" x14ac:dyDescent="0.3">
      <c r="B354" s="2">
        <v>632</v>
      </c>
      <c r="C354" s="41" t="s">
        <v>315</v>
      </c>
      <c r="D354" s="2">
        <v>14</v>
      </c>
      <c r="E354" s="2" t="s">
        <v>32</v>
      </c>
      <c r="F354" s="294">
        <v>19284</v>
      </c>
      <c r="G354" s="247">
        <v>23000</v>
      </c>
      <c r="H354" s="295">
        <f t="shared" si="10"/>
        <v>3716</v>
      </c>
      <c r="I354" s="250">
        <f t="shared" si="11"/>
        <v>0.16156521739130436</v>
      </c>
    </row>
    <row r="355" spans="2:9" x14ac:dyDescent="0.3">
      <c r="B355" s="2">
        <v>633</v>
      </c>
      <c r="C355" s="41" t="s">
        <v>1658</v>
      </c>
      <c r="D355" s="2">
        <v>14</v>
      </c>
      <c r="E355" s="2" t="s">
        <v>32</v>
      </c>
      <c r="F355" s="294">
        <v>14634</v>
      </c>
      <c r="G355" s="247">
        <v>16500</v>
      </c>
      <c r="H355" s="295">
        <f t="shared" si="10"/>
        <v>1866</v>
      </c>
      <c r="I355" s="250">
        <f t="shared" si="11"/>
        <v>0.11309090909090909</v>
      </c>
    </row>
    <row r="356" spans="2:9" x14ac:dyDescent="0.3">
      <c r="B356" s="2">
        <v>636</v>
      </c>
      <c r="C356" s="41" t="s">
        <v>316</v>
      </c>
      <c r="D356" s="2">
        <v>14</v>
      </c>
      <c r="E356" s="2" t="s">
        <v>21</v>
      </c>
      <c r="F356" s="294">
        <v>8556.5625</v>
      </c>
      <c r="G356" s="247">
        <v>9833.3333333333339</v>
      </c>
      <c r="H356" s="295">
        <f t="shared" si="10"/>
        <v>1276.7708333333339</v>
      </c>
      <c r="I356" s="250">
        <f t="shared" si="11"/>
        <v>0.12984110169491531</v>
      </c>
    </row>
    <row r="357" spans="2:9" x14ac:dyDescent="0.3">
      <c r="B357" s="2">
        <v>639</v>
      </c>
      <c r="C357" s="41" t="s">
        <v>317</v>
      </c>
      <c r="D357" s="2">
        <v>1</v>
      </c>
      <c r="E357" s="2" t="s">
        <v>3</v>
      </c>
      <c r="F357" s="294">
        <v>192000</v>
      </c>
      <c r="G357" s="247">
        <v>200000</v>
      </c>
      <c r="H357" s="295">
        <f t="shared" si="10"/>
        <v>8000</v>
      </c>
      <c r="I357" s="250">
        <f t="shared" si="11"/>
        <v>0.04</v>
      </c>
    </row>
    <row r="358" spans="2:9" x14ac:dyDescent="0.3">
      <c r="B358" s="2">
        <v>640</v>
      </c>
      <c r="C358" s="41" t="s">
        <v>318</v>
      </c>
      <c r="D358" s="2">
        <v>1</v>
      </c>
      <c r="E358" s="2" t="s">
        <v>3</v>
      </c>
      <c r="F358" s="294">
        <v>111000</v>
      </c>
      <c r="G358" s="247">
        <v>116583.33333333333</v>
      </c>
      <c r="H358" s="295">
        <f t="shared" si="10"/>
        <v>5583.3333333333285</v>
      </c>
      <c r="I358" s="250">
        <f t="shared" si="11"/>
        <v>4.7891350964974939E-2</v>
      </c>
    </row>
    <row r="359" spans="2:9" x14ac:dyDescent="0.3">
      <c r="B359" s="2">
        <v>642</v>
      </c>
      <c r="C359" s="41" t="s">
        <v>1659</v>
      </c>
      <c r="D359" s="2">
        <v>1</v>
      </c>
      <c r="E359" s="2" t="s">
        <v>3</v>
      </c>
      <c r="F359" s="294">
        <v>230000</v>
      </c>
      <c r="G359" s="247">
        <v>240500</v>
      </c>
      <c r="H359" s="295">
        <f t="shared" si="10"/>
        <v>10500</v>
      </c>
      <c r="I359" s="250">
        <f t="shared" si="11"/>
        <v>4.3659043659043661E-2</v>
      </c>
    </row>
    <row r="360" spans="2:9" x14ac:dyDescent="0.3">
      <c r="B360" s="2">
        <v>645</v>
      </c>
      <c r="C360" s="41" t="s">
        <v>319</v>
      </c>
      <c r="D360" s="2">
        <v>14</v>
      </c>
      <c r="E360" s="2" t="s">
        <v>12</v>
      </c>
      <c r="F360" s="294">
        <v>4702</v>
      </c>
      <c r="G360" s="247">
        <v>5750</v>
      </c>
      <c r="H360" s="295">
        <f t="shared" si="10"/>
        <v>1048</v>
      </c>
      <c r="I360" s="250">
        <f t="shared" si="11"/>
        <v>0.18226086956521739</v>
      </c>
    </row>
    <row r="361" spans="2:9" x14ac:dyDescent="0.3">
      <c r="B361" s="2">
        <v>646</v>
      </c>
      <c r="C361" s="41" t="s">
        <v>320</v>
      </c>
      <c r="D361" s="2">
        <v>14</v>
      </c>
      <c r="E361" s="2" t="s">
        <v>32</v>
      </c>
      <c r="F361" s="294">
        <v>5699</v>
      </c>
      <c r="G361" s="247">
        <v>7500</v>
      </c>
      <c r="H361" s="295">
        <f t="shared" si="10"/>
        <v>1801</v>
      </c>
      <c r="I361" s="250">
        <f t="shared" si="11"/>
        <v>0.24013333333333334</v>
      </c>
    </row>
    <row r="362" spans="2:9" x14ac:dyDescent="0.3">
      <c r="B362" s="2">
        <v>648</v>
      </c>
      <c r="C362" s="41" t="s">
        <v>321</v>
      </c>
      <c r="D362" s="2">
        <v>7</v>
      </c>
      <c r="E362" s="2" t="s">
        <v>12</v>
      </c>
      <c r="F362" s="294">
        <v>2230</v>
      </c>
      <c r="G362" s="247">
        <v>3200</v>
      </c>
      <c r="H362" s="295">
        <f t="shared" si="10"/>
        <v>970</v>
      </c>
      <c r="I362" s="250">
        <f t="shared" si="11"/>
        <v>0.30312499999999998</v>
      </c>
    </row>
    <row r="363" spans="2:9" x14ac:dyDescent="0.3">
      <c r="B363" s="2">
        <v>653</v>
      </c>
      <c r="C363" s="41" t="s">
        <v>322</v>
      </c>
      <c r="D363" s="2">
        <v>2</v>
      </c>
      <c r="E363" s="2" t="s">
        <v>5</v>
      </c>
      <c r="F363" s="294">
        <v>7648.6305000000002</v>
      </c>
      <c r="G363" s="247">
        <v>8666.6666666666661</v>
      </c>
      <c r="H363" s="295">
        <f t="shared" si="10"/>
        <v>1018.0361666666658</v>
      </c>
      <c r="I363" s="250">
        <f t="shared" si="11"/>
        <v>0.11746571153846146</v>
      </c>
    </row>
    <row r="364" spans="2:9" x14ac:dyDescent="0.3">
      <c r="B364" s="2">
        <v>654</v>
      </c>
      <c r="C364" s="41" t="s">
        <v>323</v>
      </c>
      <c r="D364" s="2">
        <v>7</v>
      </c>
      <c r="E364" s="2" t="s">
        <v>21</v>
      </c>
      <c r="F364" s="294">
        <v>3510</v>
      </c>
      <c r="G364" s="247">
        <v>3600</v>
      </c>
      <c r="H364" s="295">
        <f t="shared" si="10"/>
        <v>90</v>
      </c>
      <c r="I364" s="250">
        <f t="shared" si="11"/>
        <v>2.5000000000000001E-2</v>
      </c>
    </row>
    <row r="365" spans="2:9" x14ac:dyDescent="0.3">
      <c r="B365" s="2">
        <v>655</v>
      </c>
      <c r="C365" s="41" t="s">
        <v>325</v>
      </c>
      <c r="D365" s="2">
        <v>7</v>
      </c>
      <c r="E365" s="2" t="s">
        <v>12</v>
      </c>
      <c r="F365" s="294">
        <v>600</v>
      </c>
      <c r="G365" s="247">
        <v>800</v>
      </c>
      <c r="H365" s="295">
        <f t="shared" si="10"/>
        <v>200</v>
      </c>
      <c r="I365" s="250">
        <f t="shared" si="11"/>
        <v>0.25</v>
      </c>
    </row>
    <row r="366" spans="2:9" x14ac:dyDescent="0.3">
      <c r="B366" s="2">
        <v>657</v>
      </c>
      <c r="C366" s="41" t="s">
        <v>326</v>
      </c>
      <c r="D366" s="2">
        <v>7</v>
      </c>
      <c r="E366" s="2" t="s">
        <v>12</v>
      </c>
      <c r="F366" s="294">
        <v>2500</v>
      </c>
      <c r="G366" s="247">
        <v>3200</v>
      </c>
      <c r="H366" s="295">
        <f t="shared" si="10"/>
        <v>700</v>
      </c>
      <c r="I366" s="250">
        <f t="shared" si="11"/>
        <v>0.21875</v>
      </c>
    </row>
    <row r="367" spans="2:9" x14ac:dyDescent="0.3">
      <c r="B367" s="2">
        <v>659</v>
      </c>
      <c r="C367" s="41" t="s">
        <v>1660</v>
      </c>
      <c r="D367" s="2">
        <v>7</v>
      </c>
      <c r="E367" s="2" t="s">
        <v>21</v>
      </c>
      <c r="F367" s="294">
        <v>1360</v>
      </c>
      <c r="G367" s="247">
        <v>2733.3333333333335</v>
      </c>
      <c r="H367" s="295">
        <f t="shared" si="10"/>
        <v>1373.3333333333335</v>
      </c>
      <c r="I367" s="250">
        <f t="shared" si="11"/>
        <v>0.5024390243902439</v>
      </c>
    </row>
    <row r="368" spans="2:9" x14ac:dyDescent="0.3">
      <c r="B368" s="2">
        <v>661</v>
      </c>
      <c r="C368" s="41" t="s">
        <v>327</v>
      </c>
      <c r="D368" s="2">
        <v>7</v>
      </c>
      <c r="E368" s="2" t="s">
        <v>12</v>
      </c>
      <c r="F368" s="294">
        <v>2230</v>
      </c>
      <c r="G368" s="247">
        <v>2866.6666666666665</v>
      </c>
      <c r="H368" s="295">
        <f t="shared" si="10"/>
        <v>636.66666666666652</v>
      </c>
      <c r="I368" s="250">
        <f t="shared" si="11"/>
        <v>0.22209302325581393</v>
      </c>
    </row>
    <row r="369" spans="2:9" x14ac:dyDescent="0.3">
      <c r="B369" s="2">
        <v>663</v>
      </c>
      <c r="C369" s="41" t="s">
        <v>1661</v>
      </c>
      <c r="D369" s="2">
        <v>7</v>
      </c>
      <c r="E369" s="2" t="s">
        <v>35</v>
      </c>
      <c r="F369" s="294">
        <v>15300</v>
      </c>
      <c r="G369" s="247">
        <v>18000</v>
      </c>
      <c r="H369" s="295">
        <f t="shared" si="10"/>
        <v>2700</v>
      </c>
      <c r="I369" s="250">
        <f t="shared" si="11"/>
        <v>0.15</v>
      </c>
    </row>
    <row r="370" spans="2:9" x14ac:dyDescent="0.3">
      <c r="B370" s="2">
        <v>664</v>
      </c>
      <c r="C370" s="41" t="s">
        <v>329</v>
      </c>
      <c r="D370" s="2">
        <v>7</v>
      </c>
      <c r="E370" s="2" t="s">
        <v>324</v>
      </c>
      <c r="F370" s="294">
        <v>2200</v>
      </c>
      <c r="G370" s="247">
        <v>3066.6666666666665</v>
      </c>
      <c r="H370" s="295">
        <f t="shared" si="10"/>
        <v>866.66666666666652</v>
      </c>
      <c r="I370" s="250">
        <f t="shared" si="11"/>
        <v>0.28260869565217389</v>
      </c>
    </row>
    <row r="371" spans="2:9" x14ac:dyDescent="0.3">
      <c r="B371" s="2">
        <v>665</v>
      </c>
      <c r="C371" s="41" t="s">
        <v>330</v>
      </c>
      <c r="D371" s="2">
        <v>7</v>
      </c>
      <c r="E371" s="2" t="s">
        <v>5</v>
      </c>
      <c r="F371" s="294">
        <v>15000</v>
      </c>
      <c r="G371" s="247">
        <v>27900</v>
      </c>
      <c r="H371" s="295">
        <f t="shared" si="10"/>
        <v>12900</v>
      </c>
      <c r="I371" s="250">
        <f t="shared" si="11"/>
        <v>0.46236559139784944</v>
      </c>
    </row>
    <row r="372" spans="2:9" x14ac:dyDescent="0.3">
      <c r="B372" s="2">
        <v>700</v>
      </c>
      <c r="C372" s="41" t="s">
        <v>331</v>
      </c>
      <c r="D372" s="2">
        <v>9</v>
      </c>
      <c r="E372" s="2" t="s">
        <v>12</v>
      </c>
      <c r="F372" s="294">
        <v>9758</v>
      </c>
      <c r="G372" s="247">
        <v>14000</v>
      </c>
      <c r="H372" s="295">
        <f t="shared" si="10"/>
        <v>4242</v>
      </c>
      <c r="I372" s="250">
        <f t="shared" si="11"/>
        <v>0.30299999999999999</v>
      </c>
    </row>
    <row r="373" spans="2:9" x14ac:dyDescent="0.3">
      <c r="B373" s="2">
        <v>701</v>
      </c>
      <c r="C373" s="41" t="s">
        <v>1662</v>
      </c>
      <c r="D373" s="2">
        <v>9</v>
      </c>
      <c r="E373" s="2" t="s">
        <v>12</v>
      </c>
      <c r="F373" s="294">
        <v>2915.5</v>
      </c>
      <c r="G373" s="247">
        <v>3466.6666666666665</v>
      </c>
      <c r="H373" s="295">
        <f t="shared" si="10"/>
        <v>551.16666666666652</v>
      </c>
      <c r="I373" s="250">
        <f t="shared" si="11"/>
        <v>0.15899038461538459</v>
      </c>
    </row>
    <row r="374" spans="2:9" x14ac:dyDescent="0.3">
      <c r="B374" s="2">
        <v>702</v>
      </c>
      <c r="C374" s="41" t="s">
        <v>332</v>
      </c>
      <c r="D374" s="2">
        <v>2</v>
      </c>
      <c r="E374" s="2" t="s">
        <v>328</v>
      </c>
      <c r="F374" s="294">
        <v>2353.8000000000002</v>
      </c>
      <c r="G374" s="247">
        <v>2700</v>
      </c>
      <c r="H374" s="295">
        <f t="shared" si="10"/>
        <v>346.19999999999982</v>
      </c>
      <c r="I374" s="250">
        <f t="shared" si="11"/>
        <v>0.12822222222222215</v>
      </c>
    </row>
    <row r="375" spans="2:9" x14ac:dyDescent="0.3">
      <c r="B375" s="2">
        <v>704</v>
      </c>
      <c r="C375" s="41" t="s">
        <v>333</v>
      </c>
      <c r="D375" s="2">
        <v>2</v>
      </c>
      <c r="E375" s="2" t="s">
        <v>12</v>
      </c>
      <c r="F375" s="294">
        <v>1949</v>
      </c>
      <c r="G375" s="247">
        <v>2400</v>
      </c>
      <c r="H375" s="295">
        <f t="shared" si="10"/>
        <v>451</v>
      </c>
      <c r="I375" s="250">
        <f t="shared" si="11"/>
        <v>0.18791666666666668</v>
      </c>
    </row>
    <row r="376" spans="2:9" x14ac:dyDescent="0.3">
      <c r="B376" s="2">
        <v>705</v>
      </c>
      <c r="C376" s="41" t="s">
        <v>334</v>
      </c>
      <c r="D376" s="2">
        <v>14</v>
      </c>
      <c r="E376" s="2" t="s">
        <v>3</v>
      </c>
      <c r="F376" s="294">
        <v>23038.857100000001</v>
      </c>
      <c r="G376" s="247">
        <v>27600</v>
      </c>
      <c r="H376" s="295">
        <f t="shared" si="10"/>
        <v>4561.1428999999989</v>
      </c>
      <c r="I376" s="250">
        <f t="shared" si="11"/>
        <v>0.16525880072463764</v>
      </c>
    </row>
    <row r="377" spans="2:9" x14ac:dyDescent="0.3">
      <c r="B377" s="2">
        <v>709</v>
      </c>
      <c r="C377" s="41" t="s">
        <v>335</v>
      </c>
      <c r="D377" s="2">
        <v>8</v>
      </c>
      <c r="E377" s="2" t="s">
        <v>16</v>
      </c>
      <c r="F377" s="294">
        <v>31969</v>
      </c>
      <c r="G377" s="247">
        <v>36200</v>
      </c>
      <c r="H377" s="295">
        <f t="shared" si="10"/>
        <v>4231</v>
      </c>
      <c r="I377" s="250">
        <f t="shared" si="11"/>
        <v>0.11687845303867403</v>
      </c>
    </row>
    <row r="378" spans="2:9" x14ac:dyDescent="0.3">
      <c r="B378" s="2">
        <v>710</v>
      </c>
      <c r="C378" s="41" t="s">
        <v>336</v>
      </c>
      <c r="D378" s="2">
        <v>4</v>
      </c>
      <c r="E378" s="2" t="s">
        <v>21</v>
      </c>
      <c r="F378" s="294">
        <v>18718.5</v>
      </c>
      <c r="G378" s="247">
        <v>21000</v>
      </c>
      <c r="H378" s="295">
        <f t="shared" si="10"/>
        <v>2281.5</v>
      </c>
      <c r="I378" s="250">
        <f t="shared" si="11"/>
        <v>0.10864285714285714</v>
      </c>
    </row>
    <row r="379" spans="2:9" x14ac:dyDescent="0.3">
      <c r="B379" s="2">
        <v>711</v>
      </c>
      <c r="C379" s="41" t="s">
        <v>1663</v>
      </c>
      <c r="D379" s="2">
        <v>2</v>
      </c>
      <c r="E379" s="2" t="s">
        <v>5</v>
      </c>
      <c r="F379" s="294">
        <v>73100</v>
      </c>
      <c r="G379" s="247">
        <v>79383.333333333328</v>
      </c>
      <c r="H379" s="295">
        <f t="shared" si="10"/>
        <v>6283.3333333333285</v>
      </c>
      <c r="I379" s="250">
        <f t="shared" si="11"/>
        <v>7.9151795087129898E-2</v>
      </c>
    </row>
    <row r="380" spans="2:9" x14ac:dyDescent="0.3">
      <c r="B380" s="2">
        <v>712</v>
      </c>
      <c r="C380" s="41" t="s">
        <v>337</v>
      </c>
      <c r="D380" s="2">
        <v>2</v>
      </c>
      <c r="E380" s="2" t="s">
        <v>324</v>
      </c>
      <c r="F380" s="294">
        <v>121700</v>
      </c>
      <c r="G380" s="247">
        <v>130466.66666666667</v>
      </c>
      <c r="H380" s="295">
        <f t="shared" si="10"/>
        <v>8766.6666666666715</v>
      </c>
      <c r="I380" s="250">
        <f t="shared" si="11"/>
        <v>6.7194685743484958E-2</v>
      </c>
    </row>
    <row r="381" spans="2:9" x14ac:dyDescent="0.3">
      <c r="B381" s="2">
        <v>715</v>
      </c>
      <c r="C381" s="41" t="s">
        <v>339</v>
      </c>
      <c r="D381" s="2">
        <v>2</v>
      </c>
      <c r="E381" s="2" t="s">
        <v>12</v>
      </c>
      <c r="F381" s="294">
        <v>4187</v>
      </c>
      <c r="G381" s="247">
        <v>4800</v>
      </c>
      <c r="H381" s="295">
        <f t="shared" si="10"/>
        <v>613</v>
      </c>
      <c r="I381" s="250">
        <f t="shared" si="11"/>
        <v>0.12770833333333334</v>
      </c>
    </row>
    <row r="382" spans="2:9" x14ac:dyDescent="0.3">
      <c r="B382" s="2">
        <v>716</v>
      </c>
      <c r="C382" s="41" t="s">
        <v>1664</v>
      </c>
      <c r="D382" s="2">
        <v>2</v>
      </c>
      <c r="E382" s="2" t="s">
        <v>243</v>
      </c>
      <c r="F382" s="294">
        <v>52327.8</v>
      </c>
      <c r="G382" s="247">
        <v>60783.333333333336</v>
      </c>
      <c r="H382" s="295">
        <f t="shared" si="10"/>
        <v>8455.5333333333328</v>
      </c>
      <c r="I382" s="250">
        <f t="shared" si="11"/>
        <v>0.13910940499040306</v>
      </c>
    </row>
    <row r="383" spans="2:9" x14ac:dyDescent="0.3">
      <c r="B383" s="2">
        <v>718</v>
      </c>
      <c r="C383" s="41" t="s">
        <v>340</v>
      </c>
      <c r="D383" s="2">
        <v>8</v>
      </c>
      <c r="E383" s="2" t="s">
        <v>16</v>
      </c>
      <c r="F383" s="294">
        <v>24700</v>
      </c>
      <c r="G383" s="247">
        <v>28600</v>
      </c>
      <c r="H383" s="295">
        <f t="shared" si="10"/>
        <v>3900</v>
      </c>
      <c r="I383" s="250">
        <f t="shared" si="11"/>
        <v>0.13636363636363635</v>
      </c>
    </row>
    <row r="384" spans="2:9" x14ac:dyDescent="0.3">
      <c r="B384" s="2">
        <v>726</v>
      </c>
      <c r="C384" s="41" t="s">
        <v>341</v>
      </c>
      <c r="D384" s="2">
        <v>1</v>
      </c>
      <c r="E384" s="2" t="s">
        <v>5</v>
      </c>
      <c r="F384" s="294">
        <v>13000</v>
      </c>
      <c r="G384" s="247">
        <v>15383</v>
      </c>
      <c r="H384" s="295">
        <f t="shared" si="10"/>
        <v>2383</v>
      </c>
      <c r="I384" s="250">
        <f t="shared" si="11"/>
        <v>0.1549112656828967</v>
      </c>
    </row>
    <row r="385" spans="2:9" x14ac:dyDescent="0.3">
      <c r="B385" s="2">
        <v>729</v>
      </c>
      <c r="C385" s="41" t="s">
        <v>342</v>
      </c>
      <c r="D385" s="2">
        <v>5</v>
      </c>
      <c r="E385" s="2" t="s">
        <v>16</v>
      </c>
      <c r="F385" s="294">
        <v>20494.9892</v>
      </c>
      <c r="G385" s="247">
        <v>25433.333333333332</v>
      </c>
      <c r="H385" s="295">
        <f t="shared" si="10"/>
        <v>4938.3441333333321</v>
      </c>
      <c r="I385" s="250">
        <f t="shared" si="11"/>
        <v>0.19416818348623849</v>
      </c>
    </row>
    <row r="386" spans="2:9" x14ac:dyDescent="0.3">
      <c r="B386" s="2">
        <v>730</v>
      </c>
      <c r="C386" s="41" t="s">
        <v>343</v>
      </c>
      <c r="D386" s="2">
        <v>6</v>
      </c>
      <c r="E386" s="2" t="s">
        <v>32</v>
      </c>
      <c r="F386" s="294">
        <v>19629</v>
      </c>
      <c r="G386" s="247">
        <v>24466.666666666668</v>
      </c>
      <c r="H386" s="295">
        <f t="shared" si="10"/>
        <v>4837.6666666666679</v>
      </c>
      <c r="I386" s="250">
        <f t="shared" si="11"/>
        <v>0.19772479564032702</v>
      </c>
    </row>
    <row r="387" spans="2:9" x14ac:dyDescent="0.3">
      <c r="B387" s="2">
        <v>731</v>
      </c>
      <c r="C387" s="41" t="s">
        <v>344</v>
      </c>
      <c r="D387" s="2">
        <v>9</v>
      </c>
      <c r="E387" s="2" t="s">
        <v>12</v>
      </c>
      <c r="F387" s="294">
        <v>19572.335999999999</v>
      </c>
      <c r="G387" s="247">
        <v>23000</v>
      </c>
      <c r="H387" s="295">
        <f t="shared" si="10"/>
        <v>3427.6640000000007</v>
      </c>
      <c r="I387" s="250">
        <f t="shared" si="11"/>
        <v>0.14902886956521741</v>
      </c>
    </row>
    <row r="388" spans="2:9" x14ac:dyDescent="0.3">
      <c r="B388" s="2">
        <v>732</v>
      </c>
      <c r="C388" s="41" t="s">
        <v>345</v>
      </c>
      <c r="D388" s="2">
        <v>9</v>
      </c>
      <c r="E388" s="2" t="s">
        <v>338</v>
      </c>
      <c r="F388" s="294">
        <v>6200</v>
      </c>
      <c r="G388" s="247">
        <v>7500</v>
      </c>
      <c r="H388" s="295">
        <f t="shared" si="10"/>
        <v>1300</v>
      </c>
      <c r="I388" s="250">
        <f t="shared" si="11"/>
        <v>0.17333333333333334</v>
      </c>
    </row>
    <row r="389" spans="2:9" x14ac:dyDescent="0.3">
      <c r="B389" s="2">
        <v>733</v>
      </c>
      <c r="C389" s="41" t="s">
        <v>347</v>
      </c>
      <c r="D389" s="2">
        <v>14</v>
      </c>
      <c r="E389" s="2" t="s">
        <v>12</v>
      </c>
      <c r="F389" s="294">
        <v>2642</v>
      </c>
      <c r="G389" s="247">
        <v>4000</v>
      </c>
      <c r="H389" s="295">
        <f t="shared" si="10"/>
        <v>1358</v>
      </c>
      <c r="I389" s="250">
        <f t="shared" si="11"/>
        <v>0.33950000000000002</v>
      </c>
    </row>
    <row r="390" spans="2:9" x14ac:dyDescent="0.3">
      <c r="B390" s="2">
        <v>734</v>
      </c>
      <c r="C390" s="41" t="s">
        <v>348</v>
      </c>
      <c r="D390" s="2">
        <v>14</v>
      </c>
      <c r="E390" s="2" t="s">
        <v>81</v>
      </c>
      <c r="F390" s="294">
        <v>13560</v>
      </c>
      <c r="G390" s="247">
        <v>16700</v>
      </c>
      <c r="H390" s="295">
        <f t="shared" ref="H390:H453" si="12">G390-F390</f>
        <v>3140</v>
      </c>
      <c r="I390" s="250">
        <f t="shared" ref="I390:I453" si="13">H390/G390</f>
        <v>0.18802395209580838</v>
      </c>
    </row>
    <row r="391" spans="2:9" x14ac:dyDescent="0.3">
      <c r="B391" s="2">
        <v>737</v>
      </c>
      <c r="C391" s="41" t="s">
        <v>349</v>
      </c>
      <c r="D391" s="2">
        <v>14</v>
      </c>
      <c r="E391" s="2" t="s">
        <v>16</v>
      </c>
      <c r="F391" s="294">
        <v>20604</v>
      </c>
      <c r="G391" s="247">
        <v>27000</v>
      </c>
      <c r="H391" s="295">
        <f t="shared" si="12"/>
        <v>6396</v>
      </c>
      <c r="I391" s="250">
        <f t="shared" si="13"/>
        <v>0.2368888888888889</v>
      </c>
    </row>
    <row r="392" spans="2:9" x14ac:dyDescent="0.3">
      <c r="B392" s="2">
        <v>739</v>
      </c>
      <c r="C392" s="41" t="s">
        <v>351</v>
      </c>
      <c r="D392" s="2">
        <v>14</v>
      </c>
      <c r="E392" s="2" t="s">
        <v>81</v>
      </c>
      <c r="F392" s="294">
        <v>2841</v>
      </c>
      <c r="G392" s="247">
        <v>4000</v>
      </c>
      <c r="H392" s="295">
        <f t="shared" si="12"/>
        <v>1159</v>
      </c>
      <c r="I392" s="250">
        <f t="shared" si="13"/>
        <v>0.28975000000000001</v>
      </c>
    </row>
    <row r="393" spans="2:9" x14ac:dyDescent="0.3">
      <c r="B393" s="2">
        <v>740</v>
      </c>
      <c r="C393" s="41" t="s">
        <v>352</v>
      </c>
      <c r="D393" s="2">
        <v>14</v>
      </c>
      <c r="E393" s="2" t="s">
        <v>81</v>
      </c>
      <c r="F393" s="294">
        <v>17258</v>
      </c>
      <c r="G393" s="247">
        <v>20300</v>
      </c>
      <c r="H393" s="295">
        <f t="shared" si="12"/>
        <v>3042</v>
      </c>
      <c r="I393" s="250">
        <f t="shared" si="13"/>
        <v>0.14985221674876847</v>
      </c>
    </row>
    <row r="394" spans="2:9" x14ac:dyDescent="0.3">
      <c r="B394" s="2">
        <v>744</v>
      </c>
      <c r="C394" s="41" t="s">
        <v>353</v>
      </c>
      <c r="D394" s="2">
        <v>2</v>
      </c>
      <c r="E394" s="2" t="s">
        <v>10</v>
      </c>
      <c r="F394" s="294">
        <v>87664</v>
      </c>
      <c r="G394" s="247">
        <v>100283.33333333333</v>
      </c>
      <c r="H394" s="295">
        <f t="shared" si="12"/>
        <v>12619.333333333328</v>
      </c>
      <c r="I394" s="250">
        <f t="shared" si="13"/>
        <v>0.12583679574538803</v>
      </c>
    </row>
    <row r="395" spans="2:9" x14ac:dyDescent="0.3">
      <c r="B395" s="2">
        <v>745</v>
      </c>
      <c r="C395" s="41" t="s">
        <v>1665</v>
      </c>
      <c r="D395" s="2">
        <v>2</v>
      </c>
      <c r="E395" s="2" t="s">
        <v>237</v>
      </c>
      <c r="F395" s="294">
        <v>70000</v>
      </c>
      <c r="G395" s="247">
        <v>75750</v>
      </c>
      <c r="H395" s="295">
        <f t="shared" si="12"/>
        <v>5750</v>
      </c>
      <c r="I395" s="250">
        <f t="shared" si="13"/>
        <v>7.590759075907591E-2</v>
      </c>
    </row>
    <row r="396" spans="2:9" x14ac:dyDescent="0.3">
      <c r="B396" s="2">
        <v>747</v>
      </c>
      <c r="C396" s="41" t="s">
        <v>354</v>
      </c>
      <c r="D396" s="2">
        <v>14</v>
      </c>
      <c r="E396" s="2" t="s">
        <v>16</v>
      </c>
      <c r="F396" s="294">
        <v>105501</v>
      </c>
      <c r="G396" s="247">
        <v>136500</v>
      </c>
      <c r="H396" s="295">
        <f t="shared" si="12"/>
        <v>30999</v>
      </c>
      <c r="I396" s="250">
        <f t="shared" si="13"/>
        <v>0.2270989010989011</v>
      </c>
    </row>
    <row r="397" spans="2:9" x14ac:dyDescent="0.3">
      <c r="B397" s="2">
        <v>754</v>
      </c>
      <c r="C397" s="41" t="s">
        <v>355</v>
      </c>
      <c r="D397" s="2">
        <v>4</v>
      </c>
      <c r="E397" s="2" t="s">
        <v>346</v>
      </c>
      <c r="F397" s="294">
        <v>20868.939999999999</v>
      </c>
      <c r="G397" s="247">
        <v>26200</v>
      </c>
      <c r="H397" s="295">
        <f t="shared" si="12"/>
        <v>5331.0600000000013</v>
      </c>
      <c r="I397" s="250">
        <f t="shared" si="13"/>
        <v>0.20347557251908402</v>
      </c>
    </row>
    <row r="398" spans="2:9" x14ac:dyDescent="0.3">
      <c r="B398" s="2">
        <v>760</v>
      </c>
      <c r="C398" s="41" t="s">
        <v>1666</v>
      </c>
      <c r="D398" s="2">
        <v>9</v>
      </c>
      <c r="E398" s="2" t="s">
        <v>12</v>
      </c>
      <c r="F398" s="294">
        <v>14308</v>
      </c>
      <c r="G398" s="247">
        <v>16500</v>
      </c>
      <c r="H398" s="295">
        <f t="shared" si="12"/>
        <v>2192</v>
      </c>
      <c r="I398" s="250">
        <f t="shared" si="13"/>
        <v>0.13284848484848485</v>
      </c>
    </row>
    <row r="399" spans="2:9" x14ac:dyDescent="0.3">
      <c r="B399" s="2">
        <v>761</v>
      </c>
      <c r="C399" s="41" t="s">
        <v>356</v>
      </c>
      <c r="D399" s="2">
        <v>2</v>
      </c>
      <c r="E399" s="2" t="s">
        <v>5</v>
      </c>
      <c r="F399" s="294">
        <v>5237.2057999999997</v>
      </c>
      <c r="G399" s="247">
        <v>6050</v>
      </c>
      <c r="H399" s="295">
        <f t="shared" si="12"/>
        <v>812.79420000000027</v>
      </c>
      <c r="I399" s="250">
        <f t="shared" si="13"/>
        <v>0.13434614876033063</v>
      </c>
    </row>
    <row r="400" spans="2:9" x14ac:dyDescent="0.3">
      <c r="B400" s="2">
        <v>763</v>
      </c>
      <c r="C400" s="41" t="s">
        <v>357</v>
      </c>
      <c r="D400" s="2">
        <v>2</v>
      </c>
      <c r="E400" s="2" t="s">
        <v>5</v>
      </c>
      <c r="F400" s="294">
        <v>75699.75</v>
      </c>
      <c r="G400" s="247">
        <v>89733.333333333328</v>
      </c>
      <c r="H400" s="295">
        <f t="shared" si="12"/>
        <v>14033.583333333328</v>
      </c>
      <c r="I400" s="250">
        <f t="shared" si="13"/>
        <v>0.15639208766716192</v>
      </c>
    </row>
    <row r="401" spans="2:9" x14ac:dyDescent="0.3">
      <c r="B401" s="2">
        <v>764</v>
      </c>
      <c r="C401" s="41" t="s">
        <v>358</v>
      </c>
      <c r="D401" s="2">
        <v>2</v>
      </c>
      <c r="E401" s="2" t="s">
        <v>350</v>
      </c>
      <c r="F401" s="294">
        <v>172941.3</v>
      </c>
      <c r="G401" s="247">
        <v>197050</v>
      </c>
      <c r="H401" s="295">
        <f t="shared" si="12"/>
        <v>24108.700000000012</v>
      </c>
      <c r="I401" s="250">
        <f t="shared" si="13"/>
        <v>0.12234813499111906</v>
      </c>
    </row>
    <row r="402" spans="2:9" x14ac:dyDescent="0.3">
      <c r="B402" s="2">
        <v>765</v>
      </c>
      <c r="C402" s="41" t="s">
        <v>359</v>
      </c>
      <c r="D402" s="2">
        <v>2</v>
      </c>
      <c r="E402" s="2" t="s">
        <v>5</v>
      </c>
      <c r="F402" s="294">
        <v>84842.887499999997</v>
      </c>
      <c r="G402" s="247">
        <v>96433.333333333328</v>
      </c>
      <c r="H402" s="295">
        <f t="shared" si="12"/>
        <v>11590.445833333331</v>
      </c>
      <c r="I402" s="250">
        <f t="shared" si="13"/>
        <v>0.12019128067749739</v>
      </c>
    </row>
    <row r="403" spans="2:9" x14ac:dyDescent="0.3">
      <c r="B403" s="2">
        <v>766</v>
      </c>
      <c r="C403" s="41" t="s">
        <v>360</v>
      </c>
      <c r="D403" s="2">
        <v>2</v>
      </c>
      <c r="E403" s="2" t="s">
        <v>5</v>
      </c>
      <c r="F403" s="294">
        <v>8553.5835000000006</v>
      </c>
      <c r="G403" s="247">
        <v>10000</v>
      </c>
      <c r="H403" s="295">
        <f t="shared" si="12"/>
        <v>1446.4164999999994</v>
      </c>
      <c r="I403" s="250">
        <f t="shared" si="13"/>
        <v>0.14464164999999993</v>
      </c>
    </row>
    <row r="404" spans="2:9" x14ac:dyDescent="0.3">
      <c r="B404" s="2">
        <v>767</v>
      </c>
      <c r="C404" s="41" t="s">
        <v>361</v>
      </c>
      <c r="D404" s="2">
        <v>2</v>
      </c>
      <c r="E404" s="2" t="s">
        <v>5</v>
      </c>
      <c r="F404" s="294">
        <v>36761.760000000002</v>
      </c>
      <c r="G404" s="247">
        <v>41800</v>
      </c>
      <c r="H404" s="295">
        <f t="shared" si="12"/>
        <v>5038.239999999998</v>
      </c>
      <c r="I404" s="250">
        <f t="shared" si="13"/>
        <v>0.12053205741626789</v>
      </c>
    </row>
    <row r="405" spans="2:9" x14ac:dyDescent="0.3">
      <c r="B405" s="2">
        <v>769</v>
      </c>
      <c r="C405" s="41" t="s">
        <v>362</v>
      </c>
      <c r="D405" s="2">
        <v>4</v>
      </c>
      <c r="E405" s="2" t="s">
        <v>81</v>
      </c>
      <c r="F405" s="294">
        <v>15031</v>
      </c>
      <c r="G405" s="247">
        <v>17600</v>
      </c>
      <c r="H405" s="295">
        <f t="shared" si="12"/>
        <v>2569</v>
      </c>
      <c r="I405" s="250">
        <f t="shared" si="13"/>
        <v>0.14596590909090909</v>
      </c>
    </row>
    <row r="406" spans="2:9" x14ac:dyDescent="0.3">
      <c r="B406" s="2">
        <v>771</v>
      </c>
      <c r="C406" s="41" t="s">
        <v>363</v>
      </c>
      <c r="D406" s="2">
        <v>5</v>
      </c>
      <c r="E406" s="2" t="s">
        <v>5</v>
      </c>
      <c r="F406" s="294">
        <v>12745.098</v>
      </c>
      <c r="G406" s="247">
        <v>15000</v>
      </c>
      <c r="H406" s="295">
        <f t="shared" si="12"/>
        <v>2254.902</v>
      </c>
      <c r="I406" s="250">
        <f t="shared" si="13"/>
        <v>0.15032680000000001</v>
      </c>
    </row>
    <row r="407" spans="2:9" x14ac:dyDescent="0.3">
      <c r="B407" s="2">
        <v>772</v>
      </c>
      <c r="C407" s="41" t="s">
        <v>364</v>
      </c>
      <c r="D407" s="2">
        <v>5</v>
      </c>
      <c r="E407" s="2" t="s">
        <v>5</v>
      </c>
      <c r="F407" s="294">
        <v>16200</v>
      </c>
      <c r="G407" s="247">
        <v>19000</v>
      </c>
      <c r="H407" s="295">
        <f t="shared" si="12"/>
        <v>2800</v>
      </c>
      <c r="I407" s="250">
        <f t="shared" si="13"/>
        <v>0.14736842105263157</v>
      </c>
    </row>
    <row r="408" spans="2:9" x14ac:dyDescent="0.3">
      <c r="B408" s="2">
        <v>777</v>
      </c>
      <c r="C408" s="41" t="s">
        <v>365</v>
      </c>
      <c r="D408" s="2">
        <v>12</v>
      </c>
      <c r="E408" s="2" t="s">
        <v>12</v>
      </c>
      <c r="F408" s="294">
        <v>180000</v>
      </c>
      <c r="G408" s="247">
        <v>205000</v>
      </c>
      <c r="H408" s="295">
        <f t="shared" si="12"/>
        <v>25000</v>
      </c>
      <c r="I408" s="250">
        <f t="shared" si="13"/>
        <v>0.12195121951219512</v>
      </c>
    </row>
    <row r="409" spans="2:9" x14ac:dyDescent="0.3">
      <c r="B409" s="2">
        <v>782</v>
      </c>
      <c r="C409" s="41" t="s">
        <v>366</v>
      </c>
      <c r="D409" s="2">
        <v>2</v>
      </c>
      <c r="E409" s="2" t="s">
        <v>5</v>
      </c>
      <c r="F409" s="294">
        <v>3999.9960000000001</v>
      </c>
      <c r="G409" s="247">
        <v>4366.666666666667</v>
      </c>
      <c r="H409" s="295">
        <f t="shared" si="12"/>
        <v>366.67066666666688</v>
      </c>
      <c r="I409" s="250">
        <f t="shared" si="13"/>
        <v>8.3970381679389361E-2</v>
      </c>
    </row>
    <row r="410" spans="2:9" x14ac:dyDescent="0.3">
      <c r="B410" s="2">
        <v>784</v>
      </c>
      <c r="C410" s="41" t="s">
        <v>367</v>
      </c>
      <c r="D410" s="2">
        <v>2</v>
      </c>
      <c r="E410" s="2" t="s">
        <v>5</v>
      </c>
      <c r="F410" s="294">
        <v>23599.999500000002</v>
      </c>
      <c r="G410" s="247">
        <v>26200</v>
      </c>
      <c r="H410" s="295">
        <f t="shared" si="12"/>
        <v>2600.0004999999983</v>
      </c>
      <c r="I410" s="250">
        <f t="shared" si="13"/>
        <v>9.9236660305343449E-2</v>
      </c>
    </row>
    <row r="411" spans="2:9" x14ac:dyDescent="0.3">
      <c r="B411" s="2">
        <v>785</v>
      </c>
      <c r="C411" s="41" t="s">
        <v>368</v>
      </c>
      <c r="D411" s="2">
        <v>2</v>
      </c>
      <c r="E411" s="2" t="s">
        <v>5</v>
      </c>
      <c r="F411" s="294">
        <v>74700.002999999997</v>
      </c>
      <c r="G411" s="247">
        <v>81633.333333333328</v>
      </c>
      <c r="H411" s="295">
        <f t="shared" si="12"/>
        <v>6933.3303333333315</v>
      </c>
      <c r="I411" s="250">
        <f t="shared" si="13"/>
        <v>8.4932588811759885E-2</v>
      </c>
    </row>
    <row r="412" spans="2:9" x14ac:dyDescent="0.3">
      <c r="B412" s="2">
        <v>786</v>
      </c>
      <c r="C412" s="41" t="s">
        <v>369</v>
      </c>
      <c r="D412" s="2">
        <v>2</v>
      </c>
      <c r="E412" s="2" t="s">
        <v>12</v>
      </c>
      <c r="F412" s="294">
        <v>77999.995500000005</v>
      </c>
      <c r="G412" s="247">
        <v>74766.666666666672</v>
      </c>
      <c r="H412" s="295">
        <f t="shared" si="12"/>
        <v>-3233.328833333333</v>
      </c>
      <c r="I412" s="250">
        <f t="shared" si="13"/>
        <v>-4.324559295586268E-2</v>
      </c>
    </row>
    <row r="413" spans="2:9" x14ac:dyDescent="0.3">
      <c r="B413" s="2">
        <v>787</v>
      </c>
      <c r="C413" s="41" t="s">
        <v>370</v>
      </c>
      <c r="D413" s="2">
        <v>10</v>
      </c>
      <c r="E413" s="2" t="s">
        <v>12</v>
      </c>
      <c r="F413" s="294">
        <v>8345.232</v>
      </c>
      <c r="G413" s="247">
        <v>9800</v>
      </c>
      <c r="H413" s="295">
        <f t="shared" si="12"/>
        <v>1454.768</v>
      </c>
      <c r="I413" s="250">
        <f t="shared" si="13"/>
        <v>0.14844571428571429</v>
      </c>
    </row>
    <row r="414" spans="2:9" x14ac:dyDescent="0.3">
      <c r="B414" s="2">
        <v>788</v>
      </c>
      <c r="C414" s="41" t="s">
        <v>371</v>
      </c>
      <c r="D414" s="2">
        <v>2</v>
      </c>
      <c r="E414" s="2" t="s">
        <v>5</v>
      </c>
      <c r="F414" s="294">
        <v>12100.0005</v>
      </c>
      <c r="G414" s="247">
        <v>13383.333333333334</v>
      </c>
      <c r="H414" s="295">
        <f t="shared" si="12"/>
        <v>1283.3328333333338</v>
      </c>
      <c r="I414" s="250">
        <f t="shared" si="13"/>
        <v>9.5890373599003764E-2</v>
      </c>
    </row>
    <row r="415" spans="2:9" x14ac:dyDescent="0.3">
      <c r="B415" s="2">
        <v>789</v>
      </c>
      <c r="C415" s="41" t="s">
        <v>372</v>
      </c>
      <c r="D415" s="2">
        <v>2</v>
      </c>
      <c r="E415" s="2" t="s">
        <v>5</v>
      </c>
      <c r="F415" s="294">
        <v>82100.004000000001</v>
      </c>
      <c r="G415" s="247">
        <v>88000</v>
      </c>
      <c r="H415" s="295">
        <f t="shared" si="12"/>
        <v>5899.9959999999992</v>
      </c>
      <c r="I415" s="250">
        <f t="shared" si="13"/>
        <v>6.7045409090909086E-2</v>
      </c>
    </row>
    <row r="416" spans="2:9" x14ac:dyDescent="0.3">
      <c r="B416" s="2">
        <v>790</v>
      </c>
      <c r="C416" s="41" t="s">
        <v>373</v>
      </c>
      <c r="D416" s="2">
        <v>2</v>
      </c>
      <c r="E416" s="2" t="s">
        <v>23</v>
      </c>
      <c r="F416" s="294">
        <v>3700.0005000000001</v>
      </c>
      <c r="G416" s="247">
        <v>4533.333333333333</v>
      </c>
      <c r="H416" s="295">
        <f t="shared" si="12"/>
        <v>833.33283333333293</v>
      </c>
      <c r="I416" s="250">
        <f t="shared" si="13"/>
        <v>0.18382341911764699</v>
      </c>
    </row>
    <row r="417" spans="2:9" x14ac:dyDescent="0.3">
      <c r="B417" s="2">
        <v>791</v>
      </c>
      <c r="C417" s="41" t="s">
        <v>374</v>
      </c>
      <c r="D417" s="2">
        <v>2</v>
      </c>
      <c r="E417" s="2" t="s">
        <v>5</v>
      </c>
      <c r="F417" s="294">
        <v>72899.998500000002</v>
      </c>
      <c r="G417" s="247">
        <v>82000</v>
      </c>
      <c r="H417" s="295">
        <f t="shared" si="12"/>
        <v>9100.0014999999985</v>
      </c>
      <c r="I417" s="250">
        <f t="shared" si="13"/>
        <v>0.11097562804878047</v>
      </c>
    </row>
    <row r="418" spans="2:9" x14ac:dyDescent="0.3">
      <c r="B418" s="2">
        <v>796</v>
      </c>
      <c r="C418" s="41" t="s">
        <v>375</v>
      </c>
      <c r="D418" s="2">
        <v>2</v>
      </c>
      <c r="E418" s="2" t="s">
        <v>5</v>
      </c>
      <c r="F418" s="294">
        <v>3942.4690999999998</v>
      </c>
      <c r="G418" s="247">
        <v>4450</v>
      </c>
      <c r="H418" s="295">
        <f t="shared" si="12"/>
        <v>507.5309000000002</v>
      </c>
      <c r="I418" s="250">
        <f t="shared" si="13"/>
        <v>0.11405188764044949</v>
      </c>
    </row>
    <row r="419" spans="2:9" x14ac:dyDescent="0.3">
      <c r="B419" s="2">
        <v>797</v>
      </c>
      <c r="C419" s="41" t="s">
        <v>1667</v>
      </c>
      <c r="D419" s="2">
        <v>2</v>
      </c>
      <c r="E419" s="2" t="s">
        <v>1668</v>
      </c>
      <c r="F419" s="294">
        <v>54225.097500000003</v>
      </c>
      <c r="G419" s="247">
        <v>59633.333333333336</v>
      </c>
      <c r="H419" s="295">
        <f t="shared" si="12"/>
        <v>5408.2358333333323</v>
      </c>
      <c r="I419" s="250">
        <f t="shared" si="13"/>
        <v>9.0691489659027374E-2</v>
      </c>
    </row>
    <row r="420" spans="2:9" x14ac:dyDescent="0.3">
      <c r="B420" s="2">
        <v>798</v>
      </c>
      <c r="C420" s="41" t="s">
        <v>376</v>
      </c>
      <c r="D420" s="2">
        <v>2</v>
      </c>
      <c r="E420" s="2" t="s">
        <v>5</v>
      </c>
      <c r="F420" s="294">
        <v>70964.145000000004</v>
      </c>
      <c r="G420" s="247">
        <v>80066.666666666672</v>
      </c>
      <c r="H420" s="295">
        <f t="shared" si="12"/>
        <v>9102.5216666666674</v>
      </c>
      <c r="I420" s="250">
        <f t="shared" si="13"/>
        <v>0.11368678184845962</v>
      </c>
    </row>
    <row r="421" spans="2:9" x14ac:dyDescent="0.3">
      <c r="B421" s="2">
        <v>800</v>
      </c>
      <c r="C421" s="41" t="s">
        <v>1669</v>
      </c>
      <c r="D421" s="2">
        <v>2</v>
      </c>
      <c r="E421" s="2" t="s">
        <v>237</v>
      </c>
      <c r="F421" s="294">
        <v>86658.6</v>
      </c>
      <c r="G421" s="247">
        <v>95200</v>
      </c>
      <c r="H421" s="295">
        <f t="shared" si="12"/>
        <v>8541.3999999999942</v>
      </c>
      <c r="I421" s="250">
        <f t="shared" si="13"/>
        <v>8.9720588235294052E-2</v>
      </c>
    </row>
    <row r="422" spans="2:9" x14ac:dyDescent="0.3">
      <c r="B422" s="2">
        <v>803</v>
      </c>
      <c r="C422" s="41" t="s">
        <v>377</v>
      </c>
      <c r="D422" s="2">
        <v>6</v>
      </c>
      <c r="E422" s="2" t="s">
        <v>176</v>
      </c>
      <c r="F422" s="294">
        <v>35600</v>
      </c>
      <c r="G422" s="247">
        <v>40583.333333333336</v>
      </c>
      <c r="H422" s="295">
        <f t="shared" si="12"/>
        <v>4983.3333333333358</v>
      </c>
      <c r="I422" s="250">
        <f t="shared" si="13"/>
        <v>0.12279260780287479</v>
      </c>
    </row>
    <row r="423" spans="2:9" x14ac:dyDescent="0.3">
      <c r="B423" s="2">
        <v>805</v>
      </c>
      <c r="C423" s="41" t="s">
        <v>378</v>
      </c>
      <c r="D423" s="2">
        <v>4</v>
      </c>
      <c r="E423" s="2" t="s">
        <v>176</v>
      </c>
      <c r="F423" s="294">
        <v>35200</v>
      </c>
      <c r="G423" s="247">
        <v>40500</v>
      </c>
      <c r="H423" s="295">
        <f t="shared" si="12"/>
        <v>5300</v>
      </c>
      <c r="I423" s="250">
        <f t="shared" si="13"/>
        <v>0.1308641975308642</v>
      </c>
    </row>
    <row r="424" spans="2:9" x14ac:dyDescent="0.3">
      <c r="B424" s="2">
        <v>806</v>
      </c>
      <c r="C424" s="41" t="s">
        <v>379</v>
      </c>
      <c r="D424" s="2">
        <v>2</v>
      </c>
      <c r="E424" s="2" t="s">
        <v>35</v>
      </c>
      <c r="F424" s="294">
        <v>3450</v>
      </c>
      <c r="G424" s="247">
        <v>3833.3333333333335</v>
      </c>
      <c r="H424" s="295">
        <f t="shared" si="12"/>
        <v>383.33333333333348</v>
      </c>
      <c r="I424" s="250">
        <f t="shared" si="13"/>
        <v>0.10000000000000003</v>
      </c>
    </row>
    <row r="425" spans="2:9" x14ac:dyDescent="0.3">
      <c r="B425" s="2">
        <v>811</v>
      </c>
      <c r="C425" s="41" t="s">
        <v>1670</v>
      </c>
      <c r="D425" s="2">
        <v>5</v>
      </c>
      <c r="E425" s="2" t="s">
        <v>16</v>
      </c>
      <c r="F425" s="294">
        <v>35200</v>
      </c>
      <c r="G425" s="247">
        <v>41000</v>
      </c>
      <c r="H425" s="295">
        <f t="shared" si="12"/>
        <v>5800</v>
      </c>
      <c r="I425" s="250">
        <f t="shared" si="13"/>
        <v>0.14146341463414633</v>
      </c>
    </row>
    <row r="426" spans="2:9" x14ac:dyDescent="0.3">
      <c r="B426" s="2">
        <v>816</v>
      </c>
      <c r="C426" s="41" t="s">
        <v>1671</v>
      </c>
      <c r="D426" s="2">
        <v>16</v>
      </c>
      <c r="E426" s="2" t="s">
        <v>12</v>
      </c>
      <c r="F426" s="294">
        <v>1606.5</v>
      </c>
      <c r="G426" s="247">
        <v>2000</v>
      </c>
      <c r="H426" s="295">
        <f t="shared" si="12"/>
        <v>393.5</v>
      </c>
      <c r="I426" s="250">
        <f t="shared" si="13"/>
        <v>0.19675000000000001</v>
      </c>
    </row>
    <row r="427" spans="2:9" x14ac:dyDescent="0.3">
      <c r="B427" s="2">
        <v>825</v>
      </c>
      <c r="C427" s="41" t="s">
        <v>380</v>
      </c>
      <c r="D427" s="2">
        <v>14</v>
      </c>
      <c r="E427" s="2" t="s">
        <v>12</v>
      </c>
      <c r="F427" s="294">
        <v>15377</v>
      </c>
      <c r="G427" s="247">
        <v>19000</v>
      </c>
      <c r="H427" s="295">
        <f t="shared" si="12"/>
        <v>3623</v>
      </c>
      <c r="I427" s="250">
        <f t="shared" si="13"/>
        <v>0.19068421052631579</v>
      </c>
    </row>
    <row r="428" spans="2:9" x14ac:dyDescent="0.3">
      <c r="B428" s="2">
        <v>827</v>
      </c>
      <c r="C428" s="41" t="s">
        <v>381</v>
      </c>
      <c r="D428" s="2">
        <v>4</v>
      </c>
      <c r="E428" s="2" t="s">
        <v>12</v>
      </c>
      <c r="F428" s="294">
        <v>47525</v>
      </c>
      <c r="G428" s="247">
        <v>54333.333333333336</v>
      </c>
      <c r="H428" s="295">
        <f t="shared" si="12"/>
        <v>6808.3333333333358</v>
      </c>
      <c r="I428" s="250">
        <f t="shared" si="13"/>
        <v>0.12530674846625769</v>
      </c>
    </row>
    <row r="429" spans="2:9" x14ac:dyDescent="0.3">
      <c r="B429" s="2">
        <v>832</v>
      </c>
      <c r="C429" s="41" t="s">
        <v>1672</v>
      </c>
      <c r="D429" s="2">
        <v>8</v>
      </c>
      <c r="E429" s="2" t="s">
        <v>16</v>
      </c>
      <c r="F429" s="294">
        <v>395000</v>
      </c>
      <c r="G429" s="247">
        <v>490000</v>
      </c>
      <c r="H429" s="295">
        <f t="shared" si="12"/>
        <v>95000</v>
      </c>
      <c r="I429" s="250">
        <f t="shared" si="13"/>
        <v>0.19387755102040816</v>
      </c>
    </row>
    <row r="430" spans="2:9" x14ac:dyDescent="0.3">
      <c r="B430" s="2">
        <v>834</v>
      </c>
      <c r="C430" s="41" t="s">
        <v>382</v>
      </c>
      <c r="D430" s="2">
        <v>14</v>
      </c>
      <c r="E430" s="2" t="s">
        <v>12</v>
      </c>
      <c r="F430" s="294">
        <v>46373</v>
      </c>
      <c r="G430" s="247">
        <v>56300</v>
      </c>
      <c r="H430" s="295">
        <f t="shared" si="12"/>
        <v>9927</v>
      </c>
      <c r="I430" s="250">
        <f t="shared" si="13"/>
        <v>0.17632326820603908</v>
      </c>
    </row>
    <row r="431" spans="2:9" x14ac:dyDescent="0.3">
      <c r="B431" s="2">
        <v>835</v>
      </c>
      <c r="C431" s="41" t="s">
        <v>383</v>
      </c>
      <c r="D431" s="2">
        <v>14</v>
      </c>
      <c r="E431" s="2" t="s">
        <v>16</v>
      </c>
      <c r="F431" s="294">
        <v>31800</v>
      </c>
      <c r="G431" s="247">
        <v>39900</v>
      </c>
      <c r="H431" s="295">
        <f t="shared" si="12"/>
        <v>8100</v>
      </c>
      <c r="I431" s="250">
        <f t="shared" si="13"/>
        <v>0.20300751879699247</v>
      </c>
    </row>
    <row r="432" spans="2:9" x14ac:dyDescent="0.3">
      <c r="B432" s="2">
        <v>836</v>
      </c>
      <c r="C432" s="41" t="s">
        <v>384</v>
      </c>
      <c r="D432" s="2">
        <v>14</v>
      </c>
      <c r="E432" s="2" t="s">
        <v>5</v>
      </c>
      <c r="F432" s="294">
        <v>25067.7</v>
      </c>
      <c r="G432" s="247">
        <v>28800</v>
      </c>
      <c r="H432" s="295">
        <f t="shared" si="12"/>
        <v>3732.2999999999993</v>
      </c>
      <c r="I432" s="250">
        <f t="shared" si="13"/>
        <v>0.12959374999999998</v>
      </c>
    </row>
    <row r="433" spans="2:9" x14ac:dyDescent="0.3">
      <c r="B433" s="2">
        <v>839</v>
      </c>
      <c r="C433" s="41" t="s">
        <v>385</v>
      </c>
      <c r="D433" s="2">
        <v>14</v>
      </c>
      <c r="E433" s="2" t="s">
        <v>12</v>
      </c>
      <c r="F433" s="294">
        <v>393.29169999999999</v>
      </c>
      <c r="G433" s="247">
        <v>500</v>
      </c>
      <c r="H433" s="295">
        <f t="shared" si="12"/>
        <v>106.70830000000001</v>
      </c>
      <c r="I433" s="250">
        <f t="shared" si="13"/>
        <v>0.21341660000000001</v>
      </c>
    </row>
    <row r="434" spans="2:9" x14ac:dyDescent="0.3">
      <c r="B434" s="2">
        <v>841</v>
      </c>
      <c r="C434" s="41" t="s">
        <v>386</v>
      </c>
      <c r="D434" s="2">
        <v>6</v>
      </c>
      <c r="E434" s="2" t="s">
        <v>32</v>
      </c>
      <c r="F434" s="294">
        <v>98194</v>
      </c>
      <c r="G434" s="247">
        <v>112300</v>
      </c>
      <c r="H434" s="295">
        <f t="shared" si="12"/>
        <v>14106</v>
      </c>
      <c r="I434" s="250">
        <f t="shared" si="13"/>
        <v>0.1256099732858415</v>
      </c>
    </row>
    <row r="435" spans="2:9" x14ac:dyDescent="0.3">
      <c r="B435" s="2">
        <v>842</v>
      </c>
      <c r="C435" s="41" t="s">
        <v>1673</v>
      </c>
      <c r="D435" s="2">
        <v>14</v>
      </c>
      <c r="E435" s="2" t="s">
        <v>23</v>
      </c>
      <c r="F435" s="294">
        <v>20223</v>
      </c>
      <c r="G435" s="247">
        <v>24500</v>
      </c>
      <c r="H435" s="295">
        <f t="shared" si="12"/>
        <v>4277</v>
      </c>
      <c r="I435" s="250">
        <f t="shared" si="13"/>
        <v>0.17457142857142857</v>
      </c>
    </row>
    <row r="436" spans="2:9" x14ac:dyDescent="0.3">
      <c r="B436" s="2">
        <v>843</v>
      </c>
      <c r="C436" s="41" t="s">
        <v>387</v>
      </c>
      <c r="D436" s="2">
        <v>14</v>
      </c>
      <c r="E436" s="2" t="s">
        <v>12</v>
      </c>
      <c r="F436" s="294">
        <v>9748</v>
      </c>
      <c r="G436" s="247">
        <v>12000</v>
      </c>
      <c r="H436" s="295">
        <f t="shared" si="12"/>
        <v>2252</v>
      </c>
      <c r="I436" s="250">
        <f t="shared" si="13"/>
        <v>0.18766666666666668</v>
      </c>
    </row>
    <row r="437" spans="2:9" x14ac:dyDescent="0.3">
      <c r="B437" s="2">
        <v>845</v>
      </c>
      <c r="C437" s="41" t="s">
        <v>388</v>
      </c>
      <c r="D437" s="2">
        <v>14</v>
      </c>
      <c r="E437" s="2" t="s">
        <v>81</v>
      </c>
      <c r="F437" s="294">
        <v>8741.7999999999993</v>
      </c>
      <c r="G437" s="247">
        <v>12000</v>
      </c>
      <c r="H437" s="295">
        <f t="shared" si="12"/>
        <v>3258.2000000000007</v>
      </c>
      <c r="I437" s="250">
        <f t="shared" si="13"/>
        <v>0.27151666666666674</v>
      </c>
    </row>
    <row r="438" spans="2:9" x14ac:dyDescent="0.3">
      <c r="B438" s="2">
        <v>847</v>
      </c>
      <c r="C438" s="41" t="s">
        <v>389</v>
      </c>
      <c r="D438" s="2">
        <v>14</v>
      </c>
      <c r="E438" s="2" t="s">
        <v>81</v>
      </c>
      <c r="F438" s="294">
        <v>75531</v>
      </c>
      <c r="G438" s="247">
        <v>89500</v>
      </c>
      <c r="H438" s="295">
        <f t="shared" si="12"/>
        <v>13969</v>
      </c>
      <c r="I438" s="250">
        <f t="shared" si="13"/>
        <v>0.15607821229050278</v>
      </c>
    </row>
    <row r="439" spans="2:9" x14ac:dyDescent="0.3">
      <c r="B439" s="2">
        <v>853</v>
      </c>
      <c r="C439" s="41" t="s">
        <v>1674</v>
      </c>
      <c r="D439" s="2">
        <v>8</v>
      </c>
      <c r="E439" s="2" t="s">
        <v>41</v>
      </c>
      <c r="F439" s="294">
        <v>124174</v>
      </c>
      <c r="G439" s="247">
        <v>137083.33333333334</v>
      </c>
      <c r="H439" s="295">
        <f t="shared" si="12"/>
        <v>12909.333333333343</v>
      </c>
      <c r="I439" s="250">
        <f t="shared" si="13"/>
        <v>9.4171428571428642E-2</v>
      </c>
    </row>
    <row r="440" spans="2:9" x14ac:dyDescent="0.3">
      <c r="B440" s="2">
        <v>854</v>
      </c>
      <c r="C440" s="41" t="s">
        <v>390</v>
      </c>
      <c r="D440" s="2">
        <v>2</v>
      </c>
      <c r="E440" s="2" t="s">
        <v>5</v>
      </c>
      <c r="F440" s="294">
        <v>9000.0000999999993</v>
      </c>
      <c r="G440" s="247">
        <v>10800</v>
      </c>
      <c r="H440" s="295">
        <f t="shared" si="12"/>
        <v>1799.9999000000007</v>
      </c>
      <c r="I440" s="250">
        <f t="shared" si="13"/>
        <v>0.16666665740740746</v>
      </c>
    </row>
    <row r="441" spans="2:9" x14ac:dyDescent="0.3">
      <c r="B441" s="2">
        <v>855</v>
      </c>
      <c r="C441" s="41" t="s">
        <v>391</v>
      </c>
      <c r="D441" s="2">
        <v>2</v>
      </c>
      <c r="E441" s="2" t="s">
        <v>5</v>
      </c>
      <c r="F441" s="294">
        <v>22499.998500000002</v>
      </c>
      <c r="G441" s="247">
        <v>24850</v>
      </c>
      <c r="H441" s="295">
        <f t="shared" si="12"/>
        <v>2350.0014999999985</v>
      </c>
      <c r="I441" s="250">
        <f t="shared" si="13"/>
        <v>9.4567464788732333E-2</v>
      </c>
    </row>
    <row r="442" spans="2:9" x14ac:dyDescent="0.3">
      <c r="B442" s="2">
        <v>856</v>
      </c>
      <c r="C442" s="41" t="s">
        <v>392</v>
      </c>
      <c r="D442" s="2">
        <v>2</v>
      </c>
      <c r="E442" s="2" t="s">
        <v>5</v>
      </c>
      <c r="F442" s="294">
        <v>19799.996999999999</v>
      </c>
      <c r="G442" s="247">
        <v>22933.333333333332</v>
      </c>
      <c r="H442" s="295">
        <f t="shared" si="12"/>
        <v>3133.3363333333327</v>
      </c>
      <c r="I442" s="250">
        <f t="shared" si="13"/>
        <v>0.13662803779069765</v>
      </c>
    </row>
    <row r="443" spans="2:9" x14ac:dyDescent="0.3">
      <c r="B443" s="2">
        <v>861</v>
      </c>
      <c r="C443" s="41" t="s">
        <v>393</v>
      </c>
      <c r="D443" s="2">
        <v>1</v>
      </c>
      <c r="E443" s="2" t="s">
        <v>237</v>
      </c>
      <c r="F443" s="294">
        <v>6499.9942000000001</v>
      </c>
      <c r="G443" s="247">
        <v>18966.666666666668</v>
      </c>
      <c r="H443" s="295">
        <f t="shared" si="12"/>
        <v>12466.672466666667</v>
      </c>
      <c r="I443" s="250">
        <f t="shared" si="13"/>
        <v>0.65729380316344466</v>
      </c>
    </row>
    <row r="444" spans="2:9" x14ac:dyDescent="0.3">
      <c r="B444" s="2">
        <v>864</v>
      </c>
      <c r="C444" s="41" t="s">
        <v>394</v>
      </c>
      <c r="D444" s="2">
        <v>14</v>
      </c>
      <c r="E444" s="2" t="s">
        <v>81</v>
      </c>
      <c r="F444" s="294">
        <v>10219.65</v>
      </c>
      <c r="G444" s="247">
        <v>13000</v>
      </c>
      <c r="H444" s="295">
        <f t="shared" si="12"/>
        <v>2780.3500000000004</v>
      </c>
      <c r="I444" s="250">
        <f t="shared" si="13"/>
        <v>0.21387307692307694</v>
      </c>
    </row>
    <row r="445" spans="2:9" x14ac:dyDescent="0.3">
      <c r="B445" s="2">
        <v>868</v>
      </c>
      <c r="C445" s="41" t="s">
        <v>395</v>
      </c>
      <c r="D445" s="2">
        <v>6</v>
      </c>
      <c r="E445" s="2" t="s">
        <v>12</v>
      </c>
      <c r="F445" s="294">
        <v>10500</v>
      </c>
      <c r="G445" s="247">
        <v>12800</v>
      </c>
      <c r="H445" s="295">
        <f t="shared" si="12"/>
        <v>2300</v>
      </c>
      <c r="I445" s="250">
        <f t="shared" si="13"/>
        <v>0.1796875</v>
      </c>
    </row>
    <row r="446" spans="2:9" x14ac:dyDescent="0.3">
      <c r="B446" s="2">
        <v>869</v>
      </c>
      <c r="C446" s="41" t="s">
        <v>396</v>
      </c>
      <c r="D446" s="2">
        <v>4</v>
      </c>
      <c r="E446" s="2" t="s">
        <v>81</v>
      </c>
      <c r="F446" s="294">
        <v>36000</v>
      </c>
      <c r="G446" s="247">
        <v>42000</v>
      </c>
      <c r="H446" s="295">
        <f t="shared" si="12"/>
        <v>6000</v>
      </c>
      <c r="I446" s="250">
        <f t="shared" si="13"/>
        <v>0.14285714285714285</v>
      </c>
    </row>
    <row r="447" spans="2:9" x14ac:dyDescent="0.3">
      <c r="B447" s="2">
        <v>870</v>
      </c>
      <c r="C447" s="41" t="s">
        <v>1675</v>
      </c>
      <c r="D447" s="2">
        <v>4</v>
      </c>
      <c r="E447" s="2" t="s">
        <v>16</v>
      </c>
      <c r="F447" s="294">
        <v>102500</v>
      </c>
      <c r="G447" s="247">
        <v>132100</v>
      </c>
      <c r="H447" s="295">
        <f t="shared" si="12"/>
        <v>29600</v>
      </c>
      <c r="I447" s="250">
        <f t="shared" si="13"/>
        <v>0.22407267221801666</v>
      </c>
    </row>
    <row r="448" spans="2:9" x14ac:dyDescent="0.3">
      <c r="B448" s="2">
        <v>873</v>
      </c>
      <c r="C448" s="41" t="s">
        <v>397</v>
      </c>
      <c r="D448" s="2">
        <v>7</v>
      </c>
      <c r="E448" s="2" t="s">
        <v>160</v>
      </c>
      <c r="F448" s="294">
        <v>600</v>
      </c>
      <c r="G448" s="247">
        <v>1800</v>
      </c>
      <c r="H448" s="295">
        <f t="shared" si="12"/>
        <v>1200</v>
      </c>
      <c r="I448" s="250">
        <f t="shared" si="13"/>
        <v>0.66666666666666663</v>
      </c>
    </row>
    <row r="449" spans="2:9" x14ac:dyDescent="0.3">
      <c r="B449" s="2">
        <v>874</v>
      </c>
      <c r="C449" s="41" t="s">
        <v>1676</v>
      </c>
      <c r="D449" s="2">
        <v>7</v>
      </c>
      <c r="E449" s="2" t="s">
        <v>23</v>
      </c>
      <c r="F449" s="294">
        <v>600</v>
      </c>
      <c r="G449" s="247">
        <v>1650</v>
      </c>
      <c r="H449" s="295">
        <f t="shared" si="12"/>
        <v>1050</v>
      </c>
      <c r="I449" s="250">
        <f t="shared" si="13"/>
        <v>0.63636363636363635</v>
      </c>
    </row>
    <row r="450" spans="2:9" x14ac:dyDescent="0.3">
      <c r="B450" s="2">
        <v>877</v>
      </c>
      <c r="C450" s="41" t="s">
        <v>398</v>
      </c>
      <c r="D450" s="2">
        <v>9</v>
      </c>
      <c r="E450" s="2" t="s">
        <v>338</v>
      </c>
      <c r="F450" s="294">
        <v>5515.3</v>
      </c>
      <c r="G450" s="247">
        <v>7200</v>
      </c>
      <c r="H450" s="295">
        <f t="shared" si="12"/>
        <v>1684.6999999999998</v>
      </c>
      <c r="I450" s="250">
        <f t="shared" si="13"/>
        <v>0.23398611111111109</v>
      </c>
    </row>
    <row r="451" spans="2:9" x14ac:dyDescent="0.3">
      <c r="B451" s="2">
        <v>878</v>
      </c>
      <c r="C451" s="41" t="s">
        <v>1677</v>
      </c>
      <c r="D451" s="2">
        <v>12</v>
      </c>
      <c r="E451" s="2" t="s">
        <v>12</v>
      </c>
      <c r="F451" s="294">
        <v>19699.999899999999</v>
      </c>
      <c r="G451" s="247">
        <v>24900</v>
      </c>
      <c r="H451" s="295">
        <f t="shared" si="12"/>
        <v>5200.0001000000011</v>
      </c>
      <c r="I451" s="250">
        <f t="shared" si="13"/>
        <v>0.20883534538152615</v>
      </c>
    </row>
    <row r="452" spans="2:9" x14ac:dyDescent="0.3">
      <c r="B452" s="2">
        <v>879</v>
      </c>
      <c r="C452" s="41" t="s">
        <v>1678</v>
      </c>
      <c r="D452" s="2">
        <v>6</v>
      </c>
      <c r="E452" s="2" t="s">
        <v>81</v>
      </c>
      <c r="F452" s="294">
        <v>14536</v>
      </c>
      <c r="G452" s="247">
        <v>17000</v>
      </c>
      <c r="H452" s="295">
        <f t="shared" si="12"/>
        <v>2464</v>
      </c>
      <c r="I452" s="250">
        <f t="shared" si="13"/>
        <v>0.14494117647058824</v>
      </c>
    </row>
    <row r="453" spans="2:9" x14ac:dyDescent="0.3">
      <c r="B453" s="2">
        <v>882</v>
      </c>
      <c r="C453" s="41" t="s">
        <v>399</v>
      </c>
      <c r="D453" s="2">
        <v>5</v>
      </c>
      <c r="E453" s="2" t="s">
        <v>21</v>
      </c>
      <c r="F453" s="294">
        <v>10200</v>
      </c>
      <c r="G453" s="247">
        <v>12200</v>
      </c>
      <c r="H453" s="295">
        <f t="shared" si="12"/>
        <v>2000</v>
      </c>
      <c r="I453" s="250">
        <f t="shared" si="13"/>
        <v>0.16393442622950818</v>
      </c>
    </row>
    <row r="454" spans="2:9" x14ac:dyDescent="0.3">
      <c r="B454" s="2">
        <v>883</v>
      </c>
      <c r="C454" s="41" t="s">
        <v>400</v>
      </c>
      <c r="D454" s="2">
        <v>14</v>
      </c>
      <c r="E454" s="2" t="s">
        <v>81</v>
      </c>
      <c r="F454" s="294">
        <v>31715</v>
      </c>
      <c r="G454" s="247">
        <v>38000</v>
      </c>
      <c r="H454" s="295">
        <f t="shared" ref="H454:H517" si="14">G454-F454</f>
        <v>6285</v>
      </c>
      <c r="I454" s="250">
        <f t="shared" ref="I454:I517" si="15">H454/G454</f>
        <v>0.16539473684210526</v>
      </c>
    </row>
    <row r="455" spans="2:9" x14ac:dyDescent="0.3">
      <c r="B455" s="2">
        <v>892</v>
      </c>
      <c r="C455" s="41" t="s">
        <v>1679</v>
      </c>
      <c r="D455" s="2">
        <v>2</v>
      </c>
      <c r="E455" s="2" t="s">
        <v>237</v>
      </c>
      <c r="F455" s="294">
        <v>100403.1</v>
      </c>
      <c r="G455" s="247">
        <v>116916.66666666667</v>
      </c>
      <c r="H455" s="295">
        <f t="shared" si="14"/>
        <v>16513.566666666666</v>
      </c>
      <c r="I455" s="250">
        <f t="shared" si="15"/>
        <v>0.14124219529579471</v>
      </c>
    </row>
    <row r="456" spans="2:9" x14ac:dyDescent="0.3">
      <c r="B456" s="2">
        <v>893</v>
      </c>
      <c r="C456" s="41" t="s">
        <v>1680</v>
      </c>
      <c r="D456" s="2">
        <v>2</v>
      </c>
      <c r="E456" s="2" t="s">
        <v>5</v>
      </c>
      <c r="F456" s="294">
        <v>57951.6</v>
      </c>
      <c r="G456" s="247">
        <v>65633.333333333328</v>
      </c>
      <c r="H456" s="295">
        <f t="shared" si="14"/>
        <v>7681.7333333333299</v>
      </c>
      <c r="I456" s="250">
        <f t="shared" si="15"/>
        <v>0.11704012188928385</v>
      </c>
    </row>
    <row r="457" spans="2:9" x14ac:dyDescent="0.3">
      <c r="B457" s="2">
        <v>897</v>
      </c>
      <c r="C457" s="41" t="s">
        <v>401</v>
      </c>
      <c r="D457" s="2">
        <v>9</v>
      </c>
      <c r="E457" s="2" t="s">
        <v>12</v>
      </c>
      <c r="F457" s="294">
        <v>700</v>
      </c>
      <c r="G457" s="247">
        <v>700</v>
      </c>
      <c r="H457" s="295">
        <f t="shared" si="14"/>
        <v>0</v>
      </c>
      <c r="I457" s="250">
        <f t="shared" si="15"/>
        <v>0</v>
      </c>
    </row>
    <row r="458" spans="2:9" x14ac:dyDescent="0.3">
      <c r="B458" s="2">
        <v>902</v>
      </c>
      <c r="C458" s="41" t="s">
        <v>402</v>
      </c>
      <c r="D458" s="2">
        <v>9</v>
      </c>
      <c r="E458" s="2" t="s">
        <v>338</v>
      </c>
      <c r="F458" s="294">
        <v>6635.44</v>
      </c>
      <c r="G458" s="247">
        <v>8800</v>
      </c>
      <c r="H458" s="295">
        <f t="shared" si="14"/>
        <v>2164.5600000000004</v>
      </c>
      <c r="I458" s="250">
        <f t="shared" si="15"/>
        <v>0.24597272727272732</v>
      </c>
    </row>
    <row r="459" spans="2:9" x14ac:dyDescent="0.3">
      <c r="B459" s="2">
        <v>903</v>
      </c>
      <c r="C459" s="41" t="s">
        <v>403</v>
      </c>
      <c r="D459" s="2">
        <v>9</v>
      </c>
      <c r="E459" s="2" t="s">
        <v>338</v>
      </c>
      <c r="F459" s="294">
        <v>2313.9549999999999</v>
      </c>
      <c r="G459" s="247">
        <v>2800</v>
      </c>
      <c r="H459" s="295">
        <f t="shared" si="14"/>
        <v>486.04500000000007</v>
      </c>
      <c r="I459" s="250">
        <f t="shared" si="15"/>
        <v>0.17358750000000003</v>
      </c>
    </row>
    <row r="460" spans="2:9" x14ac:dyDescent="0.3">
      <c r="B460" s="2">
        <v>909</v>
      </c>
      <c r="C460" s="41" t="s">
        <v>404</v>
      </c>
      <c r="D460" s="2">
        <v>2</v>
      </c>
      <c r="E460" s="2" t="s">
        <v>5</v>
      </c>
      <c r="F460" s="294">
        <v>7942.1948000000002</v>
      </c>
      <c r="G460" s="247">
        <v>8850</v>
      </c>
      <c r="H460" s="295">
        <f t="shared" si="14"/>
        <v>907.80519999999979</v>
      </c>
      <c r="I460" s="250">
        <f t="shared" si="15"/>
        <v>0.10257685875706213</v>
      </c>
    </row>
    <row r="461" spans="2:9" x14ac:dyDescent="0.3">
      <c r="B461" s="2">
        <v>910</v>
      </c>
      <c r="C461" s="41" t="s">
        <v>1681</v>
      </c>
      <c r="D461" s="2">
        <v>2</v>
      </c>
      <c r="E461" s="2" t="s">
        <v>243</v>
      </c>
      <c r="F461" s="294">
        <v>158823.94500000001</v>
      </c>
      <c r="G461" s="247">
        <v>174250</v>
      </c>
      <c r="H461" s="295">
        <f t="shared" si="14"/>
        <v>15426.054999999993</v>
      </c>
      <c r="I461" s="250">
        <f t="shared" si="15"/>
        <v>8.8528292682926793E-2</v>
      </c>
    </row>
    <row r="462" spans="2:9" x14ac:dyDescent="0.3">
      <c r="B462" s="2">
        <v>911</v>
      </c>
      <c r="C462" s="41" t="s">
        <v>1682</v>
      </c>
      <c r="D462" s="2">
        <v>2</v>
      </c>
      <c r="E462" s="2" t="s">
        <v>237</v>
      </c>
      <c r="F462" s="294">
        <v>87177.3</v>
      </c>
      <c r="G462" s="247">
        <v>101150</v>
      </c>
      <c r="H462" s="295">
        <f t="shared" si="14"/>
        <v>13972.699999999997</v>
      </c>
      <c r="I462" s="250">
        <f t="shared" si="15"/>
        <v>0.13813840830449825</v>
      </c>
    </row>
    <row r="463" spans="2:9" x14ac:dyDescent="0.3">
      <c r="B463" s="2">
        <v>914</v>
      </c>
      <c r="C463" s="41" t="s">
        <v>1683</v>
      </c>
      <c r="D463" s="2">
        <v>10</v>
      </c>
      <c r="E463" s="2" t="s">
        <v>12</v>
      </c>
      <c r="F463" s="294">
        <v>25600.05</v>
      </c>
      <c r="G463" s="247">
        <v>29266.666666666668</v>
      </c>
      <c r="H463" s="295">
        <f t="shared" si="14"/>
        <v>3666.6166666666686</v>
      </c>
      <c r="I463" s="250">
        <f t="shared" si="15"/>
        <v>0.12528302961275634</v>
      </c>
    </row>
    <row r="464" spans="2:9" x14ac:dyDescent="0.3">
      <c r="B464" s="2">
        <v>915</v>
      </c>
      <c r="C464" s="41" t="s">
        <v>405</v>
      </c>
      <c r="D464" s="2">
        <v>6</v>
      </c>
      <c r="E464" s="2" t="s">
        <v>12</v>
      </c>
      <c r="F464" s="294">
        <v>51428.34</v>
      </c>
      <c r="G464" s="247">
        <v>59666.666666666664</v>
      </c>
      <c r="H464" s="295">
        <f t="shared" si="14"/>
        <v>8238.3266666666677</v>
      </c>
      <c r="I464" s="250">
        <f t="shared" si="15"/>
        <v>0.13807251396648046</v>
      </c>
    </row>
    <row r="465" spans="2:9" x14ac:dyDescent="0.3">
      <c r="B465" s="2">
        <v>916</v>
      </c>
      <c r="C465" s="41" t="s">
        <v>406</v>
      </c>
      <c r="D465" s="2">
        <v>4</v>
      </c>
      <c r="E465" s="2" t="s">
        <v>81</v>
      </c>
      <c r="F465" s="294">
        <v>18230.36</v>
      </c>
      <c r="G465" s="247">
        <v>22000</v>
      </c>
      <c r="H465" s="295">
        <f t="shared" si="14"/>
        <v>3769.6399999999994</v>
      </c>
      <c r="I465" s="250">
        <f t="shared" si="15"/>
        <v>0.17134727272727271</v>
      </c>
    </row>
    <row r="466" spans="2:9" x14ac:dyDescent="0.3">
      <c r="B466" s="2">
        <v>917</v>
      </c>
      <c r="C466" s="41" t="s">
        <v>407</v>
      </c>
      <c r="D466" s="2">
        <v>6</v>
      </c>
      <c r="E466" s="2" t="s">
        <v>81</v>
      </c>
      <c r="F466" s="294">
        <v>26914.080000000002</v>
      </c>
      <c r="G466" s="247">
        <v>34083.333333333336</v>
      </c>
      <c r="H466" s="295">
        <f t="shared" si="14"/>
        <v>7169.253333333334</v>
      </c>
      <c r="I466" s="250">
        <f t="shared" si="15"/>
        <v>0.21034484107579463</v>
      </c>
    </row>
    <row r="467" spans="2:9" x14ac:dyDescent="0.3">
      <c r="B467" s="2">
        <v>918</v>
      </c>
      <c r="C467" s="41" t="s">
        <v>1684</v>
      </c>
      <c r="D467" s="2">
        <v>11</v>
      </c>
      <c r="E467" s="2" t="s">
        <v>12</v>
      </c>
      <c r="F467" s="294">
        <v>23500</v>
      </c>
      <c r="G467" s="247">
        <v>26300</v>
      </c>
      <c r="H467" s="295">
        <f t="shared" si="14"/>
        <v>2800</v>
      </c>
      <c r="I467" s="250">
        <f t="shared" si="15"/>
        <v>0.10646387832699619</v>
      </c>
    </row>
    <row r="468" spans="2:9" x14ac:dyDescent="0.3">
      <c r="B468" s="2">
        <v>922</v>
      </c>
      <c r="C468" s="41" t="s">
        <v>408</v>
      </c>
      <c r="D468" s="2">
        <v>9</v>
      </c>
      <c r="E468" s="2" t="s">
        <v>237</v>
      </c>
      <c r="F468" s="294">
        <v>214916.38</v>
      </c>
      <c r="G468" s="247">
        <v>238033</v>
      </c>
      <c r="H468" s="295">
        <f t="shared" si="14"/>
        <v>23116.619999999995</v>
      </c>
      <c r="I468" s="250">
        <f t="shared" si="15"/>
        <v>9.7115189910642621E-2</v>
      </c>
    </row>
    <row r="469" spans="2:9" x14ac:dyDescent="0.3">
      <c r="B469" s="2">
        <v>923</v>
      </c>
      <c r="C469" s="41" t="s">
        <v>409</v>
      </c>
      <c r="D469" s="2">
        <v>9</v>
      </c>
      <c r="E469" s="2" t="s">
        <v>237</v>
      </c>
      <c r="F469" s="294">
        <v>150632.57999999999</v>
      </c>
      <c r="G469" s="247">
        <v>182000</v>
      </c>
      <c r="H469" s="295">
        <f t="shared" si="14"/>
        <v>31367.420000000013</v>
      </c>
      <c r="I469" s="250">
        <f t="shared" si="15"/>
        <v>0.17234846153846162</v>
      </c>
    </row>
    <row r="470" spans="2:9" x14ac:dyDescent="0.3">
      <c r="B470" s="2">
        <v>926</v>
      </c>
      <c r="C470" s="41" t="s">
        <v>410</v>
      </c>
      <c r="D470" s="2">
        <v>1</v>
      </c>
      <c r="E470" s="2" t="s">
        <v>237</v>
      </c>
      <c r="F470" s="294">
        <v>178500</v>
      </c>
      <c r="G470" s="247">
        <v>206333.33333333334</v>
      </c>
      <c r="H470" s="295">
        <f t="shared" si="14"/>
        <v>27833.333333333343</v>
      </c>
      <c r="I470" s="250">
        <f t="shared" si="15"/>
        <v>0.1348949919224556</v>
      </c>
    </row>
    <row r="471" spans="2:9" x14ac:dyDescent="0.3">
      <c r="B471" s="2">
        <v>928</v>
      </c>
      <c r="C471" s="41" t="s">
        <v>1685</v>
      </c>
      <c r="D471" s="2">
        <v>1</v>
      </c>
      <c r="E471" s="2" t="s">
        <v>237</v>
      </c>
      <c r="F471" s="294">
        <v>200000</v>
      </c>
      <c r="G471" s="247">
        <v>209000</v>
      </c>
      <c r="H471" s="295">
        <f t="shared" si="14"/>
        <v>9000</v>
      </c>
      <c r="I471" s="250">
        <f t="shared" si="15"/>
        <v>4.3062200956937802E-2</v>
      </c>
    </row>
    <row r="472" spans="2:9" x14ac:dyDescent="0.3">
      <c r="B472" s="2">
        <v>929</v>
      </c>
      <c r="C472" s="41" t="s">
        <v>411</v>
      </c>
      <c r="D472" s="2">
        <v>1</v>
      </c>
      <c r="E472" s="2" t="s">
        <v>237</v>
      </c>
      <c r="F472" s="294">
        <v>165000</v>
      </c>
      <c r="G472" s="247">
        <v>174200</v>
      </c>
      <c r="H472" s="295">
        <f t="shared" si="14"/>
        <v>9200</v>
      </c>
      <c r="I472" s="250">
        <f t="shared" si="15"/>
        <v>5.2812858783008038E-2</v>
      </c>
    </row>
    <row r="473" spans="2:9" x14ac:dyDescent="0.3">
      <c r="B473" s="2">
        <v>930</v>
      </c>
      <c r="C473" s="41" t="s">
        <v>412</v>
      </c>
      <c r="D473" s="2">
        <v>14</v>
      </c>
      <c r="E473" s="2" t="s">
        <v>81</v>
      </c>
      <c r="F473" s="294">
        <v>36794</v>
      </c>
      <c r="G473" s="247">
        <v>40416.666666666664</v>
      </c>
      <c r="H473" s="295">
        <f t="shared" si="14"/>
        <v>3622.6666666666642</v>
      </c>
      <c r="I473" s="250">
        <f t="shared" si="15"/>
        <v>8.9632989690721601E-2</v>
      </c>
    </row>
    <row r="474" spans="2:9" x14ac:dyDescent="0.3">
      <c r="B474" s="2">
        <v>932</v>
      </c>
      <c r="C474" s="41" t="s">
        <v>1686</v>
      </c>
      <c r="D474" s="2">
        <v>14</v>
      </c>
      <c r="E474" s="2" t="s">
        <v>81</v>
      </c>
      <c r="F474" s="294">
        <v>5286</v>
      </c>
      <c r="G474" s="247">
        <v>6500</v>
      </c>
      <c r="H474" s="295">
        <f t="shared" si="14"/>
        <v>1214</v>
      </c>
      <c r="I474" s="250">
        <f t="shared" si="15"/>
        <v>0.18676923076923077</v>
      </c>
    </row>
    <row r="475" spans="2:9" x14ac:dyDescent="0.3">
      <c r="B475" s="2">
        <v>933</v>
      </c>
      <c r="C475" s="41" t="s">
        <v>413</v>
      </c>
      <c r="D475" s="2">
        <v>14</v>
      </c>
      <c r="E475" s="2" t="s">
        <v>81</v>
      </c>
      <c r="F475" s="294">
        <v>9217</v>
      </c>
      <c r="G475" s="247">
        <v>11000</v>
      </c>
      <c r="H475" s="295">
        <f t="shared" si="14"/>
        <v>1783</v>
      </c>
      <c r="I475" s="250">
        <f t="shared" si="15"/>
        <v>0.16209090909090909</v>
      </c>
    </row>
    <row r="476" spans="2:9" x14ac:dyDescent="0.3">
      <c r="B476" s="2">
        <v>935</v>
      </c>
      <c r="C476" s="41" t="s">
        <v>1687</v>
      </c>
      <c r="D476" s="2">
        <v>7</v>
      </c>
      <c r="E476" s="2" t="s">
        <v>160</v>
      </c>
      <c r="F476" s="294">
        <v>2500</v>
      </c>
      <c r="G476" s="247">
        <v>3533.3333333333335</v>
      </c>
      <c r="H476" s="295">
        <f t="shared" si="14"/>
        <v>1033.3333333333335</v>
      </c>
      <c r="I476" s="250">
        <f t="shared" si="15"/>
        <v>0.29245283018867929</v>
      </c>
    </row>
    <row r="477" spans="2:9" x14ac:dyDescent="0.3">
      <c r="B477" s="2">
        <v>937</v>
      </c>
      <c r="C477" s="41" t="s">
        <v>414</v>
      </c>
      <c r="D477" s="2">
        <v>4</v>
      </c>
      <c r="E477" s="2" t="s">
        <v>5</v>
      </c>
      <c r="F477" s="294">
        <v>30615</v>
      </c>
      <c r="G477" s="247">
        <v>39216.666666666664</v>
      </c>
      <c r="H477" s="295">
        <f t="shared" si="14"/>
        <v>8601.6666666666642</v>
      </c>
      <c r="I477" s="250">
        <f t="shared" si="15"/>
        <v>0.2193370165745856</v>
      </c>
    </row>
    <row r="478" spans="2:9" x14ac:dyDescent="0.3">
      <c r="B478" s="2">
        <v>941</v>
      </c>
      <c r="C478" s="41" t="s">
        <v>415</v>
      </c>
      <c r="D478" s="2">
        <v>2</v>
      </c>
      <c r="E478" s="2" t="s">
        <v>5</v>
      </c>
      <c r="F478" s="294">
        <v>12100.0005</v>
      </c>
      <c r="G478" s="247">
        <v>14200</v>
      </c>
      <c r="H478" s="295">
        <f t="shared" si="14"/>
        <v>2099.9994999999999</v>
      </c>
      <c r="I478" s="250">
        <f t="shared" si="15"/>
        <v>0.14788728873239435</v>
      </c>
    </row>
    <row r="479" spans="2:9" x14ac:dyDescent="0.3">
      <c r="B479" s="2">
        <v>942</v>
      </c>
      <c r="C479" s="41" t="s">
        <v>416</v>
      </c>
      <c r="D479" s="2">
        <v>2</v>
      </c>
      <c r="E479" s="2" t="s">
        <v>23</v>
      </c>
      <c r="F479" s="294">
        <v>3999.9960000000001</v>
      </c>
      <c r="G479" s="247">
        <v>4466.666666666667</v>
      </c>
      <c r="H479" s="295">
        <f t="shared" si="14"/>
        <v>466.67066666666688</v>
      </c>
      <c r="I479" s="250">
        <f t="shared" si="15"/>
        <v>0.10447850746268661</v>
      </c>
    </row>
    <row r="480" spans="2:9" x14ac:dyDescent="0.3">
      <c r="B480" s="2">
        <v>945</v>
      </c>
      <c r="C480" s="41" t="s">
        <v>417</v>
      </c>
      <c r="D480" s="2">
        <v>6</v>
      </c>
      <c r="E480" s="2" t="s">
        <v>12</v>
      </c>
      <c r="F480" s="294">
        <v>88900</v>
      </c>
      <c r="G480" s="247">
        <v>102000</v>
      </c>
      <c r="H480" s="295">
        <f t="shared" si="14"/>
        <v>13100</v>
      </c>
      <c r="I480" s="250">
        <f t="shared" si="15"/>
        <v>0.1284313725490196</v>
      </c>
    </row>
    <row r="481" spans="2:9" x14ac:dyDescent="0.3">
      <c r="B481" s="2">
        <v>947</v>
      </c>
      <c r="C481" s="41" t="s">
        <v>418</v>
      </c>
      <c r="D481" s="2">
        <v>14</v>
      </c>
      <c r="E481" s="2" t="s">
        <v>12</v>
      </c>
      <c r="F481" s="294">
        <v>19643.0769</v>
      </c>
      <c r="G481" s="247">
        <v>22800</v>
      </c>
      <c r="H481" s="295">
        <f t="shared" si="14"/>
        <v>3156.9231</v>
      </c>
      <c r="I481" s="250">
        <f t="shared" si="15"/>
        <v>0.1384615394736842</v>
      </c>
    </row>
    <row r="482" spans="2:9" x14ac:dyDescent="0.3">
      <c r="B482" s="2">
        <v>951</v>
      </c>
      <c r="C482" s="41" t="s">
        <v>420</v>
      </c>
      <c r="D482" s="2">
        <v>9</v>
      </c>
      <c r="E482" s="2" t="s">
        <v>12</v>
      </c>
      <c r="F482" s="294">
        <v>16481.5</v>
      </c>
      <c r="G482" s="247">
        <v>18733.333333333332</v>
      </c>
      <c r="H482" s="295">
        <f t="shared" si="14"/>
        <v>2251.8333333333321</v>
      </c>
      <c r="I482" s="250">
        <f t="shared" si="15"/>
        <v>0.12020462633451952</v>
      </c>
    </row>
    <row r="483" spans="2:9" x14ac:dyDescent="0.3">
      <c r="B483" s="2">
        <v>953</v>
      </c>
      <c r="C483" s="41" t="s">
        <v>421</v>
      </c>
      <c r="D483" s="2">
        <v>14</v>
      </c>
      <c r="E483" s="2" t="s">
        <v>81</v>
      </c>
      <c r="F483" s="294">
        <v>14856</v>
      </c>
      <c r="G483" s="247">
        <v>17166.666666666668</v>
      </c>
      <c r="H483" s="295">
        <f t="shared" si="14"/>
        <v>2310.6666666666679</v>
      </c>
      <c r="I483" s="250">
        <f t="shared" si="15"/>
        <v>0.13460194174757287</v>
      </c>
    </row>
    <row r="484" spans="2:9" x14ac:dyDescent="0.3">
      <c r="B484" s="2">
        <v>956</v>
      </c>
      <c r="C484" s="41" t="s">
        <v>422</v>
      </c>
      <c r="D484" s="2">
        <v>14</v>
      </c>
      <c r="E484" s="2" t="s">
        <v>81</v>
      </c>
      <c r="F484" s="294">
        <v>9757</v>
      </c>
      <c r="G484" s="247">
        <v>12500</v>
      </c>
      <c r="H484" s="295">
        <f t="shared" si="14"/>
        <v>2743</v>
      </c>
      <c r="I484" s="250">
        <f t="shared" si="15"/>
        <v>0.21944</v>
      </c>
    </row>
    <row r="485" spans="2:9" x14ac:dyDescent="0.3">
      <c r="B485" s="2">
        <v>958</v>
      </c>
      <c r="C485" s="41" t="s">
        <v>1688</v>
      </c>
      <c r="D485" s="2">
        <v>14</v>
      </c>
      <c r="E485" s="2" t="s">
        <v>81</v>
      </c>
      <c r="F485" s="294">
        <v>12174</v>
      </c>
      <c r="G485" s="247">
        <v>17300</v>
      </c>
      <c r="H485" s="295">
        <f t="shared" si="14"/>
        <v>5126</v>
      </c>
      <c r="I485" s="250">
        <f t="shared" si="15"/>
        <v>0.29630057803468207</v>
      </c>
    </row>
    <row r="486" spans="2:9" x14ac:dyDescent="0.3">
      <c r="B486" s="2">
        <v>959</v>
      </c>
      <c r="C486" s="41" t="s">
        <v>1689</v>
      </c>
      <c r="D486" s="2">
        <v>14</v>
      </c>
      <c r="E486" s="2" t="s">
        <v>81</v>
      </c>
      <c r="F486" s="294">
        <v>5826</v>
      </c>
      <c r="G486" s="247">
        <v>8000</v>
      </c>
      <c r="H486" s="295">
        <f t="shared" si="14"/>
        <v>2174</v>
      </c>
      <c r="I486" s="250">
        <f t="shared" si="15"/>
        <v>0.27174999999999999</v>
      </c>
    </row>
    <row r="487" spans="2:9" x14ac:dyDescent="0.3">
      <c r="B487" s="2">
        <v>960</v>
      </c>
      <c r="C487" s="41" t="s">
        <v>423</v>
      </c>
      <c r="D487" s="2">
        <v>14</v>
      </c>
      <c r="E487" s="2" t="s">
        <v>81</v>
      </c>
      <c r="F487" s="294">
        <v>5416.8</v>
      </c>
      <c r="G487" s="247">
        <v>6300</v>
      </c>
      <c r="H487" s="295">
        <f t="shared" si="14"/>
        <v>883.19999999999982</v>
      </c>
      <c r="I487" s="250">
        <f t="shared" si="15"/>
        <v>0.14019047619047617</v>
      </c>
    </row>
    <row r="488" spans="2:9" x14ac:dyDescent="0.3">
      <c r="B488" s="2">
        <v>962</v>
      </c>
      <c r="C488" s="41" t="s">
        <v>424</v>
      </c>
      <c r="D488" s="2">
        <v>14</v>
      </c>
      <c r="E488" s="2" t="s">
        <v>12</v>
      </c>
      <c r="F488" s="294">
        <v>16970</v>
      </c>
      <c r="G488" s="247">
        <v>21000</v>
      </c>
      <c r="H488" s="295">
        <f t="shared" si="14"/>
        <v>4030</v>
      </c>
      <c r="I488" s="250">
        <f t="shared" si="15"/>
        <v>0.19190476190476191</v>
      </c>
    </row>
    <row r="489" spans="2:9" x14ac:dyDescent="0.3">
      <c r="B489" s="2">
        <v>964</v>
      </c>
      <c r="C489" s="41" t="s">
        <v>1690</v>
      </c>
      <c r="D489" s="2">
        <v>7</v>
      </c>
      <c r="E489" s="2" t="s">
        <v>35</v>
      </c>
      <c r="F489" s="294">
        <v>10030</v>
      </c>
      <c r="G489" s="247">
        <v>12000</v>
      </c>
      <c r="H489" s="295">
        <f t="shared" si="14"/>
        <v>1970</v>
      </c>
      <c r="I489" s="250">
        <f t="shared" si="15"/>
        <v>0.16416666666666666</v>
      </c>
    </row>
    <row r="490" spans="2:9" x14ac:dyDescent="0.3">
      <c r="B490" s="2">
        <v>966</v>
      </c>
      <c r="C490" s="41" t="s">
        <v>1691</v>
      </c>
      <c r="D490" s="2">
        <v>7</v>
      </c>
      <c r="E490" s="2" t="s">
        <v>5</v>
      </c>
      <c r="F490" s="294">
        <v>13000</v>
      </c>
      <c r="G490" s="247">
        <v>16500</v>
      </c>
      <c r="H490" s="295">
        <f t="shared" si="14"/>
        <v>3500</v>
      </c>
      <c r="I490" s="250">
        <f t="shared" si="15"/>
        <v>0.21212121212121213</v>
      </c>
    </row>
    <row r="491" spans="2:9" x14ac:dyDescent="0.3">
      <c r="B491" s="2">
        <v>967</v>
      </c>
      <c r="C491" s="41" t="s">
        <v>425</v>
      </c>
      <c r="D491" s="2">
        <v>10</v>
      </c>
      <c r="E491" s="2" t="s">
        <v>12</v>
      </c>
      <c r="F491" s="294">
        <v>9699.9</v>
      </c>
      <c r="G491" s="247">
        <v>11583.333333333334</v>
      </c>
      <c r="H491" s="295">
        <f t="shared" si="14"/>
        <v>1883.4333333333343</v>
      </c>
      <c r="I491" s="250">
        <f t="shared" si="15"/>
        <v>0.16259856115107921</v>
      </c>
    </row>
    <row r="492" spans="2:9" x14ac:dyDescent="0.3">
      <c r="B492" s="2">
        <v>969</v>
      </c>
      <c r="C492" s="41" t="s">
        <v>1692</v>
      </c>
      <c r="D492" s="2">
        <v>2</v>
      </c>
      <c r="E492" s="2" t="s">
        <v>12</v>
      </c>
      <c r="F492" s="294">
        <v>153199.99799999999</v>
      </c>
      <c r="G492" s="247">
        <v>169000</v>
      </c>
      <c r="H492" s="295">
        <f t="shared" si="14"/>
        <v>15800.002000000008</v>
      </c>
      <c r="I492" s="250">
        <f t="shared" si="15"/>
        <v>9.3491136094674604E-2</v>
      </c>
    </row>
    <row r="493" spans="2:9" x14ac:dyDescent="0.3">
      <c r="B493" s="2">
        <v>974</v>
      </c>
      <c r="C493" s="41" t="s">
        <v>426</v>
      </c>
      <c r="D493" s="2">
        <v>2</v>
      </c>
      <c r="E493" s="2" t="s">
        <v>5</v>
      </c>
      <c r="F493" s="294">
        <v>2291.66</v>
      </c>
      <c r="G493" s="247">
        <v>2433.3333333333335</v>
      </c>
      <c r="H493" s="295">
        <f t="shared" si="14"/>
        <v>141.67333333333363</v>
      </c>
      <c r="I493" s="250">
        <f t="shared" si="15"/>
        <v>5.8221917808219295E-2</v>
      </c>
    </row>
    <row r="494" spans="2:9" x14ac:dyDescent="0.3">
      <c r="B494" s="2">
        <v>975</v>
      </c>
      <c r="C494" s="41" t="s">
        <v>427</v>
      </c>
      <c r="D494" s="2">
        <v>2</v>
      </c>
      <c r="E494" s="2" t="s">
        <v>237</v>
      </c>
      <c r="F494" s="294">
        <v>94500</v>
      </c>
      <c r="G494" s="247">
        <v>108833.33333333333</v>
      </c>
      <c r="H494" s="295">
        <f t="shared" si="14"/>
        <v>14333.333333333328</v>
      </c>
      <c r="I494" s="250">
        <f t="shared" si="15"/>
        <v>0.13169984686064315</v>
      </c>
    </row>
    <row r="495" spans="2:9" x14ac:dyDescent="0.3">
      <c r="B495" s="2">
        <v>976</v>
      </c>
      <c r="C495" s="41" t="s">
        <v>428</v>
      </c>
      <c r="D495" s="2">
        <v>2</v>
      </c>
      <c r="E495" s="2" t="s">
        <v>237</v>
      </c>
      <c r="F495" s="294">
        <v>98000</v>
      </c>
      <c r="G495" s="247">
        <v>117666.66666666667</v>
      </c>
      <c r="H495" s="295">
        <f t="shared" si="14"/>
        <v>19666.666666666672</v>
      </c>
      <c r="I495" s="250">
        <f t="shared" si="15"/>
        <v>0.16713881019830032</v>
      </c>
    </row>
    <row r="496" spans="2:9" x14ac:dyDescent="0.3">
      <c r="B496" s="2">
        <v>977</v>
      </c>
      <c r="C496" s="41" t="s">
        <v>1693</v>
      </c>
      <c r="D496" s="2">
        <v>2</v>
      </c>
      <c r="E496" s="2" t="s">
        <v>5</v>
      </c>
      <c r="F496" s="294">
        <v>78631.350000000006</v>
      </c>
      <c r="G496" s="247">
        <v>103300</v>
      </c>
      <c r="H496" s="295">
        <f t="shared" si="14"/>
        <v>24668.649999999994</v>
      </c>
      <c r="I496" s="250">
        <f t="shared" si="15"/>
        <v>0.23880590513068725</v>
      </c>
    </row>
    <row r="497" spans="2:9" x14ac:dyDescent="0.3">
      <c r="B497" s="2">
        <v>978</v>
      </c>
      <c r="C497" s="41" t="s">
        <v>429</v>
      </c>
      <c r="D497" s="2">
        <v>2</v>
      </c>
      <c r="E497" s="2" t="s">
        <v>5</v>
      </c>
      <c r="F497" s="294">
        <v>34917.75</v>
      </c>
      <c r="G497" s="247">
        <v>38200</v>
      </c>
      <c r="H497" s="295">
        <f t="shared" si="14"/>
        <v>3282.25</v>
      </c>
      <c r="I497" s="250">
        <f t="shared" si="15"/>
        <v>8.5922774869109944E-2</v>
      </c>
    </row>
    <row r="498" spans="2:9" x14ac:dyDescent="0.3">
      <c r="B498" s="2">
        <v>979</v>
      </c>
      <c r="C498" s="41" t="s">
        <v>430</v>
      </c>
      <c r="D498" s="2">
        <v>2</v>
      </c>
      <c r="E498" s="2" t="s">
        <v>5</v>
      </c>
      <c r="F498" s="294">
        <v>1639.0921000000001</v>
      </c>
      <c r="G498" s="247">
        <v>1983.3333333333333</v>
      </c>
      <c r="H498" s="295">
        <f t="shared" si="14"/>
        <v>344.24123333333318</v>
      </c>
      <c r="I498" s="250">
        <f t="shared" si="15"/>
        <v>0.17356700840336128</v>
      </c>
    </row>
    <row r="499" spans="2:9" x14ac:dyDescent="0.3">
      <c r="B499" s="2">
        <v>980</v>
      </c>
      <c r="C499" s="41" t="s">
        <v>431</v>
      </c>
      <c r="D499" s="2">
        <v>14</v>
      </c>
      <c r="E499" s="2" t="s">
        <v>419</v>
      </c>
      <c r="F499" s="294">
        <v>79856</v>
      </c>
      <c r="G499" s="247">
        <v>87716.666666666672</v>
      </c>
      <c r="H499" s="295">
        <f t="shared" si="14"/>
        <v>7860.6666666666715</v>
      </c>
      <c r="I499" s="250">
        <f t="shared" si="15"/>
        <v>8.9614288428652905E-2</v>
      </c>
    </row>
    <row r="500" spans="2:9" x14ac:dyDescent="0.3">
      <c r="B500" s="2">
        <v>981</v>
      </c>
      <c r="C500" s="41" t="s">
        <v>432</v>
      </c>
      <c r="D500" s="2">
        <v>12</v>
      </c>
      <c r="E500" s="2" t="s">
        <v>12</v>
      </c>
      <c r="F500" s="294">
        <v>2700</v>
      </c>
      <c r="G500" s="247">
        <v>3200</v>
      </c>
      <c r="H500" s="295">
        <f t="shared" si="14"/>
        <v>500</v>
      </c>
      <c r="I500" s="250">
        <f t="shared" si="15"/>
        <v>0.15625</v>
      </c>
    </row>
    <row r="501" spans="2:9" x14ac:dyDescent="0.3">
      <c r="B501" s="2">
        <v>982</v>
      </c>
      <c r="C501" s="41" t="s">
        <v>433</v>
      </c>
      <c r="D501" s="2">
        <v>2</v>
      </c>
      <c r="E501" s="2" t="s">
        <v>5</v>
      </c>
      <c r="F501" s="294">
        <v>2200</v>
      </c>
      <c r="G501" s="247">
        <v>2750</v>
      </c>
      <c r="H501" s="295">
        <f t="shared" si="14"/>
        <v>550</v>
      </c>
      <c r="I501" s="250">
        <f t="shared" si="15"/>
        <v>0.2</v>
      </c>
    </row>
    <row r="502" spans="2:9" x14ac:dyDescent="0.3">
      <c r="B502" s="2">
        <v>984</v>
      </c>
      <c r="C502" s="41" t="s">
        <v>434</v>
      </c>
      <c r="D502" s="2">
        <v>6</v>
      </c>
      <c r="E502" s="2" t="s">
        <v>5</v>
      </c>
      <c r="F502" s="294">
        <v>497000</v>
      </c>
      <c r="G502" s="247">
        <v>538000</v>
      </c>
      <c r="H502" s="295">
        <f t="shared" si="14"/>
        <v>41000</v>
      </c>
      <c r="I502" s="250">
        <f t="shared" si="15"/>
        <v>7.6208178438661706E-2</v>
      </c>
    </row>
    <row r="503" spans="2:9" x14ac:dyDescent="0.3">
      <c r="B503" s="2">
        <v>988</v>
      </c>
      <c r="C503" s="41" t="s">
        <v>435</v>
      </c>
      <c r="D503" s="2">
        <v>9</v>
      </c>
      <c r="E503" s="2" t="s">
        <v>12</v>
      </c>
      <c r="F503" s="294">
        <v>14308</v>
      </c>
      <c r="G503" s="247">
        <v>16500</v>
      </c>
      <c r="H503" s="295">
        <f t="shared" si="14"/>
        <v>2192</v>
      </c>
      <c r="I503" s="250">
        <f t="shared" si="15"/>
        <v>0.13284848484848485</v>
      </c>
    </row>
    <row r="504" spans="2:9" x14ac:dyDescent="0.3">
      <c r="B504" s="2">
        <v>997</v>
      </c>
      <c r="C504" s="41" t="s">
        <v>1694</v>
      </c>
      <c r="D504" s="2">
        <v>8</v>
      </c>
      <c r="E504" s="2" t="s">
        <v>41</v>
      </c>
      <c r="F504" s="294">
        <v>121250</v>
      </c>
      <c r="G504" s="247">
        <v>143000</v>
      </c>
      <c r="H504" s="295">
        <f t="shared" si="14"/>
        <v>21750</v>
      </c>
      <c r="I504" s="250">
        <f t="shared" si="15"/>
        <v>0.15209790209790211</v>
      </c>
    </row>
    <row r="505" spans="2:9" x14ac:dyDescent="0.3">
      <c r="B505" s="2">
        <v>998</v>
      </c>
      <c r="C505" s="41" t="s">
        <v>1695</v>
      </c>
      <c r="D505" s="2">
        <v>7</v>
      </c>
      <c r="E505" s="2" t="s">
        <v>160</v>
      </c>
      <c r="F505" s="294">
        <v>7140</v>
      </c>
      <c r="G505" s="247">
        <v>8066.666666666667</v>
      </c>
      <c r="H505" s="295">
        <f t="shared" si="14"/>
        <v>926.66666666666697</v>
      </c>
      <c r="I505" s="250">
        <f t="shared" si="15"/>
        <v>0.11487603305785127</v>
      </c>
    </row>
    <row r="506" spans="2:9" x14ac:dyDescent="0.3">
      <c r="B506" s="2">
        <v>1000</v>
      </c>
      <c r="C506" s="41" t="s">
        <v>1696</v>
      </c>
      <c r="D506" s="2">
        <v>5</v>
      </c>
      <c r="E506" s="2" t="s">
        <v>5</v>
      </c>
      <c r="F506" s="294">
        <v>10738.56</v>
      </c>
      <c r="G506" s="247">
        <v>12600</v>
      </c>
      <c r="H506" s="295">
        <f t="shared" si="14"/>
        <v>1861.4400000000005</v>
      </c>
      <c r="I506" s="250">
        <f t="shared" si="15"/>
        <v>0.14773333333333338</v>
      </c>
    </row>
    <row r="507" spans="2:9" x14ac:dyDescent="0.3">
      <c r="B507" s="2">
        <v>1001</v>
      </c>
      <c r="C507" s="41" t="s">
        <v>436</v>
      </c>
      <c r="D507" s="2">
        <v>5</v>
      </c>
      <c r="E507" s="2" t="s">
        <v>16</v>
      </c>
      <c r="F507" s="294">
        <v>42000</v>
      </c>
      <c r="G507" s="247">
        <v>52666.666666666664</v>
      </c>
      <c r="H507" s="295">
        <f t="shared" si="14"/>
        <v>10666.666666666664</v>
      </c>
      <c r="I507" s="250">
        <f t="shared" si="15"/>
        <v>0.20253164556962022</v>
      </c>
    </row>
    <row r="508" spans="2:9" x14ac:dyDescent="0.3">
      <c r="B508" s="2">
        <v>1003</v>
      </c>
      <c r="C508" s="41" t="s">
        <v>437</v>
      </c>
      <c r="D508" s="2">
        <v>2</v>
      </c>
      <c r="E508" s="2" t="s">
        <v>5</v>
      </c>
      <c r="F508" s="294">
        <v>22150.002</v>
      </c>
      <c r="G508" s="247">
        <v>25583.333333333332</v>
      </c>
      <c r="H508" s="295">
        <f t="shared" si="14"/>
        <v>3433.3313333333317</v>
      </c>
      <c r="I508" s="250">
        <f t="shared" si="15"/>
        <v>0.13420187622149832</v>
      </c>
    </row>
    <row r="509" spans="2:9" x14ac:dyDescent="0.3">
      <c r="B509" s="2">
        <v>1011</v>
      </c>
      <c r="C509" s="41" t="s">
        <v>438</v>
      </c>
      <c r="D509" s="2">
        <v>14</v>
      </c>
      <c r="E509" s="2" t="s">
        <v>81</v>
      </c>
      <c r="F509" s="294">
        <v>6693</v>
      </c>
      <c r="G509" s="247">
        <v>8500</v>
      </c>
      <c r="H509" s="295">
        <f t="shared" si="14"/>
        <v>1807</v>
      </c>
      <c r="I509" s="250">
        <f t="shared" si="15"/>
        <v>0.21258823529411763</v>
      </c>
    </row>
    <row r="510" spans="2:9" x14ac:dyDescent="0.3">
      <c r="B510" s="2">
        <v>1015</v>
      </c>
      <c r="C510" s="41" t="s">
        <v>439</v>
      </c>
      <c r="D510" s="2">
        <v>14</v>
      </c>
      <c r="E510" s="2" t="s">
        <v>56</v>
      </c>
      <c r="F510" s="294">
        <v>36485</v>
      </c>
      <c r="G510" s="247">
        <v>44916.666666666664</v>
      </c>
      <c r="H510" s="295">
        <f t="shared" si="14"/>
        <v>8431.6666666666642</v>
      </c>
      <c r="I510" s="250">
        <f t="shared" si="15"/>
        <v>0.18771799628942482</v>
      </c>
    </row>
    <row r="511" spans="2:9" x14ac:dyDescent="0.3">
      <c r="B511" s="2">
        <v>1017</v>
      </c>
      <c r="C511" s="41" t="s">
        <v>440</v>
      </c>
      <c r="D511" s="2">
        <v>14</v>
      </c>
      <c r="E511" s="2" t="s">
        <v>32</v>
      </c>
      <c r="F511" s="294">
        <v>21157</v>
      </c>
      <c r="G511" s="247">
        <v>25500</v>
      </c>
      <c r="H511" s="295">
        <f t="shared" si="14"/>
        <v>4343</v>
      </c>
      <c r="I511" s="250">
        <f t="shared" si="15"/>
        <v>0.17031372549019608</v>
      </c>
    </row>
    <row r="512" spans="2:9" x14ac:dyDescent="0.3">
      <c r="B512" s="2">
        <v>1018</v>
      </c>
      <c r="C512" s="41" t="s">
        <v>1697</v>
      </c>
      <c r="D512" s="2">
        <v>14</v>
      </c>
      <c r="E512" s="2" t="s">
        <v>81</v>
      </c>
      <c r="F512" s="294">
        <v>62319</v>
      </c>
      <c r="G512" s="247">
        <v>69200</v>
      </c>
      <c r="H512" s="295">
        <f t="shared" si="14"/>
        <v>6881</v>
      </c>
      <c r="I512" s="250">
        <f t="shared" si="15"/>
        <v>9.9436416184971094E-2</v>
      </c>
    </row>
    <row r="513" spans="2:9" x14ac:dyDescent="0.3">
      <c r="B513" s="2">
        <v>1020</v>
      </c>
      <c r="C513" s="41" t="s">
        <v>441</v>
      </c>
      <c r="D513" s="2">
        <v>10</v>
      </c>
      <c r="E513" s="2" t="s">
        <v>12</v>
      </c>
      <c r="F513" s="294">
        <v>12971</v>
      </c>
      <c r="G513" s="247">
        <v>15200</v>
      </c>
      <c r="H513" s="295">
        <f t="shared" si="14"/>
        <v>2229</v>
      </c>
      <c r="I513" s="250">
        <f t="shared" si="15"/>
        <v>0.14664473684210527</v>
      </c>
    </row>
    <row r="514" spans="2:9" x14ac:dyDescent="0.3">
      <c r="B514" s="2">
        <v>1025</v>
      </c>
      <c r="C514" s="41" t="s">
        <v>442</v>
      </c>
      <c r="D514" s="2">
        <v>2</v>
      </c>
      <c r="E514" s="2" t="s">
        <v>5</v>
      </c>
      <c r="F514" s="294">
        <v>20979</v>
      </c>
      <c r="G514" s="247">
        <v>23516.666666666668</v>
      </c>
      <c r="H514" s="295">
        <f t="shared" si="14"/>
        <v>2537.6666666666679</v>
      </c>
      <c r="I514" s="250">
        <f t="shared" si="15"/>
        <v>0.107909284195606</v>
      </c>
    </row>
    <row r="515" spans="2:9" x14ac:dyDescent="0.3">
      <c r="B515" s="2">
        <v>1027</v>
      </c>
      <c r="C515" s="41" t="s">
        <v>443</v>
      </c>
      <c r="D515" s="2">
        <v>7</v>
      </c>
      <c r="E515" s="2" t="s">
        <v>21</v>
      </c>
      <c r="F515" s="294">
        <v>2800</v>
      </c>
      <c r="G515" s="247">
        <v>6400</v>
      </c>
      <c r="H515" s="295">
        <f t="shared" si="14"/>
        <v>3600</v>
      </c>
      <c r="I515" s="250">
        <f t="shared" si="15"/>
        <v>0.5625</v>
      </c>
    </row>
    <row r="516" spans="2:9" x14ac:dyDescent="0.3">
      <c r="B516" s="2">
        <v>1028</v>
      </c>
      <c r="C516" s="41" t="s">
        <v>444</v>
      </c>
      <c r="D516" s="2">
        <v>1</v>
      </c>
      <c r="E516" s="2" t="s">
        <v>5</v>
      </c>
      <c r="F516" s="294">
        <v>4149</v>
      </c>
      <c r="G516" s="247">
        <v>5200</v>
      </c>
      <c r="H516" s="295">
        <f t="shared" si="14"/>
        <v>1051</v>
      </c>
      <c r="I516" s="250">
        <f t="shared" si="15"/>
        <v>0.20211538461538461</v>
      </c>
    </row>
    <row r="517" spans="2:9" x14ac:dyDescent="0.3">
      <c r="B517" s="2">
        <v>1030</v>
      </c>
      <c r="C517" s="41" t="s">
        <v>445</v>
      </c>
      <c r="D517" s="2">
        <v>10</v>
      </c>
      <c r="E517" s="2" t="s">
        <v>12</v>
      </c>
      <c r="F517" s="294">
        <v>18099.900000000001</v>
      </c>
      <c r="G517" s="247">
        <v>21500</v>
      </c>
      <c r="H517" s="295">
        <f t="shared" si="14"/>
        <v>3400.0999999999985</v>
      </c>
      <c r="I517" s="250">
        <f t="shared" si="15"/>
        <v>0.15814418604651156</v>
      </c>
    </row>
    <row r="518" spans="2:9" x14ac:dyDescent="0.3">
      <c r="B518" s="2">
        <v>1032</v>
      </c>
      <c r="C518" s="41" t="s">
        <v>447</v>
      </c>
      <c r="D518" s="2">
        <v>9</v>
      </c>
      <c r="E518" s="2" t="s">
        <v>338</v>
      </c>
      <c r="F518" s="294">
        <v>2313.9549999999999</v>
      </c>
      <c r="G518" s="247">
        <v>2866.6666666666665</v>
      </c>
      <c r="H518" s="295">
        <f t="shared" ref="H518:H581" si="16">G518-F518</f>
        <v>552.71166666666659</v>
      </c>
      <c r="I518" s="250">
        <f t="shared" ref="I518:I581" si="17">H518/G518</f>
        <v>0.1928063953488372</v>
      </c>
    </row>
    <row r="519" spans="2:9" x14ac:dyDescent="0.3">
      <c r="B519" s="2">
        <v>1033</v>
      </c>
      <c r="C519" s="41" t="s">
        <v>448</v>
      </c>
      <c r="D519" s="2">
        <v>8</v>
      </c>
      <c r="E519" s="2" t="s">
        <v>16</v>
      </c>
      <c r="F519" s="294">
        <v>56509.8</v>
      </c>
      <c r="G519" s="247">
        <v>66966.666666666672</v>
      </c>
      <c r="H519" s="295">
        <f t="shared" si="16"/>
        <v>10456.866666666669</v>
      </c>
      <c r="I519" s="250">
        <f t="shared" si="17"/>
        <v>0.15615032354405178</v>
      </c>
    </row>
    <row r="520" spans="2:9" x14ac:dyDescent="0.3">
      <c r="B520" s="2">
        <v>1036</v>
      </c>
      <c r="C520" s="41" t="s">
        <v>1698</v>
      </c>
      <c r="D520" s="2">
        <v>12</v>
      </c>
      <c r="E520" s="2" t="s">
        <v>12</v>
      </c>
      <c r="F520" s="294">
        <v>14498.96</v>
      </c>
      <c r="G520" s="247">
        <v>25000</v>
      </c>
      <c r="H520" s="295">
        <f t="shared" si="16"/>
        <v>10501.04</v>
      </c>
      <c r="I520" s="250">
        <f t="shared" si="17"/>
        <v>0.42004160000000001</v>
      </c>
    </row>
    <row r="521" spans="2:9" x14ac:dyDescent="0.3">
      <c r="B521" s="2">
        <v>1037</v>
      </c>
      <c r="C521" s="41" t="s">
        <v>1699</v>
      </c>
      <c r="D521" s="2">
        <v>9</v>
      </c>
      <c r="E521" s="2" t="s">
        <v>12</v>
      </c>
      <c r="F521" s="294">
        <v>14000</v>
      </c>
      <c r="G521" s="247">
        <v>17900</v>
      </c>
      <c r="H521" s="295">
        <f t="shared" si="16"/>
        <v>3900</v>
      </c>
      <c r="I521" s="250">
        <f t="shared" si="17"/>
        <v>0.21787709497206703</v>
      </c>
    </row>
    <row r="522" spans="2:9" x14ac:dyDescent="0.3">
      <c r="B522" s="2">
        <v>1038</v>
      </c>
      <c r="C522" s="41" t="s">
        <v>449</v>
      </c>
      <c r="D522" s="2">
        <v>9</v>
      </c>
      <c r="E522" s="2" t="s">
        <v>227</v>
      </c>
      <c r="F522" s="294">
        <v>79486.05</v>
      </c>
      <c r="G522" s="247">
        <v>103700</v>
      </c>
      <c r="H522" s="295">
        <f t="shared" si="16"/>
        <v>24213.949999999997</v>
      </c>
      <c r="I522" s="250">
        <f t="shared" si="17"/>
        <v>0.23349999999999999</v>
      </c>
    </row>
    <row r="523" spans="2:9" x14ac:dyDescent="0.3">
      <c r="B523" s="2">
        <v>1042</v>
      </c>
      <c r="C523" s="41" t="s">
        <v>1700</v>
      </c>
      <c r="D523" s="2">
        <v>5</v>
      </c>
      <c r="E523" s="2" t="s">
        <v>1701</v>
      </c>
      <c r="F523" s="294">
        <v>107400</v>
      </c>
      <c r="G523" s="247">
        <v>150800</v>
      </c>
      <c r="H523" s="295">
        <f t="shared" si="16"/>
        <v>43400</v>
      </c>
      <c r="I523" s="250">
        <f t="shared" si="17"/>
        <v>0.28779840848806365</v>
      </c>
    </row>
    <row r="524" spans="2:9" x14ac:dyDescent="0.3">
      <c r="B524" s="2">
        <v>1043</v>
      </c>
      <c r="C524" s="41" t="s">
        <v>450</v>
      </c>
      <c r="D524" s="2">
        <v>9</v>
      </c>
      <c r="E524" s="2" t="s">
        <v>338</v>
      </c>
      <c r="F524" s="294">
        <v>1144.1837</v>
      </c>
      <c r="G524" s="247">
        <v>1900</v>
      </c>
      <c r="H524" s="295">
        <f t="shared" si="16"/>
        <v>755.81629999999996</v>
      </c>
      <c r="I524" s="250">
        <f t="shared" si="17"/>
        <v>0.39779805263157891</v>
      </c>
    </row>
    <row r="525" spans="2:9" x14ac:dyDescent="0.3">
      <c r="B525" s="2">
        <v>1044</v>
      </c>
      <c r="C525" s="41" t="s">
        <v>451</v>
      </c>
      <c r="D525" s="2">
        <v>7</v>
      </c>
      <c r="E525" s="2" t="s">
        <v>21</v>
      </c>
      <c r="F525" s="294">
        <v>2480</v>
      </c>
      <c r="G525" s="247">
        <v>4100</v>
      </c>
      <c r="H525" s="295">
        <f t="shared" si="16"/>
        <v>1620</v>
      </c>
      <c r="I525" s="250">
        <f t="shared" si="17"/>
        <v>0.39512195121951221</v>
      </c>
    </row>
    <row r="526" spans="2:9" x14ac:dyDescent="0.3">
      <c r="B526" s="2">
        <v>1046</v>
      </c>
      <c r="C526" s="41" t="s">
        <v>452</v>
      </c>
      <c r="D526" s="2">
        <v>1</v>
      </c>
      <c r="E526" s="2" t="s">
        <v>5</v>
      </c>
      <c r="F526" s="294">
        <v>4590</v>
      </c>
      <c r="G526" s="247">
        <v>5900</v>
      </c>
      <c r="H526" s="295">
        <f t="shared" si="16"/>
        <v>1310</v>
      </c>
      <c r="I526" s="250">
        <f t="shared" si="17"/>
        <v>0.22203389830508474</v>
      </c>
    </row>
    <row r="527" spans="2:9" x14ac:dyDescent="0.3">
      <c r="B527" s="2">
        <v>1049</v>
      </c>
      <c r="C527" s="41" t="s">
        <v>453</v>
      </c>
      <c r="D527" s="2">
        <v>7</v>
      </c>
      <c r="E527" s="2" t="s">
        <v>5</v>
      </c>
      <c r="F527" s="294">
        <v>5760</v>
      </c>
      <c r="G527" s="247">
        <v>7000</v>
      </c>
      <c r="H527" s="295">
        <f t="shared" si="16"/>
        <v>1240</v>
      </c>
      <c r="I527" s="250">
        <f t="shared" si="17"/>
        <v>0.17714285714285713</v>
      </c>
    </row>
    <row r="528" spans="2:9" x14ac:dyDescent="0.3">
      <c r="B528" s="2">
        <v>1052</v>
      </c>
      <c r="C528" s="41" t="s">
        <v>454</v>
      </c>
      <c r="D528" s="2">
        <v>2</v>
      </c>
      <c r="E528" s="2" t="s">
        <v>243</v>
      </c>
      <c r="F528" s="294">
        <v>81152.820000000007</v>
      </c>
      <c r="G528" s="247">
        <v>91200</v>
      </c>
      <c r="H528" s="295">
        <f t="shared" si="16"/>
        <v>10047.179999999993</v>
      </c>
      <c r="I528" s="250">
        <f t="shared" si="17"/>
        <v>0.11016644736842097</v>
      </c>
    </row>
    <row r="529" spans="2:9" x14ac:dyDescent="0.3">
      <c r="B529" s="2">
        <v>1053</v>
      </c>
      <c r="C529" s="41" t="s">
        <v>455</v>
      </c>
      <c r="D529" s="2">
        <v>9</v>
      </c>
      <c r="E529" s="2" t="s">
        <v>12</v>
      </c>
      <c r="F529" s="294">
        <v>25888.45</v>
      </c>
      <c r="G529" s="247">
        <v>28200</v>
      </c>
      <c r="H529" s="295">
        <f t="shared" si="16"/>
        <v>2311.5499999999993</v>
      </c>
      <c r="I529" s="250">
        <f t="shared" si="17"/>
        <v>8.196985815602835E-2</v>
      </c>
    </row>
    <row r="530" spans="2:9" x14ac:dyDescent="0.3">
      <c r="B530" s="2">
        <v>1054</v>
      </c>
      <c r="C530" s="41" t="s">
        <v>456</v>
      </c>
      <c r="D530" s="2">
        <v>9</v>
      </c>
      <c r="E530" s="2" t="s">
        <v>12</v>
      </c>
      <c r="F530" s="294">
        <v>16279.2</v>
      </c>
      <c r="G530" s="247">
        <v>18500</v>
      </c>
      <c r="H530" s="295">
        <f t="shared" si="16"/>
        <v>2220.7999999999993</v>
      </c>
      <c r="I530" s="250">
        <f t="shared" si="17"/>
        <v>0.1200432432432432</v>
      </c>
    </row>
    <row r="531" spans="2:9" x14ac:dyDescent="0.3">
      <c r="B531" s="2">
        <v>1057</v>
      </c>
      <c r="C531" s="41" t="s">
        <v>457</v>
      </c>
      <c r="D531" s="2">
        <v>7</v>
      </c>
      <c r="E531" s="2" t="s">
        <v>160</v>
      </c>
      <c r="F531" s="294">
        <v>2480</v>
      </c>
      <c r="G531" s="247">
        <v>4100</v>
      </c>
      <c r="H531" s="295">
        <f t="shared" si="16"/>
        <v>1620</v>
      </c>
      <c r="I531" s="250">
        <f t="shared" si="17"/>
        <v>0.39512195121951221</v>
      </c>
    </row>
    <row r="532" spans="2:9" x14ac:dyDescent="0.3">
      <c r="B532" s="2">
        <v>1058</v>
      </c>
      <c r="C532" s="41" t="s">
        <v>458</v>
      </c>
      <c r="D532" s="2">
        <v>7</v>
      </c>
      <c r="E532" s="2" t="s">
        <v>12</v>
      </c>
      <c r="F532" s="294">
        <v>2800</v>
      </c>
      <c r="G532" s="247">
        <v>3400</v>
      </c>
      <c r="H532" s="295">
        <f t="shared" si="16"/>
        <v>600</v>
      </c>
      <c r="I532" s="250">
        <f t="shared" si="17"/>
        <v>0.17647058823529413</v>
      </c>
    </row>
    <row r="533" spans="2:9" x14ac:dyDescent="0.3">
      <c r="B533" s="2">
        <v>1062</v>
      </c>
      <c r="C533" s="41" t="s">
        <v>459</v>
      </c>
      <c r="D533" s="2">
        <v>7</v>
      </c>
      <c r="E533" s="2" t="s">
        <v>446</v>
      </c>
      <c r="F533" s="294">
        <v>1190</v>
      </c>
      <c r="G533" s="247">
        <v>1966.6666666666667</v>
      </c>
      <c r="H533" s="295">
        <f t="shared" si="16"/>
        <v>776.66666666666674</v>
      </c>
      <c r="I533" s="250">
        <f t="shared" si="17"/>
        <v>0.39491525423728818</v>
      </c>
    </row>
    <row r="534" spans="2:9" x14ac:dyDescent="0.3">
      <c r="B534" s="2">
        <v>1063</v>
      </c>
      <c r="C534" s="41" t="s">
        <v>460</v>
      </c>
      <c r="D534" s="2">
        <v>7</v>
      </c>
      <c r="E534" s="2" t="s">
        <v>160</v>
      </c>
      <c r="F534" s="294">
        <v>1190</v>
      </c>
      <c r="G534" s="247">
        <v>1716.6666666666667</v>
      </c>
      <c r="H534" s="295">
        <f t="shared" si="16"/>
        <v>526.66666666666674</v>
      </c>
      <c r="I534" s="250">
        <f t="shared" si="17"/>
        <v>0.30679611650485439</v>
      </c>
    </row>
    <row r="535" spans="2:9" x14ac:dyDescent="0.3">
      <c r="B535" s="2">
        <v>1064</v>
      </c>
      <c r="C535" s="41" t="s">
        <v>461</v>
      </c>
      <c r="D535" s="2">
        <v>7</v>
      </c>
      <c r="E535" s="2" t="s">
        <v>160</v>
      </c>
      <c r="F535" s="294">
        <v>1190</v>
      </c>
      <c r="G535" s="247">
        <v>1800</v>
      </c>
      <c r="H535" s="295">
        <f t="shared" si="16"/>
        <v>610</v>
      </c>
      <c r="I535" s="250">
        <f t="shared" si="17"/>
        <v>0.33888888888888891</v>
      </c>
    </row>
    <row r="536" spans="2:9" x14ac:dyDescent="0.3">
      <c r="B536" s="2">
        <v>1065</v>
      </c>
      <c r="C536" s="41" t="s">
        <v>462</v>
      </c>
      <c r="D536" s="2">
        <v>7</v>
      </c>
      <c r="E536" s="2" t="s">
        <v>21</v>
      </c>
      <c r="F536" s="294">
        <v>3325</v>
      </c>
      <c r="G536" s="247">
        <v>4016.6666666666665</v>
      </c>
      <c r="H536" s="295">
        <f t="shared" si="16"/>
        <v>691.66666666666652</v>
      </c>
      <c r="I536" s="250">
        <f t="shared" si="17"/>
        <v>0.1721991701244813</v>
      </c>
    </row>
    <row r="537" spans="2:9" x14ac:dyDescent="0.3">
      <c r="B537" s="2">
        <v>1066</v>
      </c>
      <c r="C537" s="41" t="s">
        <v>463</v>
      </c>
      <c r="D537" s="2">
        <v>7</v>
      </c>
      <c r="E537" s="2" t="s">
        <v>12</v>
      </c>
      <c r="F537" s="294">
        <v>5310</v>
      </c>
      <c r="G537" s="247">
        <v>6500</v>
      </c>
      <c r="H537" s="295">
        <f t="shared" si="16"/>
        <v>1190</v>
      </c>
      <c r="I537" s="250">
        <f t="shared" si="17"/>
        <v>0.18307692307692308</v>
      </c>
    </row>
    <row r="538" spans="2:9" x14ac:dyDescent="0.3">
      <c r="B538" s="2">
        <v>1069</v>
      </c>
      <c r="C538" s="41" t="s">
        <v>464</v>
      </c>
      <c r="D538" s="2">
        <v>7</v>
      </c>
      <c r="E538" s="2" t="s">
        <v>12</v>
      </c>
      <c r="F538" s="294">
        <v>5900</v>
      </c>
      <c r="G538" s="247">
        <v>8000</v>
      </c>
      <c r="H538" s="295">
        <f t="shared" si="16"/>
        <v>2100</v>
      </c>
      <c r="I538" s="250">
        <f t="shared" si="17"/>
        <v>0.26250000000000001</v>
      </c>
    </row>
    <row r="539" spans="2:9" x14ac:dyDescent="0.3">
      <c r="B539" s="2">
        <v>1070</v>
      </c>
      <c r="C539" s="41" t="s">
        <v>1702</v>
      </c>
      <c r="D539" s="2">
        <v>7</v>
      </c>
      <c r="E539" s="2" t="s">
        <v>21</v>
      </c>
      <c r="F539" s="294">
        <v>2480</v>
      </c>
      <c r="G539" s="247">
        <v>4100</v>
      </c>
      <c r="H539" s="295">
        <f t="shared" si="16"/>
        <v>1620</v>
      </c>
      <c r="I539" s="250">
        <f t="shared" si="17"/>
        <v>0.39512195121951221</v>
      </c>
    </row>
    <row r="540" spans="2:9" x14ac:dyDescent="0.3">
      <c r="B540" s="2">
        <v>1071</v>
      </c>
      <c r="C540" s="41" t="s">
        <v>465</v>
      </c>
      <c r="D540" s="2">
        <v>2</v>
      </c>
      <c r="E540" s="2" t="s">
        <v>21</v>
      </c>
      <c r="F540" s="294">
        <v>3400</v>
      </c>
      <c r="G540" s="247">
        <v>4000</v>
      </c>
      <c r="H540" s="295">
        <f t="shared" si="16"/>
        <v>600</v>
      </c>
      <c r="I540" s="250">
        <f t="shared" si="17"/>
        <v>0.15</v>
      </c>
    </row>
    <row r="541" spans="2:9" x14ac:dyDescent="0.3">
      <c r="B541" s="2">
        <v>1072</v>
      </c>
      <c r="C541" s="41" t="s">
        <v>466</v>
      </c>
      <c r="D541" s="2">
        <v>7</v>
      </c>
      <c r="E541" s="2" t="s">
        <v>160</v>
      </c>
      <c r="F541" s="294">
        <v>2230</v>
      </c>
      <c r="G541" s="247">
        <v>2400</v>
      </c>
      <c r="H541" s="295">
        <f t="shared" si="16"/>
        <v>170</v>
      </c>
      <c r="I541" s="250">
        <f t="shared" si="17"/>
        <v>7.0833333333333331E-2</v>
      </c>
    </row>
    <row r="542" spans="2:9" x14ac:dyDescent="0.3">
      <c r="B542" s="2">
        <v>1073</v>
      </c>
      <c r="C542" s="41" t="s">
        <v>467</v>
      </c>
      <c r="D542" s="2">
        <v>7</v>
      </c>
      <c r="E542" s="2" t="s">
        <v>21</v>
      </c>
      <c r="F542" s="294">
        <v>2420</v>
      </c>
      <c r="G542" s="247">
        <v>2750</v>
      </c>
      <c r="H542" s="295">
        <f t="shared" si="16"/>
        <v>330</v>
      </c>
      <c r="I542" s="250">
        <f t="shared" si="17"/>
        <v>0.12</v>
      </c>
    </row>
    <row r="543" spans="2:9" x14ac:dyDescent="0.3">
      <c r="B543" s="2">
        <v>1075</v>
      </c>
      <c r="C543" s="41" t="s">
        <v>468</v>
      </c>
      <c r="D543" s="2">
        <v>7</v>
      </c>
      <c r="E543" s="2" t="s">
        <v>21</v>
      </c>
      <c r="F543" s="294">
        <v>2800</v>
      </c>
      <c r="G543" s="247">
        <v>3800</v>
      </c>
      <c r="H543" s="295">
        <f t="shared" si="16"/>
        <v>1000</v>
      </c>
      <c r="I543" s="250">
        <f t="shared" si="17"/>
        <v>0.26315789473684209</v>
      </c>
    </row>
    <row r="544" spans="2:9" x14ac:dyDescent="0.3">
      <c r="B544" s="2">
        <v>1076</v>
      </c>
      <c r="C544" s="41" t="s">
        <v>469</v>
      </c>
      <c r="D544" s="2">
        <v>7</v>
      </c>
      <c r="E544" s="2" t="s">
        <v>21</v>
      </c>
      <c r="F544" s="294">
        <v>2800</v>
      </c>
      <c r="G544" s="247">
        <v>3200</v>
      </c>
      <c r="H544" s="295">
        <f t="shared" si="16"/>
        <v>400</v>
      </c>
      <c r="I544" s="250">
        <f t="shared" si="17"/>
        <v>0.125</v>
      </c>
    </row>
    <row r="545" spans="2:9" x14ac:dyDescent="0.3">
      <c r="B545" s="2">
        <v>1077</v>
      </c>
      <c r="C545" s="41" t="s">
        <v>470</v>
      </c>
      <c r="D545" s="2">
        <v>7</v>
      </c>
      <c r="E545" s="2" t="s">
        <v>21</v>
      </c>
      <c r="F545" s="294">
        <v>2800</v>
      </c>
      <c r="G545" s="247">
        <v>3200</v>
      </c>
      <c r="H545" s="295">
        <f t="shared" si="16"/>
        <v>400</v>
      </c>
      <c r="I545" s="250">
        <f t="shared" si="17"/>
        <v>0.125</v>
      </c>
    </row>
    <row r="546" spans="2:9" x14ac:dyDescent="0.3">
      <c r="B546" s="2">
        <v>1081</v>
      </c>
      <c r="C546" s="41" t="s">
        <v>471</v>
      </c>
      <c r="D546" s="2">
        <v>7</v>
      </c>
      <c r="E546" s="2" t="s">
        <v>21</v>
      </c>
      <c r="F546" s="294">
        <v>2800</v>
      </c>
      <c r="G546" s="247">
        <v>3250</v>
      </c>
      <c r="H546" s="295">
        <f t="shared" si="16"/>
        <v>450</v>
      </c>
      <c r="I546" s="250">
        <f t="shared" si="17"/>
        <v>0.13846153846153847</v>
      </c>
    </row>
    <row r="547" spans="2:9" x14ac:dyDescent="0.3">
      <c r="B547" s="2">
        <v>1084</v>
      </c>
      <c r="C547" s="41" t="s">
        <v>472</v>
      </c>
      <c r="D547" s="2">
        <v>7</v>
      </c>
      <c r="E547" s="2" t="s">
        <v>21</v>
      </c>
      <c r="F547" s="294">
        <v>11800</v>
      </c>
      <c r="G547" s="247">
        <v>12000</v>
      </c>
      <c r="H547" s="295">
        <f t="shared" si="16"/>
        <v>200</v>
      </c>
      <c r="I547" s="250">
        <f t="shared" si="17"/>
        <v>1.6666666666666666E-2</v>
      </c>
    </row>
    <row r="548" spans="2:9" x14ac:dyDescent="0.3">
      <c r="B548" s="2">
        <v>1085</v>
      </c>
      <c r="C548" s="41" t="s">
        <v>1703</v>
      </c>
      <c r="D548" s="2">
        <v>7</v>
      </c>
      <c r="E548" s="2" t="s">
        <v>21</v>
      </c>
      <c r="F548" s="294">
        <v>2800</v>
      </c>
      <c r="G548" s="247">
        <v>3100</v>
      </c>
      <c r="H548" s="295">
        <f t="shared" si="16"/>
        <v>300</v>
      </c>
      <c r="I548" s="250">
        <f t="shared" si="17"/>
        <v>9.6774193548387094E-2</v>
      </c>
    </row>
    <row r="549" spans="2:9" x14ac:dyDescent="0.3">
      <c r="B549" s="2">
        <v>1087</v>
      </c>
      <c r="C549" s="41" t="s">
        <v>473</v>
      </c>
      <c r="D549" s="2">
        <v>8</v>
      </c>
      <c r="E549" s="2" t="s">
        <v>35</v>
      </c>
      <c r="F549" s="294">
        <v>56517</v>
      </c>
      <c r="G549" s="247">
        <v>64166.666666666664</v>
      </c>
      <c r="H549" s="295">
        <f t="shared" si="16"/>
        <v>7649.6666666666642</v>
      </c>
      <c r="I549" s="250">
        <f t="shared" si="17"/>
        <v>0.11921558441558439</v>
      </c>
    </row>
    <row r="550" spans="2:9" x14ac:dyDescent="0.3">
      <c r="B550" s="2">
        <v>1088</v>
      </c>
      <c r="C550" s="41" t="s">
        <v>474</v>
      </c>
      <c r="D550" s="2">
        <v>14</v>
      </c>
      <c r="E550" s="2" t="s">
        <v>32</v>
      </c>
      <c r="F550" s="294">
        <v>41627</v>
      </c>
      <c r="G550" s="247">
        <v>48000</v>
      </c>
      <c r="H550" s="295">
        <f t="shared" si="16"/>
        <v>6373</v>
      </c>
      <c r="I550" s="250">
        <f t="shared" si="17"/>
        <v>0.13277083333333334</v>
      </c>
    </row>
    <row r="551" spans="2:9" x14ac:dyDescent="0.3">
      <c r="B551" s="2">
        <v>1089</v>
      </c>
      <c r="C551" s="41" t="s">
        <v>1704</v>
      </c>
      <c r="D551" s="2">
        <v>14</v>
      </c>
      <c r="E551" s="2" t="s">
        <v>32</v>
      </c>
      <c r="F551" s="294">
        <v>13725</v>
      </c>
      <c r="G551" s="247">
        <v>17600</v>
      </c>
      <c r="H551" s="295">
        <f t="shared" si="16"/>
        <v>3875</v>
      </c>
      <c r="I551" s="250">
        <f t="shared" si="17"/>
        <v>0.22017045454545456</v>
      </c>
    </row>
    <row r="552" spans="2:9" x14ac:dyDescent="0.3">
      <c r="B552" s="2">
        <v>1090</v>
      </c>
      <c r="C552" s="41" t="s">
        <v>475</v>
      </c>
      <c r="D552" s="2">
        <v>14</v>
      </c>
      <c r="E552" s="2" t="s">
        <v>32</v>
      </c>
      <c r="F552" s="294">
        <v>34660.5</v>
      </c>
      <c r="G552" s="247">
        <v>45000</v>
      </c>
      <c r="H552" s="295">
        <f t="shared" si="16"/>
        <v>10339.5</v>
      </c>
      <c r="I552" s="250">
        <f t="shared" si="17"/>
        <v>0.22976666666666667</v>
      </c>
    </row>
    <row r="553" spans="2:9" x14ac:dyDescent="0.3">
      <c r="B553" s="2">
        <v>1096</v>
      </c>
      <c r="C553" s="41" t="s">
        <v>1705</v>
      </c>
      <c r="D553" s="2">
        <v>9</v>
      </c>
      <c r="E553" s="2" t="s">
        <v>12</v>
      </c>
      <c r="F553" s="294">
        <v>840</v>
      </c>
      <c r="G553" s="247">
        <v>840</v>
      </c>
      <c r="H553" s="295">
        <f t="shared" si="16"/>
        <v>0</v>
      </c>
      <c r="I553" s="250">
        <f t="shared" si="17"/>
        <v>0</v>
      </c>
    </row>
    <row r="554" spans="2:9" x14ac:dyDescent="0.3">
      <c r="B554" s="2">
        <v>1098</v>
      </c>
      <c r="C554" s="41" t="s">
        <v>476</v>
      </c>
      <c r="D554" s="2">
        <v>9</v>
      </c>
      <c r="E554" s="2" t="s">
        <v>12</v>
      </c>
      <c r="F554" s="294">
        <v>750</v>
      </c>
      <c r="G554" s="247">
        <v>750</v>
      </c>
      <c r="H554" s="295">
        <f t="shared" si="16"/>
        <v>0</v>
      </c>
      <c r="I554" s="250">
        <f t="shared" si="17"/>
        <v>0</v>
      </c>
    </row>
    <row r="555" spans="2:9" x14ac:dyDescent="0.3">
      <c r="B555" s="2">
        <v>1099</v>
      </c>
      <c r="C555" s="41" t="s">
        <v>477</v>
      </c>
      <c r="D555" s="2">
        <v>12</v>
      </c>
      <c r="E555" s="2" t="s">
        <v>12</v>
      </c>
      <c r="F555" s="294">
        <v>4289.95</v>
      </c>
      <c r="G555" s="247">
        <v>6000</v>
      </c>
      <c r="H555" s="295">
        <f t="shared" si="16"/>
        <v>1710.0500000000002</v>
      </c>
      <c r="I555" s="250">
        <f t="shared" si="17"/>
        <v>0.28500833333333336</v>
      </c>
    </row>
    <row r="556" spans="2:9" x14ac:dyDescent="0.3">
      <c r="B556" s="2">
        <v>1103</v>
      </c>
      <c r="C556" s="41" t="s">
        <v>478</v>
      </c>
      <c r="D556" s="2">
        <v>12</v>
      </c>
      <c r="E556" s="2" t="s">
        <v>12</v>
      </c>
      <c r="F556" s="294">
        <v>54999</v>
      </c>
      <c r="G556" s="247">
        <v>64833.333333333336</v>
      </c>
      <c r="H556" s="295">
        <f t="shared" si="16"/>
        <v>9834.3333333333358</v>
      </c>
      <c r="I556" s="250">
        <f t="shared" si="17"/>
        <v>0.1516863753213368</v>
      </c>
    </row>
    <row r="557" spans="2:9" x14ac:dyDescent="0.3">
      <c r="B557" s="2">
        <v>1121</v>
      </c>
      <c r="C557" s="41" t="s">
        <v>479</v>
      </c>
      <c r="D557" s="2">
        <v>2</v>
      </c>
      <c r="E557" s="2" t="s">
        <v>5</v>
      </c>
      <c r="F557" s="294">
        <v>3200</v>
      </c>
      <c r="G557" s="247">
        <v>3550</v>
      </c>
      <c r="H557" s="295">
        <f t="shared" si="16"/>
        <v>350</v>
      </c>
      <c r="I557" s="250">
        <f t="shared" si="17"/>
        <v>9.8591549295774641E-2</v>
      </c>
    </row>
    <row r="558" spans="2:9" x14ac:dyDescent="0.3">
      <c r="B558" s="2">
        <v>1122</v>
      </c>
      <c r="C558" s="41" t="s">
        <v>1706</v>
      </c>
      <c r="D558" s="2">
        <v>2</v>
      </c>
      <c r="E558" s="2" t="s">
        <v>5</v>
      </c>
      <c r="F558" s="294">
        <v>117600</v>
      </c>
      <c r="G558" s="247">
        <v>126500</v>
      </c>
      <c r="H558" s="295">
        <f t="shared" si="16"/>
        <v>8900</v>
      </c>
      <c r="I558" s="250">
        <f t="shared" si="17"/>
        <v>7.0355731225296439E-2</v>
      </c>
    </row>
    <row r="559" spans="2:9" x14ac:dyDescent="0.3">
      <c r="B559" s="2">
        <v>1123</v>
      </c>
      <c r="C559" s="41" t="s">
        <v>480</v>
      </c>
      <c r="D559" s="2">
        <v>1</v>
      </c>
      <c r="E559" s="2" t="s">
        <v>5</v>
      </c>
      <c r="F559" s="294">
        <v>4300</v>
      </c>
      <c r="G559" s="247">
        <v>5200</v>
      </c>
      <c r="H559" s="295">
        <f t="shared" si="16"/>
        <v>900</v>
      </c>
      <c r="I559" s="250">
        <f t="shared" si="17"/>
        <v>0.17307692307692307</v>
      </c>
    </row>
    <row r="560" spans="2:9" x14ac:dyDescent="0.3">
      <c r="B560" s="2">
        <v>1124</v>
      </c>
      <c r="C560" s="41" t="s">
        <v>1707</v>
      </c>
      <c r="D560" s="2">
        <v>2</v>
      </c>
      <c r="E560" s="2" t="s">
        <v>5</v>
      </c>
      <c r="F560" s="294">
        <v>89541.585000000006</v>
      </c>
      <c r="G560" s="247">
        <v>98466.666666666672</v>
      </c>
      <c r="H560" s="295">
        <f t="shared" si="16"/>
        <v>8925.0816666666651</v>
      </c>
      <c r="I560" s="250">
        <f t="shared" si="17"/>
        <v>9.0640639810426527E-2</v>
      </c>
    </row>
    <row r="561" spans="2:9" x14ac:dyDescent="0.3">
      <c r="B561" s="2">
        <v>1125</v>
      </c>
      <c r="C561" s="41" t="s">
        <v>1708</v>
      </c>
      <c r="D561" s="2">
        <v>2</v>
      </c>
      <c r="E561" s="2" t="s">
        <v>5</v>
      </c>
      <c r="F561" s="294">
        <v>1780.38</v>
      </c>
      <c r="G561" s="247">
        <v>2733.3333333333335</v>
      </c>
      <c r="H561" s="295">
        <f t="shared" si="16"/>
        <v>952.95333333333338</v>
      </c>
      <c r="I561" s="250">
        <f t="shared" si="17"/>
        <v>0.34864146341463415</v>
      </c>
    </row>
    <row r="562" spans="2:9" x14ac:dyDescent="0.3">
      <c r="B562" s="2">
        <v>1126</v>
      </c>
      <c r="C562" s="41" t="s">
        <v>481</v>
      </c>
      <c r="D562" s="2">
        <v>2</v>
      </c>
      <c r="E562" s="2" t="s">
        <v>5</v>
      </c>
      <c r="F562" s="294">
        <v>4900.5573999999997</v>
      </c>
      <c r="G562" s="247">
        <v>5766.666666666667</v>
      </c>
      <c r="H562" s="295">
        <f t="shared" si="16"/>
        <v>866.10926666666728</v>
      </c>
      <c r="I562" s="250">
        <f t="shared" si="17"/>
        <v>0.15019235838150299</v>
      </c>
    </row>
    <row r="563" spans="2:9" x14ac:dyDescent="0.3">
      <c r="B563" s="2">
        <v>1127</v>
      </c>
      <c r="C563" s="41" t="s">
        <v>1709</v>
      </c>
      <c r="D563" s="2">
        <v>9</v>
      </c>
      <c r="E563" s="2" t="s">
        <v>12</v>
      </c>
      <c r="F563" s="294">
        <v>7499.9988000000003</v>
      </c>
      <c r="G563" s="247">
        <v>8900</v>
      </c>
      <c r="H563" s="295">
        <f t="shared" si="16"/>
        <v>1400.0011999999997</v>
      </c>
      <c r="I563" s="250">
        <f t="shared" si="17"/>
        <v>0.15730350561797748</v>
      </c>
    </row>
    <row r="564" spans="2:9" x14ac:dyDescent="0.3">
      <c r="B564" s="2">
        <v>1128</v>
      </c>
      <c r="C564" s="41" t="s">
        <v>1710</v>
      </c>
      <c r="D564" s="2">
        <v>9</v>
      </c>
      <c r="E564" s="2" t="s">
        <v>12</v>
      </c>
      <c r="F564" s="294">
        <v>8000.0011000000004</v>
      </c>
      <c r="G564" s="247">
        <v>9600</v>
      </c>
      <c r="H564" s="295">
        <f t="shared" si="16"/>
        <v>1599.9988999999996</v>
      </c>
      <c r="I564" s="250">
        <f t="shared" si="17"/>
        <v>0.16666655208333328</v>
      </c>
    </row>
    <row r="565" spans="2:9" x14ac:dyDescent="0.3">
      <c r="B565" s="2">
        <v>1130</v>
      </c>
      <c r="C565" s="41" t="s">
        <v>1711</v>
      </c>
      <c r="D565" s="2">
        <v>4</v>
      </c>
      <c r="E565" s="2" t="s">
        <v>16</v>
      </c>
      <c r="F565" s="294">
        <v>45853</v>
      </c>
      <c r="G565" s="247">
        <v>51000</v>
      </c>
      <c r="H565" s="295">
        <f t="shared" si="16"/>
        <v>5147</v>
      </c>
      <c r="I565" s="250">
        <f t="shared" si="17"/>
        <v>0.10092156862745098</v>
      </c>
    </row>
    <row r="566" spans="2:9" x14ac:dyDescent="0.3">
      <c r="B566" s="2">
        <v>1132</v>
      </c>
      <c r="C566" s="41" t="s">
        <v>1712</v>
      </c>
      <c r="D566" s="2">
        <v>11</v>
      </c>
      <c r="E566" s="2" t="s">
        <v>12</v>
      </c>
      <c r="F566" s="294">
        <v>2400</v>
      </c>
      <c r="G566" s="247">
        <v>3900</v>
      </c>
      <c r="H566" s="295">
        <f t="shared" si="16"/>
        <v>1500</v>
      </c>
      <c r="I566" s="250">
        <f t="shared" si="17"/>
        <v>0.38461538461538464</v>
      </c>
    </row>
    <row r="567" spans="2:9" x14ac:dyDescent="0.3">
      <c r="B567" s="2">
        <v>1134</v>
      </c>
      <c r="C567" s="41" t="s">
        <v>482</v>
      </c>
      <c r="D567" s="2">
        <v>6</v>
      </c>
      <c r="E567" s="2" t="s">
        <v>32</v>
      </c>
      <c r="F567" s="294">
        <v>6000</v>
      </c>
      <c r="G567" s="247">
        <v>8000</v>
      </c>
      <c r="H567" s="295">
        <f t="shared" si="16"/>
        <v>2000</v>
      </c>
      <c r="I567" s="250">
        <f t="shared" si="17"/>
        <v>0.25</v>
      </c>
    </row>
    <row r="568" spans="2:9" x14ac:dyDescent="0.3">
      <c r="B568" s="2">
        <v>1135</v>
      </c>
      <c r="C568" s="41" t="s">
        <v>1713</v>
      </c>
      <c r="D568" s="2">
        <v>9</v>
      </c>
      <c r="E568" s="2" t="s">
        <v>12</v>
      </c>
      <c r="F568" s="294">
        <v>6545</v>
      </c>
      <c r="G568" s="247">
        <v>8200</v>
      </c>
      <c r="H568" s="295">
        <f t="shared" si="16"/>
        <v>1655</v>
      </c>
      <c r="I568" s="250">
        <f t="shared" si="17"/>
        <v>0.20182926829268294</v>
      </c>
    </row>
    <row r="569" spans="2:9" x14ac:dyDescent="0.3">
      <c r="B569" s="2">
        <v>1136</v>
      </c>
      <c r="C569" s="41" t="s">
        <v>1714</v>
      </c>
      <c r="D569" s="2">
        <v>9</v>
      </c>
      <c r="E569" s="2" t="s">
        <v>12</v>
      </c>
      <c r="F569" s="294">
        <v>7140</v>
      </c>
      <c r="G569" s="247">
        <v>7800</v>
      </c>
      <c r="H569" s="295">
        <f t="shared" si="16"/>
        <v>660</v>
      </c>
      <c r="I569" s="250">
        <f t="shared" si="17"/>
        <v>8.461538461538462E-2</v>
      </c>
    </row>
    <row r="570" spans="2:9" x14ac:dyDescent="0.3">
      <c r="B570" s="2">
        <v>1137</v>
      </c>
      <c r="C570" s="41" t="s">
        <v>483</v>
      </c>
      <c r="D570" s="2">
        <v>9</v>
      </c>
      <c r="E570" s="2" t="s">
        <v>12</v>
      </c>
      <c r="F570" s="294">
        <v>7140</v>
      </c>
      <c r="G570" s="247">
        <v>8500</v>
      </c>
      <c r="H570" s="295">
        <f t="shared" si="16"/>
        <v>1360</v>
      </c>
      <c r="I570" s="250">
        <f t="shared" si="17"/>
        <v>0.16</v>
      </c>
    </row>
    <row r="571" spans="2:9" x14ac:dyDescent="0.3">
      <c r="B571" s="2">
        <v>1138</v>
      </c>
      <c r="C571" s="41" t="s">
        <v>1715</v>
      </c>
      <c r="D571" s="2">
        <v>7</v>
      </c>
      <c r="E571" s="2" t="s">
        <v>21</v>
      </c>
      <c r="F571" s="294">
        <v>3060</v>
      </c>
      <c r="G571" s="247">
        <v>3800</v>
      </c>
      <c r="H571" s="295">
        <f t="shared" si="16"/>
        <v>740</v>
      </c>
      <c r="I571" s="250">
        <f t="shared" si="17"/>
        <v>0.19473684210526315</v>
      </c>
    </row>
    <row r="572" spans="2:9" x14ac:dyDescent="0.3">
      <c r="B572" s="2">
        <v>1139</v>
      </c>
      <c r="C572" s="41" t="s">
        <v>484</v>
      </c>
      <c r="D572" s="2">
        <v>7</v>
      </c>
      <c r="E572" s="2" t="s">
        <v>5</v>
      </c>
      <c r="F572" s="294">
        <v>49000</v>
      </c>
      <c r="G572" s="247">
        <v>57666.666666666664</v>
      </c>
      <c r="H572" s="295">
        <f t="shared" si="16"/>
        <v>8666.6666666666642</v>
      </c>
      <c r="I572" s="250">
        <f t="shared" si="17"/>
        <v>0.15028901734104042</v>
      </c>
    </row>
    <row r="573" spans="2:9" x14ac:dyDescent="0.3">
      <c r="B573" s="2">
        <v>1140</v>
      </c>
      <c r="C573" s="41" t="s">
        <v>485</v>
      </c>
      <c r="D573" s="2">
        <v>9</v>
      </c>
      <c r="E573" s="2" t="s">
        <v>12</v>
      </c>
      <c r="F573" s="294">
        <v>6000.0038000000004</v>
      </c>
      <c r="G573" s="247">
        <v>7200</v>
      </c>
      <c r="H573" s="295">
        <f t="shared" si="16"/>
        <v>1199.9961999999996</v>
      </c>
      <c r="I573" s="250">
        <f t="shared" si="17"/>
        <v>0.16666613888888884</v>
      </c>
    </row>
    <row r="574" spans="2:9" x14ac:dyDescent="0.3">
      <c r="B574" s="2">
        <v>1141</v>
      </c>
      <c r="C574" s="41" t="s">
        <v>1716</v>
      </c>
      <c r="D574" s="2">
        <v>9</v>
      </c>
      <c r="E574" s="2" t="s">
        <v>12</v>
      </c>
      <c r="F574" s="294">
        <v>8000.0011000000004</v>
      </c>
      <c r="G574" s="247">
        <v>9300</v>
      </c>
      <c r="H574" s="295">
        <f t="shared" si="16"/>
        <v>1299.9988999999996</v>
      </c>
      <c r="I574" s="250">
        <f t="shared" si="17"/>
        <v>0.13978482795698921</v>
      </c>
    </row>
    <row r="575" spans="2:9" x14ac:dyDescent="0.3">
      <c r="B575" s="2">
        <v>1142</v>
      </c>
      <c r="C575" s="41" t="s">
        <v>487</v>
      </c>
      <c r="D575" s="2">
        <v>5</v>
      </c>
      <c r="E575" s="2" t="s">
        <v>5</v>
      </c>
      <c r="F575" s="294">
        <v>44000</v>
      </c>
      <c r="G575" s="247">
        <v>74333.333333333328</v>
      </c>
      <c r="H575" s="295">
        <f t="shared" si="16"/>
        <v>30333.333333333328</v>
      </c>
      <c r="I575" s="250">
        <f t="shared" si="17"/>
        <v>0.40807174887892372</v>
      </c>
    </row>
    <row r="576" spans="2:9" x14ac:dyDescent="0.3">
      <c r="B576" s="2">
        <v>1147</v>
      </c>
      <c r="C576" s="41" t="s">
        <v>1717</v>
      </c>
      <c r="D576" s="2">
        <v>8</v>
      </c>
      <c r="E576" s="2" t="s">
        <v>16</v>
      </c>
      <c r="F576" s="294">
        <v>33250</v>
      </c>
      <c r="G576" s="247">
        <v>37000</v>
      </c>
      <c r="H576" s="295">
        <f t="shared" si="16"/>
        <v>3750</v>
      </c>
      <c r="I576" s="250">
        <f t="shared" si="17"/>
        <v>0.10135135135135136</v>
      </c>
    </row>
    <row r="577" spans="2:9" x14ac:dyDescent="0.3">
      <c r="B577" s="2">
        <v>1158</v>
      </c>
      <c r="C577" s="41" t="s">
        <v>1718</v>
      </c>
      <c r="D577" s="2">
        <v>5</v>
      </c>
      <c r="E577" s="2" t="s">
        <v>5</v>
      </c>
      <c r="F577" s="294">
        <v>3196</v>
      </c>
      <c r="G577" s="247">
        <v>6000</v>
      </c>
      <c r="H577" s="295">
        <f t="shared" si="16"/>
        <v>2804</v>
      </c>
      <c r="I577" s="250">
        <f t="shared" si="17"/>
        <v>0.46733333333333332</v>
      </c>
    </row>
    <row r="578" spans="2:9" x14ac:dyDescent="0.3">
      <c r="B578" s="2">
        <v>1161</v>
      </c>
      <c r="C578" s="41" t="s">
        <v>488</v>
      </c>
      <c r="D578" s="2">
        <v>5</v>
      </c>
      <c r="E578" s="2" t="s">
        <v>5</v>
      </c>
      <c r="F578" s="294">
        <v>41000</v>
      </c>
      <c r="G578" s="247">
        <v>58833.333333333336</v>
      </c>
      <c r="H578" s="295">
        <f t="shared" si="16"/>
        <v>17833.333333333336</v>
      </c>
      <c r="I578" s="250">
        <f t="shared" si="17"/>
        <v>0.30311614730878189</v>
      </c>
    </row>
    <row r="579" spans="2:9" x14ac:dyDescent="0.3">
      <c r="B579" s="2">
        <v>1163</v>
      </c>
      <c r="C579" s="41" t="s">
        <v>490</v>
      </c>
      <c r="D579" s="2">
        <v>14</v>
      </c>
      <c r="E579" s="2" t="s">
        <v>81</v>
      </c>
      <c r="F579" s="294">
        <v>18119</v>
      </c>
      <c r="G579" s="247">
        <v>22500</v>
      </c>
      <c r="H579" s="295">
        <f t="shared" si="16"/>
        <v>4381</v>
      </c>
      <c r="I579" s="250">
        <f t="shared" si="17"/>
        <v>0.19471111111111111</v>
      </c>
    </row>
    <row r="580" spans="2:9" x14ac:dyDescent="0.3">
      <c r="B580" s="2">
        <v>1166</v>
      </c>
      <c r="C580" s="41" t="s">
        <v>491</v>
      </c>
      <c r="D580" s="2">
        <v>9</v>
      </c>
      <c r="E580" s="2" t="s">
        <v>12</v>
      </c>
      <c r="F580" s="294">
        <v>8225</v>
      </c>
      <c r="G580" s="247">
        <v>9800</v>
      </c>
      <c r="H580" s="295">
        <f t="shared" si="16"/>
        <v>1575</v>
      </c>
      <c r="I580" s="250">
        <f t="shared" si="17"/>
        <v>0.16071428571428573</v>
      </c>
    </row>
    <row r="581" spans="2:9" x14ac:dyDescent="0.3">
      <c r="B581" s="2">
        <v>1168</v>
      </c>
      <c r="C581" s="41" t="s">
        <v>492</v>
      </c>
      <c r="D581" s="2">
        <v>14</v>
      </c>
      <c r="E581" s="2" t="s">
        <v>81</v>
      </c>
      <c r="F581" s="294">
        <v>6476</v>
      </c>
      <c r="G581" s="247">
        <v>7500</v>
      </c>
      <c r="H581" s="295">
        <f t="shared" si="16"/>
        <v>1024</v>
      </c>
      <c r="I581" s="250">
        <f t="shared" si="17"/>
        <v>0.13653333333333334</v>
      </c>
    </row>
    <row r="582" spans="2:9" x14ac:dyDescent="0.3">
      <c r="B582" s="2">
        <v>1169</v>
      </c>
      <c r="C582" s="41" t="s">
        <v>493</v>
      </c>
      <c r="D582" s="2">
        <v>14</v>
      </c>
      <c r="E582" s="2" t="s">
        <v>81</v>
      </c>
      <c r="F582" s="294">
        <v>15114</v>
      </c>
      <c r="G582" s="247">
        <v>18600</v>
      </c>
      <c r="H582" s="295">
        <f t="shared" ref="H582:H645" si="18">G582-F582</f>
        <v>3486</v>
      </c>
      <c r="I582" s="250">
        <f t="shared" ref="I582:I645" si="19">H582/G582</f>
        <v>0.18741935483870967</v>
      </c>
    </row>
    <row r="583" spans="2:9" x14ac:dyDescent="0.3">
      <c r="B583" s="2">
        <v>1172</v>
      </c>
      <c r="C583" s="41" t="s">
        <v>1719</v>
      </c>
      <c r="D583" s="2">
        <v>10</v>
      </c>
      <c r="E583" s="2" t="s">
        <v>12</v>
      </c>
      <c r="F583" s="294">
        <v>70001</v>
      </c>
      <c r="G583" s="247">
        <v>79000</v>
      </c>
      <c r="H583" s="295">
        <f t="shared" si="18"/>
        <v>8999</v>
      </c>
      <c r="I583" s="250">
        <f t="shared" si="19"/>
        <v>0.11391139240506329</v>
      </c>
    </row>
    <row r="584" spans="2:9" x14ac:dyDescent="0.3">
      <c r="B584" s="2">
        <v>1173</v>
      </c>
      <c r="C584" s="41" t="s">
        <v>494</v>
      </c>
      <c r="D584" s="2">
        <v>16</v>
      </c>
      <c r="E584" s="2" t="s">
        <v>12</v>
      </c>
      <c r="F584" s="294">
        <v>1180</v>
      </c>
      <c r="G584" s="247">
        <v>2000</v>
      </c>
      <c r="H584" s="295">
        <f t="shared" si="18"/>
        <v>820</v>
      </c>
      <c r="I584" s="250">
        <f t="shared" si="19"/>
        <v>0.41</v>
      </c>
    </row>
    <row r="585" spans="2:9" x14ac:dyDescent="0.3">
      <c r="B585" s="2">
        <v>1178</v>
      </c>
      <c r="C585" s="41" t="s">
        <v>1720</v>
      </c>
      <c r="D585" s="2">
        <v>4</v>
      </c>
      <c r="E585" s="2" t="s">
        <v>16</v>
      </c>
      <c r="F585" s="294">
        <v>33250</v>
      </c>
      <c r="G585" s="247">
        <v>38733.333333333336</v>
      </c>
      <c r="H585" s="295">
        <f t="shared" si="18"/>
        <v>5483.3333333333358</v>
      </c>
      <c r="I585" s="250">
        <f t="shared" si="19"/>
        <v>0.14156626506024103</v>
      </c>
    </row>
    <row r="586" spans="2:9" x14ac:dyDescent="0.3">
      <c r="B586" s="2">
        <v>1181</v>
      </c>
      <c r="C586" s="41" t="s">
        <v>495</v>
      </c>
      <c r="D586" s="2">
        <v>14</v>
      </c>
      <c r="E586" s="2" t="s">
        <v>81</v>
      </c>
      <c r="F586" s="294">
        <v>76388</v>
      </c>
      <c r="G586" s="247">
        <v>86200</v>
      </c>
      <c r="H586" s="295">
        <f t="shared" si="18"/>
        <v>9812</v>
      </c>
      <c r="I586" s="250">
        <f t="shared" si="19"/>
        <v>0.11382830626450116</v>
      </c>
    </row>
    <row r="587" spans="2:9" x14ac:dyDescent="0.3">
      <c r="B587" s="2">
        <v>1182</v>
      </c>
      <c r="C587" s="41" t="s">
        <v>496</v>
      </c>
      <c r="D587" s="2">
        <v>14</v>
      </c>
      <c r="E587" s="2" t="s">
        <v>12</v>
      </c>
      <c r="F587" s="294">
        <v>3758</v>
      </c>
      <c r="G587" s="247">
        <v>4800</v>
      </c>
      <c r="H587" s="295">
        <f t="shared" si="18"/>
        <v>1042</v>
      </c>
      <c r="I587" s="250">
        <f t="shared" si="19"/>
        <v>0.21708333333333332</v>
      </c>
    </row>
    <row r="588" spans="2:9" x14ac:dyDescent="0.3">
      <c r="B588" s="2">
        <v>1183</v>
      </c>
      <c r="C588" s="41" t="s">
        <v>497</v>
      </c>
      <c r="D588" s="2">
        <v>7</v>
      </c>
      <c r="E588" s="2" t="s">
        <v>35</v>
      </c>
      <c r="F588" s="294">
        <v>12500</v>
      </c>
      <c r="G588" s="247">
        <v>15500</v>
      </c>
      <c r="H588" s="295">
        <f t="shared" si="18"/>
        <v>3000</v>
      </c>
      <c r="I588" s="250">
        <f t="shared" si="19"/>
        <v>0.19354838709677419</v>
      </c>
    </row>
    <row r="589" spans="2:9" x14ac:dyDescent="0.3">
      <c r="B589" s="2">
        <v>1191</v>
      </c>
      <c r="C589" s="41" t="s">
        <v>1721</v>
      </c>
      <c r="D589" s="2">
        <v>5</v>
      </c>
      <c r="E589" s="2" t="s">
        <v>16</v>
      </c>
      <c r="F589" s="294">
        <v>35650</v>
      </c>
      <c r="G589" s="247">
        <v>44800</v>
      </c>
      <c r="H589" s="295">
        <f t="shared" si="18"/>
        <v>9150</v>
      </c>
      <c r="I589" s="250">
        <f t="shared" si="19"/>
        <v>0.20424107142857142</v>
      </c>
    </row>
    <row r="590" spans="2:9" x14ac:dyDescent="0.3">
      <c r="B590" s="2">
        <v>1192</v>
      </c>
      <c r="C590" s="41" t="s">
        <v>1722</v>
      </c>
      <c r="D590" s="2">
        <v>5</v>
      </c>
      <c r="E590" s="2" t="s">
        <v>81</v>
      </c>
      <c r="F590" s="294">
        <v>540000</v>
      </c>
      <c r="G590" s="247">
        <v>602000</v>
      </c>
      <c r="H590" s="295">
        <f t="shared" si="18"/>
        <v>62000</v>
      </c>
      <c r="I590" s="250">
        <f t="shared" si="19"/>
        <v>0.10299003322259136</v>
      </c>
    </row>
    <row r="591" spans="2:9" x14ac:dyDescent="0.3">
      <c r="B591" s="2">
        <v>1194</v>
      </c>
      <c r="C591" s="41" t="s">
        <v>498</v>
      </c>
      <c r="D591" s="2">
        <v>2</v>
      </c>
      <c r="E591" s="2" t="s">
        <v>5</v>
      </c>
      <c r="F591" s="294">
        <v>52800</v>
      </c>
      <c r="G591" s="247">
        <v>58216.666666666664</v>
      </c>
      <c r="H591" s="295">
        <f t="shared" si="18"/>
        <v>5416.6666666666642</v>
      </c>
      <c r="I591" s="250">
        <f t="shared" si="19"/>
        <v>9.304322931577437E-2</v>
      </c>
    </row>
    <row r="592" spans="2:9" x14ac:dyDescent="0.3">
      <c r="B592" s="2">
        <v>1196</v>
      </c>
      <c r="C592" s="41" t="s">
        <v>499</v>
      </c>
      <c r="D592" s="2">
        <v>6</v>
      </c>
      <c r="E592" s="2" t="s">
        <v>237</v>
      </c>
      <c r="F592" s="294">
        <v>38500</v>
      </c>
      <c r="G592" s="247">
        <v>44866.666666666664</v>
      </c>
      <c r="H592" s="295">
        <f t="shared" si="18"/>
        <v>6366.6666666666642</v>
      </c>
      <c r="I592" s="250">
        <f t="shared" si="19"/>
        <v>0.14190193164933129</v>
      </c>
    </row>
    <row r="593" spans="2:9" x14ac:dyDescent="0.3">
      <c r="B593" s="2">
        <v>1203</v>
      </c>
      <c r="C593" s="41" t="s">
        <v>501</v>
      </c>
      <c r="D593" s="2">
        <v>1</v>
      </c>
      <c r="E593" s="2" t="s">
        <v>486</v>
      </c>
      <c r="F593" s="294">
        <v>213500</v>
      </c>
      <c r="G593" s="247">
        <v>232500</v>
      </c>
      <c r="H593" s="295">
        <f t="shared" si="18"/>
        <v>19000</v>
      </c>
      <c r="I593" s="250">
        <f t="shared" si="19"/>
        <v>8.1720430107526887E-2</v>
      </c>
    </row>
    <row r="594" spans="2:9" x14ac:dyDescent="0.3">
      <c r="B594" s="2">
        <v>1204</v>
      </c>
      <c r="C594" s="41" t="s">
        <v>1723</v>
      </c>
      <c r="D594" s="2">
        <v>6</v>
      </c>
      <c r="E594" s="2" t="s">
        <v>16</v>
      </c>
      <c r="F594" s="294">
        <v>331088</v>
      </c>
      <c r="G594" s="247">
        <v>364000</v>
      </c>
      <c r="H594" s="295">
        <f t="shared" si="18"/>
        <v>32912</v>
      </c>
      <c r="I594" s="250">
        <f t="shared" si="19"/>
        <v>9.0417582417582423E-2</v>
      </c>
    </row>
    <row r="595" spans="2:9" x14ac:dyDescent="0.3">
      <c r="B595" s="2">
        <v>1205</v>
      </c>
      <c r="C595" s="41" t="s">
        <v>502</v>
      </c>
      <c r="D595" s="2">
        <v>6</v>
      </c>
      <c r="E595" s="2" t="s">
        <v>81</v>
      </c>
      <c r="F595" s="294">
        <v>37323.64</v>
      </c>
      <c r="G595" s="247">
        <v>44400</v>
      </c>
      <c r="H595" s="295">
        <f t="shared" si="18"/>
        <v>7076.3600000000006</v>
      </c>
      <c r="I595" s="250">
        <f t="shared" si="19"/>
        <v>0.15937747747747749</v>
      </c>
    </row>
    <row r="596" spans="2:9" x14ac:dyDescent="0.3">
      <c r="B596" s="2">
        <v>1207</v>
      </c>
      <c r="C596" s="41" t="s">
        <v>1724</v>
      </c>
      <c r="D596" s="2">
        <v>14</v>
      </c>
      <c r="E596" s="2" t="s">
        <v>1725</v>
      </c>
      <c r="F596" s="294">
        <v>1900</v>
      </c>
      <c r="G596" s="247">
        <v>3500</v>
      </c>
      <c r="H596" s="295">
        <f t="shared" si="18"/>
        <v>1600</v>
      </c>
      <c r="I596" s="250">
        <f t="shared" si="19"/>
        <v>0.45714285714285713</v>
      </c>
    </row>
    <row r="597" spans="2:9" x14ac:dyDescent="0.3">
      <c r="B597" s="2">
        <v>1210</v>
      </c>
      <c r="C597" s="41" t="s">
        <v>503</v>
      </c>
      <c r="D597" s="2">
        <v>4</v>
      </c>
      <c r="E597" s="2" t="s">
        <v>489</v>
      </c>
      <c r="F597" s="294">
        <v>253587</v>
      </c>
      <c r="G597" s="247">
        <v>272666.66666666669</v>
      </c>
      <c r="H597" s="295">
        <f t="shared" si="18"/>
        <v>19079.666666666686</v>
      </c>
      <c r="I597" s="250">
        <f t="shared" si="19"/>
        <v>6.9974327628361921E-2</v>
      </c>
    </row>
    <row r="598" spans="2:9" x14ac:dyDescent="0.3">
      <c r="B598" s="2">
        <v>1212</v>
      </c>
      <c r="C598" s="41" t="s">
        <v>504</v>
      </c>
      <c r="D598" s="2">
        <v>2</v>
      </c>
      <c r="E598" s="2" t="s">
        <v>5</v>
      </c>
      <c r="F598" s="294">
        <v>13167.5985</v>
      </c>
      <c r="G598" s="247">
        <v>14800</v>
      </c>
      <c r="H598" s="295">
        <f t="shared" si="18"/>
        <v>1632.4014999999999</v>
      </c>
      <c r="I598" s="250">
        <f t="shared" si="19"/>
        <v>0.11029739864864864</v>
      </c>
    </row>
    <row r="599" spans="2:9" x14ac:dyDescent="0.3">
      <c r="B599" s="2">
        <v>1217</v>
      </c>
      <c r="C599" s="41" t="s">
        <v>505</v>
      </c>
      <c r="D599" s="2">
        <v>14</v>
      </c>
      <c r="E599" s="2" t="s">
        <v>12</v>
      </c>
      <c r="F599" s="294">
        <v>32727</v>
      </c>
      <c r="G599" s="247">
        <v>36166.666666666664</v>
      </c>
      <c r="H599" s="295">
        <f t="shared" si="18"/>
        <v>3439.6666666666642</v>
      </c>
      <c r="I599" s="250">
        <f t="shared" si="19"/>
        <v>9.5105990783410074E-2</v>
      </c>
    </row>
    <row r="600" spans="2:9" x14ac:dyDescent="0.3">
      <c r="B600" s="2">
        <v>1219</v>
      </c>
      <c r="C600" s="41" t="s">
        <v>506</v>
      </c>
      <c r="D600" s="2">
        <v>14</v>
      </c>
      <c r="E600" s="2" t="s">
        <v>32</v>
      </c>
      <c r="F600" s="294">
        <v>19691</v>
      </c>
      <c r="G600" s="247">
        <v>24166.666666666668</v>
      </c>
      <c r="H600" s="295">
        <f t="shared" si="18"/>
        <v>4475.6666666666679</v>
      </c>
      <c r="I600" s="250">
        <f t="shared" si="19"/>
        <v>0.18520000000000003</v>
      </c>
    </row>
    <row r="601" spans="2:9" x14ac:dyDescent="0.3">
      <c r="B601" s="2">
        <v>1222</v>
      </c>
      <c r="C601" s="41" t="s">
        <v>507</v>
      </c>
      <c r="D601" s="2">
        <v>6</v>
      </c>
      <c r="E601" s="2" t="s">
        <v>32</v>
      </c>
      <c r="F601" s="294">
        <v>8100</v>
      </c>
      <c r="G601" s="247">
        <v>10000</v>
      </c>
      <c r="H601" s="295">
        <f t="shared" si="18"/>
        <v>1900</v>
      </c>
      <c r="I601" s="250">
        <f t="shared" si="19"/>
        <v>0.19</v>
      </c>
    </row>
    <row r="602" spans="2:9" x14ac:dyDescent="0.3">
      <c r="B602" s="2">
        <v>1226</v>
      </c>
      <c r="C602" s="41" t="s">
        <v>508</v>
      </c>
      <c r="D602" s="2">
        <v>12</v>
      </c>
      <c r="E602" s="2" t="s">
        <v>12</v>
      </c>
      <c r="F602" s="294">
        <v>266000</v>
      </c>
      <c r="G602" s="247">
        <v>302000</v>
      </c>
      <c r="H602" s="295">
        <f t="shared" si="18"/>
        <v>36000</v>
      </c>
      <c r="I602" s="250">
        <f t="shared" si="19"/>
        <v>0.11920529801324503</v>
      </c>
    </row>
    <row r="603" spans="2:9" x14ac:dyDescent="0.3">
      <c r="B603" s="2">
        <v>1230</v>
      </c>
      <c r="C603" s="41" t="s">
        <v>509</v>
      </c>
      <c r="D603" s="2">
        <v>16</v>
      </c>
      <c r="E603" s="2" t="s">
        <v>81</v>
      </c>
      <c r="F603" s="294">
        <v>672.35</v>
      </c>
      <c r="G603" s="247">
        <v>800</v>
      </c>
      <c r="H603" s="295">
        <f t="shared" si="18"/>
        <v>127.64999999999998</v>
      </c>
      <c r="I603" s="250">
        <f t="shared" si="19"/>
        <v>0.15956249999999997</v>
      </c>
    </row>
    <row r="604" spans="2:9" x14ac:dyDescent="0.3">
      <c r="B604" s="2">
        <v>1232</v>
      </c>
      <c r="C604" s="41" t="s">
        <v>510</v>
      </c>
      <c r="D604" s="2">
        <v>14</v>
      </c>
      <c r="E604" s="2" t="s">
        <v>23</v>
      </c>
      <c r="F604" s="294">
        <v>6820.04</v>
      </c>
      <c r="G604" s="247">
        <v>8800</v>
      </c>
      <c r="H604" s="295">
        <f t="shared" si="18"/>
        <v>1979.96</v>
      </c>
      <c r="I604" s="250">
        <f t="shared" si="19"/>
        <v>0.22499545454545455</v>
      </c>
    </row>
    <row r="605" spans="2:9" x14ac:dyDescent="0.3">
      <c r="B605" s="2">
        <v>1233</v>
      </c>
      <c r="C605" s="41" t="s">
        <v>1726</v>
      </c>
      <c r="D605" s="2">
        <v>14</v>
      </c>
      <c r="E605" s="2" t="s">
        <v>81</v>
      </c>
      <c r="F605" s="294">
        <v>6094</v>
      </c>
      <c r="G605" s="247">
        <v>10500</v>
      </c>
      <c r="H605" s="295">
        <f t="shared" si="18"/>
        <v>4406</v>
      </c>
      <c r="I605" s="250">
        <f t="shared" si="19"/>
        <v>0.41961904761904761</v>
      </c>
    </row>
    <row r="606" spans="2:9" x14ac:dyDescent="0.3">
      <c r="B606" s="2">
        <v>1234</v>
      </c>
      <c r="C606" s="41" t="s">
        <v>511</v>
      </c>
      <c r="D606" s="2">
        <v>14</v>
      </c>
      <c r="E606" s="2" t="s">
        <v>81</v>
      </c>
      <c r="F606" s="294">
        <v>5323</v>
      </c>
      <c r="G606" s="247">
        <v>6583.333333333333</v>
      </c>
      <c r="H606" s="295">
        <f t="shared" si="18"/>
        <v>1260.333333333333</v>
      </c>
      <c r="I606" s="250">
        <f t="shared" si="19"/>
        <v>0.19144303797468351</v>
      </c>
    </row>
    <row r="607" spans="2:9" x14ac:dyDescent="0.3">
      <c r="B607" s="2">
        <v>1238</v>
      </c>
      <c r="C607" s="41" t="s">
        <v>512</v>
      </c>
      <c r="D607" s="2">
        <v>5</v>
      </c>
      <c r="E607" s="2" t="s">
        <v>16</v>
      </c>
      <c r="F607" s="294">
        <v>28100</v>
      </c>
      <c r="G607" s="247">
        <v>33400</v>
      </c>
      <c r="H607" s="295">
        <f t="shared" si="18"/>
        <v>5300</v>
      </c>
      <c r="I607" s="250">
        <f t="shared" si="19"/>
        <v>0.15868263473053892</v>
      </c>
    </row>
    <row r="608" spans="2:9" x14ac:dyDescent="0.3">
      <c r="B608" s="2">
        <v>1241</v>
      </c>
      <c r="C608" s="41" t="s">
        <v>1727</v>
      </c>
      <c r="D608" s="2">
        <v>14</v>
      </c>
      <c r="E608" s="2" t="s">
        <v>81</v>
      </c>
      <c r="F608" s="294">
        <v>22014</v>
      </c>
      <c r="G608" s="247">
        <v>26500</v>
      </c>
      <c r="H608" s="295">
        <f t="shared" si="18"/>
        <v>4486</v>
      </c>
      <c r="I608" s="250">
        <f t="shared" si="19"/>
        <v>0.16928301886792452</v>
      </c>
    </row>
    <row r="609" spans="2:9" x14ac:dyDescent="0.3">
      <c r="B609" s="2">
        <v>1242</v>
      </c>
      <c r="C609" s="41" t="s">
        <v>513</v>
      </c>
      <c r="D609" s="2">
        <v>12</v>
      </c>
      <c r="E609" s="2" t="s">
        <v>500</v>
      </c>
      <c r="F609" s="294">
        <v>3285</v>
      </c>
      <c r="G609" s="247">
        <v>5300</v>
      </c>
      <c r="H609" s="295">
        <f t="shared" si="18"/>
        <v>2015</v>
      </c>
      <c r="I609" s="250">
        <f t="shared" si="19"/>
        <v>0.38018867924528305</v>
      </c>
    </row>
    <row r="610" spans="2:9" x14ac:dyDescent="0.3">
      <c r="B610" s="2">
        <v>1246</v>
      </c>
      <c r="C610" s="41" t="s">
        <v>514</v>
      </c>
      <c r="D610" s="2">
        <v>14</v>
      </c>
      <c r="E610" s="2" t="s">
        <v>12</v>
      </c>
      <c r="F610" s="294">
        <v>13309</v>
      </c>
      <c r="G610" s="247">
        <v>16000</v>
      </c>
      <c r="H610" s="295">
        <f t="shared" si="18"/>
        <v>2691</v>
      </c>
      <c r="I610" s="250">
        <f t="shared" si="19"/>
        <v>0.16818749999999999</v>
      </c>
    </row>
    <row r="611" spans="2:9" x14ac:dyDescent="0.3">
      <c r="B611" s="2">
        <v>1248</v>
      </c>
      <c r="C611" s="41" t="s">
        <v>1728</v>
      </c>
      <c r="D611" s="2">
        <v>14</v>
      </c>
      <c r="E611" s="2" t="s">
        <v>21</v>
      </c>
      <c r="F611" s="294">
        <v>3000</v>
      </c>
      <c r="G611" s="247">
        <v>3800</v>
      </c>
      <c r="H611" s="295">
        <f t="shared" si="18"/>
        <v>800</v>
      </c>
      <c r="I611" s="250">
        <f t="shared" si="19"/>
        <v>0.21052631578947367</v>
      </c>
    </row>
    <row r="612" spans="2:9" x14ac:dyDescent="0.3">
      <c r="B612" s="2">
        <v>1249</v>
      </c>
      <c r="C612" s="41" t="s">
        <v>1729</v>
      </c>
      <c r="D612" s="2">
        <v>7</v>
      </c>
      <c r="E612" s="2" t="s">
        <v>5</v>
      </c>
      <c r="F612" s="294">
        <v>16700</v>
      </c>
      <c r="G612" s="247">
        <v>19800</v>
      </c>
      <c r="H612" s="295">
        <f t="shared" si="18"/>
        <v>3100</v>
      </c>
      <c r="I612" s="250">
        <f t="shared" si="19"/>
        <v>0.15656565656565657</v>
      </c>
    </row>
    <row r="613" spans="2:9" x14ac:dyDescent="0.3">
      <c r="B613" s="2">
        <v>1250</v>
      </c>
      <c r="C613" s="41" t="s">
        <v>515</v>
      </c>
      <c r="D613" s="2">
        <v>5</v>
      </c>
      <c r="E613" s="2" t="s">
        <v>237</v>
      </c>
      <c r="F613" s="294">
        <v>178500</v>
      </c>
      <c r="G613" s="247">
        <v>202000</v>
      </c>
      <c r="H613" s="295">
        <f t="shared" si="18"/>
        <v>23500</v>
      </c>
      <c r="I613" s="250">
        <f t="shared" si="19"/>
        <v>0.11633663366336634</v>
      </c>
    </row>
    <row r="614" spans="2:9" x14ac:dyDescent="0.3">
      <c r="B614" s="2">
        <v>1253</v>
      </c>
      <c r="C614" s="41" t="s">
        <v>1730</v>
      </c>
      <c r="D614" s="2">
        <v>5</v>
      </c>
      <c r="E614" s="2" t="s">
        <v>237</v>
      </c>
      <c r="F614" s="294">
        <v>124500</v>
      </c>
      <c r="G614" s="247">
        <v>153866.66666666666</v>
      </c>
      <c r="H614" s="295">
        <f t="shared" si="18"/>
        <v>29366.666666666657</v>
      </c>
      <c r="I614" s="250">
        <f t="shared" si="19"/>
        <v>0.19085788561525124</v>
      </c>
    </row>
    <row r="615" spans="2:9" x14ac:dyDescent="0.3">
      <c r="B615" s="2">
        <v>1254</v>
      </c>
      <c r="C615" s="41" t="s">
        <v>516</v>
      </c>
      <c r="D615" s="2">
        <v>14</v>
      </c>
      <c r="E615" s="2" t="s">
        <v>12</v>
      </c>
      <c r="F615" s="294">
        <v>37485</v>
      </c>
      <c r="G615" s="247">
        <v>45000</v>
      </c>
      <c r="H615" s="295">
        <f t="shared" si="18"/>
        <v>7515</v>
      </c>
      <c r="I615" s="250">
        <f t="shared" si="19"/>
        <v>0.16700000000000001</v>
      </c>
    </row>
    <row r="616" spans="2:9" x14ac:dyDescent="0.3">
      <c r="B616" s="2">
        <v>1263</v>
      </c>
      <c r="C616" s="41" t="s">
        <v>1731</v>
      </c>
      <c r="D616" s="2">
        <v>5</v>
      </c>
      <c r="E616" s="2" t="s">
        <v>5</v>
      </c>
      <c r="F616" s="294">
        <v>97902</v>
      </c>
      <c r="G616" s="247">
        <v>115000</v>
      </c>
      <c r="H616" s="295">
        <f t="shared" si="18"/>
        <v>17098</v>
      </c>
      <c r="I616" s="250">
        <f t="shared" si="19"/>
        <v>0.1486782608695652</v>
      </c>
    </row>
    <row r="617" spans="2:9" x14ac:dyDescent="0.3">
      <c r="B617" s="2">
        <v>1264</v>
      </c>
      <c r="C617" s="41" t="s">
        <v>1732</v>
      </c>
      <c r="D617" s="2">
        <v>8</v>
      </c>
      <c r="E617" s="2" t="s">
        <v>41</v>
      </c>
      <c r="F617" s="294">
        <v>127600</v>
      </c>
      <c r="G617" s="247">
        <v>142500</v>
      </c>
      <c r="H617" s="295">
        <f t="shared" si="18"/>
        <v>14900</v>
      </c>
      <c r="I617" s="250">
        <f t="shared" si="19"/>
        <v>0.10456140350877192</v>
      </c>
    </row>
    <row r="618" spans="2:9" x14ac:dyDescent="0.3">
      <c r="B618" s="2">
        <v>1270</v>
      </c>
      <c r="C618" s="41" t="s">
        <v>1733</v>
      </c>
      <c r="D618" s="2">
        <v>2</v>
      </c>
      <c r="E618" s="2" t="s">
        <v>1734</v>
      </c>
      <c r="F618" s="294">
        <v>14000</v>
      </c>
      <c r="G618" s="247">
        <v>15200</v>
      </c>
      <c r="H618" s="295">
        <f t="shared" si="18"/>
        <v>1200</v>
      </c>
      <c r="I618" s="250">
        <f t="shared" si="19"/>
        <v>7.8947368421052627E-2</v>
      </c>
    </row>
    <row r="619" spans="2:9" x14ac:dyDescent="0.3">
      <c r="B619" s="2">
        <v>1273</v>
      </c>
      <c r="C619" s="41" t="s">
        <v>517</v>
      </c>
      <c r="D619" s="2">
        <v>14</v>
      </c>
      <c r="E619" s="2" t="s">
        <v>81</v>
      </c>
      <c r="F619" s="294">
        <v>5654.5713999999998</v>
      </c>
      <c r="G619" s="247">
        <v>7500</v>
      </c>
      <c r="H619" s="295">
        <f t="shared" si="18"/>
        <v>1845.4286000000002</v>
      </c>
      <c r="I619" s="250">
        <f t="shared" si="19"/>
        <v>0.2460571466666667</v>
      </c>
    </row>
    <row r="620" spans="2:9" x14ac:dyDescent="0.3">
      <c r="B620" s="2">
        <v>1274</v>
      </c>
      <c r="C620" s="41" t="s">
        <v>518</v>
      </c>
      <c r="D620" s="2">
        <v>6</v>
      </c>
      <c r="E620" s="2" t="s">
        <v>16</v>
      </c>
      <c r="F620" s="294">
        <v>38800</v>
      </c>
      <c r="G620" s="247">
        <v>45400</v>
      </c>
      <c r="H620" s="295">
        <f t="shared" si="18"/>
        <v>6600</v>
      </c>
      <c r="I620" s="250">
        <f t="shared" si="19"/>
        <v>0.14537444933920704</v>
      </c>
    </row>
    <row r="621" spans="2:9" x14ac:dyDescent="0.3">
      <c r="B621" s="2">
        <v>1282</v>
      </c>
      <c r="C621" s="41" t="s">
        <v>519</v>
      </c>
      <c r="D621" s="2">
        <v>5</v>
      </c>
      <c r="E621" s="2" t="s">
        <v>16</v>
      </c>
      <c r="F621" s="294">
        <v>71250</v>
      </c>
      <c r="G621" s="247">
        <v>80666.666666666672</v>
      </c>
      <c r="H621" s="295">
        <f t="shared" si="18"/>
        <v>9416.6666666666715</v>
      </c>
      <c r="I621" s="250">
        <f t="shared" si="19"/>
        <v>0.1167355371900827</v>
      </c>
    </row>
    <row r="622" spans="2:9" x14ac:dyDescent="0.3">
      <c r="B622" s="2">
        <v>1283</v>
      </c>
      <c r="C622" s="41" t="s">
        <v>1735</v>
      </c>
      <c r="D622" s="2">
        <v>8</v>
      </c>
      <c r="E622" s="2" t="s">
        <v>328</v>
      </c>
      <c r="F622" s="294">
        <v>50400</v>
      </c>
      <c r="G622" s="247">
        <v>76200</v>
      </c>
      <c r="H622" s="295">
        <f t="shared" si="18"/>
        <v>25800</v>
      </c>
      <c r="I622" s="250">
        <f t="shared" si="19"/>
        <v>0.33858267716535434</v>
      </c>
    </row>
    <row r="623" spans="2:9" x14ac:dyDescent="0.3">
      <c r="B623" s="2">
        <v>1284</v>
      </c>
      <c r="C623" s="41" t="s">
        <v>520</v>
      </c>
      <c r="D623" s="2">
        <v>2</v>
      </c>
      <c r="E623" s="2" t="s">
        <v>237</v>
      </c>
      <c r="F623" s="294">
        <v>79424.100000000006</v>
      </c>
      <c r="G623" s="247">
        <v>88200</v>
      </c>
      <c r="H623" s="295">
        <f t="shared" si="18"/>
        <v>8775.8999999999942</v>
      </c>
      <c r="I623" s="250">
        <f t="shared" si="19"/>
        <v>9.9499999999999936E-2</v>
      </c>
    </row>
    <row r="624" spans="2:9" x14ac:dyDescent="0.3">
      <c r="B624" s="2">
        <v>1285</v>
      </c>
      <c r="C624" s="41" t="s">
        <v>521</v>
      </c>
      <c r="D624" s="2">
        <v>10</v>
      </c>
      <c r="E624" s="2" t="s">
        <v>12</v>
      </c>
      <c r="F624" s="294">
        <v>53550</v>
      </c>
      <c r="G624" s="247">
        <v>59500</v>
      </c>
      <c r="H624" s="295">
        <f t="shared" si="18"/>
        <v>5950</v>
      </c>
      <c r="I624" s="250">
        <f t="shared" si="19"/>
        <v>0.1</v>
      </c>
    </row>
    <row r="625" spans="2:9" x14ac:dyDescent="0.3">
      <c r="B625" s="2">
        <v>1301</v>
      </c>
      <c r="C625" s="41" t="s">
        <v>522</v>
      </c>
      <c r="D625" s="2">
        <v>1</v>
      </c>
      <c r="E625" s="2" t="s">
        <v>243</v>
      </c>
      <c r="F625" s="294">
        <v>210000</v>
      </c>
      <c r="G625" s="247">
        <v>235500</v>
      </c>
      <c r="H625" s="295">
        <f t="shared" si="18"/>
        <v>25500</v>
      </c>
      <c r="I625" s="250">
        <f t="shared" si="19"/>
        <v>0.10828025477707007</v>
      </c>
    </row>
    <row r="626" spans="2:9" x14ac:dyDescent="0.3">
      <c r="B626" s="2">
        <v>1303</v>
      </c>
      <c r="C626" s="41" t="s">
        <v>523</v>
      </c>
      <c r="D626" s="2">
        <v>7</v>
      </c>
      <c r="E626" s="2" t="s">
        <v>12</v>
      </c>
      <c r="F626" s="294">
        <v>1500</v>
      </c>
      <c r="G626" s="247">
        <v>2000</v>
      </c>
      <c r="H626" s="295">
        <f t="shared" si="18"/>
        <v>500</v>
      </c>
      <c r="I626" s="250">
        <f t="shared" si="19"/>
        <v>0.25</v>
      </c>
    </row>
    <row r="627" spans="2:9" x14ac:dyDescent="0.3">
      <c r="B627" s="2">
        <v>1304</v>
      </c>
      <c r="C627" s="41" t="s">
        <v>524</v>
      </c>
      <c r="D627" s="2">
        <v>7</v>
      </c>
      <c r="E627" s="2" t="s">
        <v>12</v>
      </c>
      <c r="F627" s="294">
        <v>16279.2</v>
      </c>
      <c r="G627" s="247">
        <v>18500</v>
      </c>
      <c r="H627" s="295">
        <f t="shared" si="18"/>
        <v>2220.7999999999993</v>
      </c>
      <c r="I627" s="250">
        <f t="shared" si="19"/>
        <v>0.1200432432432432</v>
      </c>
    </row>
    <row r="628" spans="2:9" x14ac:dyDescent="0.3">
      <c r="B628" s="2">
        <v>1305</v>
      </c>
      <c r="C628" s="41" t="s">
        <v>525</v>
      </c>
      <c r="D628" s="2">
        <v>7</v>
      </c>
      <c r="E628" s="2" t="s">
        <v>160</v>
      </c>
      <c r="F628" s="294">
        <v>1480</v>
      </c>
      <c r="G628" s="247">
        <v>2200</v>
      </c>
      <c r="H628" s="295">
        <f t="shared" si="18"/>
        <v>720</v>
      </c>
      <c r="I628" s="250">
        <f t="shared" si="19"/>
        <v>0.32727272727272727</v>
      </c>
    </row>
    <row r="629" spans="2:9" x14ac:dyDescent="0.3">
      <c r="B629" s="2">
        <v>1307</v>
      </c>
      <c r="C629" s="41" t="s">
        <v>526</v>
      </c>
      <c r="D629" s="2">
        <v>7</v>
      </c>
      <c r="E629" s="2" t="s">
        <v>21</v>
      </c>
      <c r="F629" s="294">
        <v>850</v>
      </c>
      <c r="G629" s="247">
        <v>1266.6666666666667</v>
      </c>
      <c r="H629" s="295">
        <f t="shared" si="18"/>
        <v>416.66666666666674</v>
      </c>
      <c r="I629" s="250">
        <f t="shared" si="19"/>
        <v>0.32894736842105265</v>
      </c>
    </row>
    <row r="630" spans="2:9" x14ac:dyDescent="0.3">
      <c r="B630" s="2">
        <v>1310</v>
      </c>
      <c r="C630" s="41" t="s">
        <v>1736</v>
      </c>
      <c r="D630" s="2">
        <v>9</v>
      </c>
      <c r="E630" s="2" t="s">
        <v>12</v>
      </c>
      <c r="F630" s="294">
        <v>20235.95</v>
      </c>
      <c r="G630" s="247">
        <v>23500</v>
      </c>
      <c r="H630" s="295">
        <f t="shared" si="18"/>
        <v>3264.0499999999993</v>
      </c>
      <c r="I630" s="250">
        <f t="shared" si="19"/>
        <v>0.13889574468085103</v>
      </c>
    </row>
    <row r="631" spans="2:9" x14ac:dyDescent="0.3">
      <c r="B631" s="2">
        <v>1312</v>
      </c>
      <c r="C631" s="41" t="s">
        <v>527</v>
      </c>
      <c r="D631" s="2">
        <v>1</v>
      </c>
      <c r="E631" s="2" t="s">
        <v>12</v>
      </c>
      <c r="F631" s="294">
        <v>185000</v>
      </c>
      <c r="G631" s="247">
        <v>185666.66666666666</v>
      </c>
      <c r="H631" s="295">
        <f t="shared" si="18"/>
        <v>666.66666666665697</v>
      </c>
      <c r="I631" s="250">
        <f t="shared" si="19"/>
        <v>3.5906642728904328E-3</v>
      </c>
    </row>
    <row r="632" spans="2:9" x14ac:dyDescent="0.3">
      <c r="B632" s="2">
        <v>1315</v>
      </c>
      <c r="C632" s="41" t="s">
        <v>528</v>
      </c>
      <c r="D632" s="2">
        <v>2</v>
      </c>
      <c r="E632" s="2" t="s">
        <v>12</v>
      </c>
      <c r="F632" s="294">
        <v>10000</v>
      </c>
      <c r="G632" s="247">
        <v>10933.333333333334</v>
      </c>
      <c r="H632" s="295">
        <f t="shared" si="18"/>
        <v>933.33333333333394</v>
      </c>
      <c r="I632" s="250">
        <f t="shared" si="19"/>
        <v>8.5365853658536633E-2</v>
      </c>
    </row>
    <row r="633" spans="2:9" x14ac:dyDescent="0.3">
      <c r="B633" s="2">
        <v>1316</v>
      </c>
      <c r="C633" s="41" t="s">
        <v>1737</v>
      </c>
      <c r="D633" s="2">
        <v>5</v>
      </c>
      <c r="E633" s="2" t="s">
        <v>12</v>
      </c>
      <c r="F633" s="294">
        <v>30500</v>
      </c>
      <c r="G633" s="247">
        <v>35000</v>
      </c>
      <c r="H633" s="295">
        <f t="shared" si="18"/>
        <v>4500</v>
      </c>
      <c r="I633" s="250">
        <f t="shared" si="19"/>
        <v>0.12857142857142856</v>
      </c>
    </row>
    <row r="634" spans="2:9" x14ac:dyDescent="0.3">
      <c r="B634" s="2">
        <v>1323</v>
      </c>
      <c r="C634" s="41" t="s">
        <v>529</v>
      </c>
      <c r="D634" s="2">
        <v>2</v>
      </c>
      <c r="E634" s="2" t="s">
        <v>5</v>
      </c>
      <c r="F634" s="294">
        <v>2289</v>
      </c>
      <c r="G634" s="247">
        <v>2666.6666666666665</v>
      </c>
      <c r="H634" s="295">
        <f t="shared" si="18"/>
        <v>377.66666666666652</v>
      </c>
      <c r="I634" s="250">
        <f t="shared" si="19"/>
        <v>0.14162499999999995</v>
      </c>
    </row>
    <row r="635" spans="2:9" x14ac:dyDescent="0.3">
      <c r="B635" s="2">
        <v>1324</v>
      </c>
      <c r="C635" s="41" t="s">
        <v>530</v>
      </c>
      <c r="D635" s="2">
        <v>2</v>
      </c>
      <c r="E635" s="2" t="s">
        <v>12</v>
      </c>
      <c r="F635" s="294">
        <v>12300</v>
      </c>
      <c r="G635" s="247">
        <v>13200</v>
      </c>
      <c r="H635" s="295">
        <f t="shared" si="18"/>
        <v>900</v>
      </c>
      <c r="I635" s="250">
        <f t="shared" si="19"/>
        <v>6.8181818181818177E-2</v>
      </c>
    </row>
    <row r="636" spans="2:9" x14ac:dyDescent="0.3">
      <c r="B636" s="2">
        <v>1327</v>
      </c>
      <c r="C636" s="41" t="s">
        <v>1738</v>
      </c>
      <c r="D636" s="2">
        <v>8</v>
      </c>
      <c r="E636" s="2" t="s">
        <v>16</v>
      </c>
      <c r="F636" s="294">
        <v>33000</v>
      </c>
      <c r="G636" s="247">
        <v>39500</v>
      </c>
      <c r="H636" s="295">
        <f t="shared" si="18"/>
        <v>6500</v>
      </c>
      <c r="I636" s="250">
        <f t="shared" si="19"/>
        <v>0.16455696202531644</v>
      </c>
    </row>
    <row r="637" spans="2:9" x14ac:dyDescent="0.3">
      <c r="B637" s="2">
        <v>1328</v>
      </c>
      <c r="C637" s="41" t="s">
        <v>1739</v>
      </c>
      <c r="D637" s="2">
        <v>9</v>
      </c>
      <c r="E637" s="2" t="s">
        <v>12</v>
      </c>
      <c r="F637" s="294">
        <v>242188.79999999999</v>
      </c>
      <c r="G637" s="247">
        <v>271000</v>
      </c>
      <c r="H637" s="295">
        <f t="shared" si="18"/>
        <v>28811.200000000012</v>
      </c>
      <c r="I637" s="250">
        <f t="shared" si="19"/>
        <v>0.10631439114391149</v>
      </c>
    </row>
    <row r="638" spans="2:9" x14ac:dyDescent="0.3">
      <c r="B638" s="2">
        <v>1332</v>
      </c>
      <c r="C638" s="41" t="s">
        <v>531</v>
      </c>
      <c r="D638" s="2">
        <v>7</v>
      </c>
      <c r="E638" s="2" t="s">
        <v>12</v>
      </c>
      <c r="F638" s="294">
        <v>2420</v>
      </c>
      <c r="G638" s="247">
        <v>2800</v>
      </c>
      <c r="H638" s="295">
        <f t="shared" si="18"/>
        <v>380</v>
      </c>
      <c r="I638" s="250">
        <f t="shared" si="19"/>
        <v>0.1357142857142857</v>
      </c>
    </row>
    <row r="639" spans="2:9" x14ac:dyDescent="0.3">
      <c r="B639" s="2">
        <v>1334</v>
      </c>
      <c r="C639" s="41" t="s">
        <v>532</v>
      </c>
      <c r="D639" s="2">
        <v>12</v>
      </c>
      <c r="E639" s="2" t="s">
        <v>12</v>
      </c>
      <c r="F639" s="294">
        <v>2100.9450000000002</v>
      </c>
      <c r="G639" s="247">
        <v>3200</v>
      </c>
      <c r="H639" s="295">
        <f t="shared" si="18"/>
        <v>1099.0549999999998</v>
      </c>
      <c r="I639" s="250">
        <f t="shared" si="19"/>
        <v>0.34345468749999997</v>
      </c>
    </row>
    <row r="640" spans="2:9" x14ac:dyDescent="0.3">
      <c r="B640" s="2">
        <v>1336</v>
      </c>
      <c r="C640" s="41" t="s">
        <v>1740</v>
      </c>
      <c r="D640" s="2">
        <v>6</v>
      </c>
      <c r="E640" s="2" t="s">
        <v>16</v>
      </c>
      <c r="F640" s="294">
        <v>67000</v>
      </c>
      <c r="G640" s="247">
        <v>73966.666666666672</v>
      </c>
      <c r="H640" s="295">
        <f t="shared" si="18"/>
        <v>6966.6666666666715</v>
      </c>
      <c r="I640" s="250">
        <f t="shared" si="19"/>
        <v>9.418657052726459E-2</v>
      </c>
    </row>
    <row r="641" spans="2:9" x14ac:dyDescent="0.3">
      <c r="B641" s="2">
        <v>1338</v>
      </c>
      <c r="C641" s="41" t="s">
        <v>533</v>
      </c>
      <c r="D641" s="2">
        <v>2</v>
      </c>
      <c r="E641" s="2" t="s">
        <v>5</v>
      </c>
      <c r="F641" s="294">
        <v>21100</v>
      </c>
      <c r="G641" s="247">
        <v>23000</v>
      </c>
      <c r="H641" s="295">
        <f t="shared" si="18"/>
        <v>1900</v>
      </c>
      <c r="I641" s="250">
        <f t="shared" si="19"/>
        <v>8.2608695652173908E-2</v>
      </c>
    </row>
    <row r="642" spans="2:9" x14ac:dyDescent="0.3">
      <c r="B642" s="2">
        <v>1340</v>
      </c>
      <c r="C642" s="41" t="s">
        <v>534</v>
      </c>
      <c r="D642" s="2">
        <v>12</v>
      </c>
      <c r="E642" s="2" t="s">
        <v>12</v>
      </c>
      <c r="F642" s="294">
        <v>36120</v>
      </c>
      <c r="G642" s="247">
        <v>45000</v>
      </c>
      <c r="H642" s="295">
        <f t="shared" si="18"/>
        <v>8880</v>
      </c>
      <c r="I642" s="250">
        <f t="shared" si="19"/>
        <v>0.19733333333333333</v>
      </c>
    </row>
    <row r="643" spans="2:9" x14ac:dyDescent="0.3">
      <c r="B643" s="2">
        <v>1343</v>
      </c>
      <c r="C643" s="41" t="s">
        <v>535</v>
      </c>
      <c r="D643" s="2">
        <v>2</v>
      </c>
      <c r="E643" s="2" t="s">
        <v>5</v>
      </c>
      <c r="F643" s="294">
        <v>2170.3436999999999</v>
      </c>
      <c r="G643" s="247">
        <v>2500</v>
      </c>
      <c r="H643" s="295">
        <f t="shared" si="18"/>
        <v>329.6563000000001</v>
      </c>
      <c r="I643" s="250">
        <f t="shared" si="19"/>
        <v>0.13186252000000004</v>
      </c>
    </row>
    <row r="644" spans="2:9" x14ac:dyDescent="0.3">
      <c r="B644" s="2">
        <v>1344</v>
      </c>
      <c r="C644" s="41" t="s">
        <v>536</v>
      </c>
      <c r="D644" s="2">
        <v>5</v>
      </c>
      <c r="E644" s="2" t="s">
        <v>41</v>
      </c>
      <c r="F644" s="294">
        <v>145100</v>
      </c>
      <c r="G644" s="247">
        <v>161000</v>
      </c>
      <c r="H644" s="295">
        <f t="shared" si="18"/>
        <v>15900</v>
      </c>
      <c r="I644" s="250">
        <f t="shared" si="19"/>
        <v>9.8757763975155274E-2</v>
      </c>
    </row>
    <row r="645" spans="2:9" x14ac:dyDescent="0.3">
      <c r="B645" s="2">
        <v>1345</v>
      </c>
      <c r="C645" s="41" t="s">
        <v>537</v>
      </c>
      <c r="D645" s="2">
        <v>6</v>
      </c>
      <c r="E645" s="2" t="s">
        <v>81</v>
      </c>
      <c r="F645" s="294">
        <v>47878.9</v>
      </c>
      <c r="G645" s="247">
        <v>56183.333333333336</v>
      </c>
      <c r="H645" s="295">
        <f t="shared" si="18"/>
        <v>8304.4333333333343</v>
      </c>
      <c r="I645" s="250">
        <f t="shared" si="19"/>
        <v>0.14780955206170276</v>
      </c>
    </row>
    <row r="646" spans="2:9" x14ac:dyDescent="0.3">
      <c r="B646" s="2">
        <v>1347</v>
      </c>
      <c r="C646" s="41" t="s">
        <v>538</v>
      </c>
      <c r="D646" s="2">
        <v>5</v>
      </c>
      <c r="E646" s="2" t="s">
        <v>16</v>
      </c>
      <c r="F646" s="294">
        <v>48500</v>
      </c>
      <c r="G646" s="247">
        <v>55200</v>
      </c>
      <c r="H646" s="295">
        <f t="shared" ref="H646:H709" si="20">G646-F646</f>
        <v>6700</v>
      </c>
      <c r="I646" s="250">
        <f t="shared" ref="I646:I709" si="21">H646/G646</f>
        <v>0.1213768115942029</v>
      </c>
    </row>
    <row r="647" spans="2:9" x14ac:dyDescent="0.3">
      <c r="B647" s="2">
        <v>1351</v>
      </c>
      <c r="C647" s="41" t="s">
        <v>539</v>
      </c>
      <c r="D647" s="2">
        <v>14</v>
      </c>
      <c r="E647" s="2" t="s">
        <v>12</v>
      </c>
      <c r="F647" s="294">
        <v>13391</v>
      </c>
      <c r="G647" s="247">
        <v>16000</v>
      </c>
      <c r="H647" s="295">
        <f t="shared" si="20"/>
        <v>2609</v>
      </c>
      <c r="I647" s="250">
        <f t="shared" si="21"/>
        <v>0.1630625</v>
      </c>
    </row>
    <row r="648" spans="2:9" x14ac:dyDescent="0.3">
      <c r="B648" s="2">
        <v>1352</v>
      </c>
      <c r="C648" s="41" t="s">
        <v>540</v>
      </c>
      <c r="D648" s="2">
        <v>14</v>
      </c>
      <c r="E648" s="2" t="s">
        <v>12</v>
      </c>
      <c r="F648" s="294">
        <v>19320</v>
      </c>
      <c r="G648" s="247">
        <v>26000</v>
      </c>
      <c r="H648" s="295">
        <f t="shared" si="20"/>
        <v>6680</v>
      </c>
      <c r="I648" s="250">
        <f t="shared" si="21"/>
        <v>0.25692307692307692</v>
      </c>
    </row>
    <row r="649" spans="2:9" x14ac:dyDescent="0.3">
      <c r="B649" s="2">
        <v>1358</v>
      </c>
      <c r="C649" s="41" t="s">
        <v>541</v>
      </c>
      <c r="D649" s="2">
        <v>14</v>
      </c>
      <c r="E649" s="2" t="s">
        <v>12</v>
      </c>
      <c r="F649" s="294">
        <v>20255</v>
      </c>
      <c r="G649" s="247">
        <v>24600</v>
      </c>
      <c r="H649" s="295">
        <f t="shared" si="20"/>
        <v>4345</v>
      </c>
      <c r="I649" s="250">
        <f t="shared" si="21"/>
        <v>0.17662601626016261</v>
      </c>
    </row>
    <row r="650" spans="2:9" x14ac:dyDescent="0.3">
      <c r="B650" s="2">
        <v>1360</v>
      </c>
      <c r="C650" s="41" t="s">
        <v>542</v>
      </c>
      <c r="D650" s="2">
        <v>2</v>
      </c>
      <c r="E650" s="2" t="s">
        <v>227</v>
      </c>
      <c r="F650" s="294">
        <v>6499.9942000000001</v>
      </c>
      <c r="G650" s="247">
        <v>15000</v>
      </c>
      <c r="H650" s="295">
        <f t="shared" si="20"/>
        <v>8500.005799999999</v>
      </c>
      <c r="I650" s="250">
        <f t="shared" si="21"/>
        <v>0.56666705333333323</v>
      </c>
    </row>
    <row r="651" spans="2:9" x14ac:dyDescent="0.3">
      <c r="B651" s="2">
        <v>1361</v>
      </c>
      <c r="C651" s="41" t="s">
        <v>544</v>
      </c>
      <c r="D651" s="2">
        <v>9</v>
      </c>
      <c r="E651" s="2" t="s">
        <v>12</v>
      </c>
      <c r="F651" s="294">
        <v>57120.336000000003</v>
      </c>
      <c r="G651" s="247">
        <v>65200</v>
      </c>
      <c r="H651" s="295">
        <f t="shared" si="20"/>
        <v>8079.663999999997</v>
      </c>
      <c r="I651" s="250">
        <f t="shared" si="21"/>
        <v>0.12392122699386499</v>
      </c>
    </row>
    <row r="652" spans="2:9" x14ac:dyDescent="0.3">
      <c r="B652" s="2">
        <v>1363</v>
      </c>
      <c r="C652" s="41" t="s">
        <v>545</v>
      </c>
      <c r="D652" s="2">
        <v>14</v>
      </c>
      <c r="E652" s="2" t="s">
        <v>12</v>
      </c>
      <c r="F652" s="294">
        <v>7750</v>
      </c>
      <c r="G652" s="247">
        <v>9500</v>
      </c>
      <c r="H652" s="295">
        <f t="shared" si="20"/>
        <v>1750</v>
      </c>
      <c r="I652" s="250">
        <f t="shared" si="21"/>
        <v>0.18421052631578946</v>
      </c>
    </row>
    <row r="653" spans="2:9" x14ac:dyDescent="0.3">
      <c r="B653" s="2">
        <v>1365</v>
      </c>
      <c r="C653" s="41" t="s">
        <v>546</v>
      </c>
      <c r="D653" s="2">
        <v>9</v>
      </c>
      <c r="E653" s="2" t="s">
        <v>227</v>
      </c>
      <c r="F653" s="294">
        <v>86219.212799999994</v>
      </c>
      <c r="G653" s="247">
        <v>122933.33333333333</v>
      </c>
      <c r="H653" s="295">
        <f t="shared" si="20"/>
        <v>36714.120533333335</v>
      </c>
      <c r="I653" s="250">
        <f t="shared" si="21"/>
        <v>0.2986506550976139</v>
      </c>
    </row>
    <row r="654" spans="2:9" x14ac:dyDescent="0.3">
      <c r="B654" s="2">
        <v>1368</v>
      </c>
      <c r="C654" s="41" t="s">
        <v>547</v>
      </c>
      <c r="D654" s="2">
        <v>9</v>
      </c>
      <c r="E654" s="2" t="s">
        <v>338</v>
      </c>
      <c r="F654" s="294">
        <v>126166.18</v>
      </c>
      <c r="G654" s="247">
        <v>158000</v>
      </c>
      <c r="H654" s="295">
        <f t="shared" si="20"/>
        <v>31833.820000000007</v>
      </c>
      <c r="I654" s="250">
        <f t="shared" si="21"/>
        <v>0.20147987341772156</v>
      </c>
    </row>
    <row r="655" spans="2:9" x14ac:dyDescent="0.3">
      <c r="B655" s="2">
        <v>1377</v>
      </c>
      <c r="C655" s="41" t="s">
        <v>548</v>
      </c>
      <c r="D655" s="2">
        <v>14</v>
      </c>
      <c r="E655" s="2" t="s">
        <v>12</v>
      </c>
      <c r="F655" s="294">
        <v>18397</v>
      </c>
      <c r="G655" s="247">
        <v>22000</v>
      </c>
      <c r="H655" s="295">
        <f t="shared" si="20"/>
        <v>3603</v>
      </c>
      <c r="I655" s="250">
        <f t="shared" si="21"/>
        <v>0.16377272727272726</v>
      </c>
    </row>
    <row r="656" spans="2:9" x14ac:dyDescent="0.3">
      <c r="B656" s="2">
        <v>1379</v>
      </c>
      <c r="C656" s="41" t="s">
        <v>549</v>
      </c>
      <c r="D656" s="2">
        <v>6</v>
      </c>
      <c r="E656" s="2" t="s">
        <v>81</v>
      </c>
      <c r="F656" s="294">
        <v>12700</v>
      </c>
      <c r="G656" s="247">
        <v>14500</v>
      </c>
      <c r="H656" s="295">
        <f t="shared" si="20"/>
        <v>1800</v>
      </c>
      <c r="I656" s="250">
        <f t="shared" si="21"/>
        <v>0.12413793103448276</v>
      </c>
    </row>
    <row r="657" spans="2:30" x14ac:dyDescent="0.3">
      <c r="B657" s="2">
        <v>1386</v>
      </c>
      <c r="C657" s="41" t="s">
        <v>550</v>
      </c>
      <c r="D657" s="2">
        <v>2</v>
      </c>
      <c r="E657" s="2" t="s">
        <v>5</v>
      </c>
      <c r="F657" s="294">
        <v>3203.55</v>
      </c>
      <c r="G657" s="247">
        <v>3683.3333333333335</v>
      </c>
      <c r="H657" s="295">
        <f t="shared" si="20"/>
        <v>479.7833333333333</v>
      </c>
      <c r="I657" s="250">
        <f t="shared" si="21"/>
        <v>0.13025791855203619</v>
      </c>
    </row>
    <row r="658" spans="2:30" x14ac:dyDescent="0.3">
      <c r="B658" s="2">
        <v>1389</v>
      </c>
      <c r="C658" s="41" t="s">
        <v>1741</v>
      </c>
      <c r="D658" s="2">
        <v>2</v>
      </c>
      <c r="E658" s="2" t="s">
        <v>5</v>
      </c>
      <c r="F658" s="294">
        <v>86397.15</v>
      </c>
      <c r="G658" s="247">
        <v>97250</v>
      </c>
      <c r="H658" s="295">
        <f t="shared" si="20"/>
        <v>10852.850000000006</v>
      </c>
      <c r="I658" s="250">
        <f t="shared" si="21"/>
        <v>0.11159742930591265</v>
      </c>
    </row>
    <row r="659" spans="2:30" x14ac:dyDescent="0.3">
      <c r="B659" s="2">
        <v>1390</v>
      </c>
      <c r="C659" s="41" t="s">
        <v>551</v>
      </c>
      <c r="D659" s="2">
        <v>2</v>
      </c>
      <c r="E659" s="2" t="s">
        <v>243</v>
      </c>
      <c r="F659" s="294">
        <v>85600</v>
      </c>
      <c r="G659" s="247">
        <v>93333.333333333328</v>
      </c>
      <c r="H659" s="295">
        <f t="shared" si="20"/>
        <v>7733.3333333333285</v>
      </c>
      <c r="I659" s="250">
        <f t="shared" si="21"/>
        <v>8.285714285714281E-2</v>
      </c>
      <c r="AA659"/>
      <c r="AB659"/>
      <c r="AC659"/>
      <c r="AD659"/>
    </row>
    <row r="660" spans="2:30" x14ac:dyDescent="0.3">
      <c r="B660" s="2">
        <v>1393</v>
      </c>
      <c r="C660" s="41" t="s">
        <v>1742</v>
      </c>
      <c r="D660" s="2">
        <v>9</v>
      </c>
      <c r="E660" s="2" t="s">
        <v>12</v>
      </c>
      <c r="F660" s="294">
        <v>16594.704000000002</v>
      </c>
      <c r="G660" s="247">
        <v>19500</v>
      </c>
      <c r="H660" s="295">
        <f t="shared" si="20"/>
        <v>2905.2959999999985</v>
      </c>
      <c r="I660" s="250">
        <f t="shared" si="21"/>
        <v>0.1489895384615384</v>
      </c>
      <c r="AA660"/>
      <c r="AB660"/>
      <c r="AC660"/>
      <c r="AD660"/>
    </row>
    <row r="661" spans="2:30" x14ac:dyDescent="0.3">
      <c r="B661" s="2">
        <v>1396</v>
      </c>
      <c r="C661" s="41" t="s">
        <v>1743</v>
      </c>
      <c r="D661" s="2">
        <v>2</v>
      </c>
      <c r="E661" s="2" t="s">
        <v>10</v>
      </c>
      <c r="F661" s="294">
        <v>90000</v>
      </c>
      <c r="G661" s="247">
        <v>101800</v>
      </c>
      <c r="H661" s="295">
        <f t="shared" si="20"/>
        <v>11800</v>
      </c>
      <c r="I661" s="250">
        <f t="shared" si="21"/>
        <v>0.11591355599214145</v>
      </c>
      <c r="AA661"/>
      <c r="AB661"/>
      <c r="AC661"/>
      <c r="AD661"/>
    </row>
    <row r="662" spans="2:30" x14ac:dyDescent="0.3">
      <c r="B662" s="2">
        <v>1404</v>
      </c>
      <c r="C662" s="41" t="s">
        <v>552</v>
      </c>
      <c r="D662" s="2">
        <v>14</v>
      </c>
      <c r="E662" s="2" t="s">
        <v>12</v>
      </c>
      <c r="F662" s="294">
        <v>65559</v>
      </c>
      <c r="G662" s="247">
        <v>80400</v>
      </c>
      <c r="H662" s="295">
        <f t="shared" si="20"/>
        <v>14841</v>
      </c>
      <c r="I662" s="250">
        <f t="shared" si="21"/>
        <v>0.18458955223880597</v>
      </c>
      <c r="AA662"/>
      <c r="AB662"/>
      <c r="AC662"/>
      <c r="AD662"/>
    </row>
    <row r="663" spans="2:30" x14ac:dyDescent="0.3">
      <c r="B663" s="2">
        <v>1409</v>
      </c>
      <c r="C663" s="41" t="s">
        <v>553</v>
      </c>
      <c r="D663" s="2">
        <v>14</v>
      </c>
      <c r="E663" s="2" t="s">
        <v>12</v>
      </c>
      <c r="F663" s="294">
        <v>23669</v>
      </c>
      <c r="G663" s="247">
        <v>27916.666666666668</v>
      </c>
      <c r="H663" s="295">
        <f t="shared" si="20"/>
        <v>4247.6666666666679</v>
      </c>
      <c r="I663" s="250">
        <f t="shared" si="21"/>
        <v>0.15215522388059705</v>
      </c>
      <c r="AA663"/>
      <c r="AB663"/>
      <c r="AC663"/>
      <c r="AD663"/>
    </row>
    <row r="664" spans="2:30" x14ac:dyDescent="0.3">
      <c r="B664" s="2">
        <v>1411</v>
      </c>
      <c r="C664" s="41" t="s">
        <v>1744</v>
      </c>
      <c r="D664" s="2">
        <v>6</v>
      </c>
      <c r="E664" s="2" t="s">
        <v>16</v>
      </c>
      <c r="F664" s="294">
        <v>42200</v>
      </c>
      <c r="G664" s="247">
        <v>51533.333333333336</v>
      </c>
      <c r="H664" s="295">
        <f t="shared" si="20"/>
        <v>9333.3333333333358</v>
      </c>
      <c r="I664" s="250">
        <f t="shared" si="21"/>
        <v>0.18111254851228981</v>
      </c>
    </row>
    <row r="665" spans="2:30" x14ac:dyDescent="0.3">
      <c r="B665" s="2">
        <v>1412</v>
      </c>
      <c r="C665" s="41" t="s">
        <v>555</v>
      </c>
      <c r="D665" s="2">
        <v>12</v>
      </c>
      <c r="E665" s="2" t="s">
        <v>12</v>
      </c>
      <c r="F665" s="294">
        <v>6545</v>
      </c>
      <c r="G665" s="247">
        <v>8000</v>
      </c>
      <c r="H665" s="295">
        <f t="shared" si="20"/>
        <v>1455</v>
      </c>
      <c r="I665" s="250">
        <f t="shared" si="21"/>
        <v>0.18187500000000001</v>
      </c>
      <c r="AA665"/>
      <c r="AB665"/>
      <c r="AC665"/>
      <c r="AD665"/>
    </row>
    <row r="666" spans="2:30" x14ac:dyDescent="0.3">
      <c r="B666" s="2">
        <v>1420</v>
      </c>
      <c r="C666" s="41" t="s">
        <v>1745</v>
      </c>
      <c r="D666" s="2">
        <v>2</v>
      </c>
      <c r="E666" s="2" t="s">
        <v>243</v>
      </c>
      <c r="F666" s="294">
        <v>91428.75</v>
      </c>
      <c r="G666" s="247">
        <v>104083.33333333333</v>
      </c>
      <c r="H666" s="295">
        <f t="shared" si="20"/>
        <v>12654.583333333328</v>
      </c>
      <c r="I666" s="250">
        <f t="shared" si="21"/>
        <v>0.12158126501200957</v>
      </c>
    </row>
    <row r="667" spans="2:30" x14ac:dyDescent="0.3">
      <c r="B667" s="2">
        <v>1422</v>
      </c>
      <c r="C667" s="41" t="s">
        <v>557</v>
      </c>
      <c r="D667" s="2">
        <v>5</v>
      </c>
      <c r="E667" s="2" t="s">
        <v>41</v>
      </c>
      <c r="F667" s="294">
        <v>46000</v>
      </c>
      <c r="G667" s="247">
        <v>75666.666666666672</v>
      </c>
      <c r="H667" s="295">
        <f t="shared" si="20"/>
        <v>29666.666666666672</v>
      </c>
      <c r="I667" s="250">
        <f t="shared" si="21"/>
        <v>0.39207048458149785</v>
      </c>
    </row>
    <row r="668" spans="2:30" x14ac:dyDescent="0.3">
      <c r="B668" s="2">
        <v>1427</v>
      </c>
      <c r="C668" s="41" t="s">
        <v>558</v>
      </c>
      <c r="D668" s="2">
        <v>2</v>
      </c>
      <c r="E668" s="2" t="s">
        <v>543</v>
      </c>
      <c r="F668" s="294">
        <v>3599.99</v>
      </c>
      <c r="G668" s="247">
        <v>4600</v>
      </c>
      <c r="H668" s="295">
        <f t="shared" si="20"/>
        <v>1000.0100000000002</v>
      </c>
      <c r="I668" s="250">
        <f t="shared" si="21"/>
        <v>0.2173934782608696</v>
      </c>
      <c r="AA668"/>
      <c r="AB668"/>
      <c r="AC668"/>
      <c r="AD668"/>
    </row>
    <row r="669" spans="2:30" x14ac:dyDescent="0.3">
      <c r="B669" s="2">
        <v>1435</v>
      </c>
      <c r="C669" s="41" t="s">
        <v>559</v>
      </c>
      <c r="D669" s="2">
        <v>7</v>
      </c>
      <c r="E669" s="2" t="s">
        <v>21</v>
      </c>
      <c r="F669" s="294">
        <v>1890</v>
      </c>
      <c r="G669" s="247">
        <v>2200</v>
      </c>
      <c r="H669" s="295">
        <f t="shared" si="20"/>
        <v>310</v>
      </c>
      <c r="I669" s="250">
        <f t="shared" si="21"/>
        <v>0.1409090909090909</v>
      </c>
    </row>
    <row r="670" spans="2:30" x14ac:dyDescent="0.3">
      <c r="B670" s="2">
        <v>1436</v>
      </c>
      <c r="C670" s="41" t="s">
        <v>1746</v>
      </c>
      <c r="D670" s="2">
        <v>5</v>
      </c>
      <c r="E670" s="2" t="s">
        <v>27</v>
      </c>
      <c r="F670" s="294">
        <v>153000</v>
      </c>
      <c r="G670" s="247">
        <v>172000</v>
      </c>
      <c r="H670" s="295">
        <f t="shared" si="20"/>
        <v>19000</v>
      </c>
      <c r="I670" s="250">
        <f t="shared" si="21"/>
        <v>0.11046511627906977</v>
      </c>
      <c r="Z670"/>
      <c r="AA670"/>
      <c r="AB670"/>
      <c r="AC670"/>
      <c r="AD670"/>
    </row>
    <row r="671" spans="2:30" x14ac:dyDescent="0.3">
      <c r="B671" s="2">
        <v>1439</v>
      </c>
      <c r="C671" s="41" t="s">
        <v>560</v>
      </c>
      <c r="D671" s="2">
        <v>5</v>
      </c>
      <c r="E671" s="2" t="s">
        <v>23</v>
      </c>
      <c r="F671" s="294">
        <v>39000</v>
      </c>
      <c r="G671" s="247">
        <v>46000</v>
      </c>
      <c r="H671" s="295">
        <f t="shared" si="20"/>
        <v>7000</v>
      </c>
      <c r="I671" s="250">
        <f t="shared" si="21"/>
        <v>0.15217391304347827</v>
      </c>
    </row>
    <row r="672" spans="2:30" x14ac:dyDescent="0.3">
      <c r="B672" s="2">
        <v>1444</v>
      </c>
      <c r="C672" s="41" t="s">
        <v>561</v>
      </c>
      <c r="D672" s="2">
        <v>2</v>
      </c>
      <c r="E672" s="2" t="s">
        <v>5</v>
      </c>
      <c r="F672" s="294">
        <v>38799.999000000003</v>
      </c>
      <c r="G672" s="247">
        <v>42600</v>
      </c>
      <c r="H672" s="295">
        <f t="shared" si="20"/>
        <v>3800.0009999999966</v>
      </c>
      <c r="I672" s="250">
        <f t="shared" si="21"/>
        <v>8.9201901408450621E-2</v>
      </c>
      <c r="AA672"/>
      <c r="AB672"/>
      <c r="AC672"/>
      <c r="AD672"/>
    </row>
    <row r="673" spans="2:30" x14ac:dyDescent="0.3">
      <c r="B673" s="2">
        <v>1454</v>
      </c>
      <c r="C673" s="41" t="s">
        <v>1747</v>
      </c>
      <c r="D673" s="2">
        <v>1</v>
      </c>
      <c r="E673" s="2" t="s">
        <v>237</v>
      </c>
      <c r="F673" s="294">
        <v>65930</v>
      </c>
      <c r="G673" s="247">
        <v>90000</v>
      </c>
      <c r="H673" s="295">
        <f t="shared" si="20"/>
        <v>24070</v>
      </c>
      <c r="I673" s="250">
        <f t="shared" si="21"/>
        <v>0.26744444444444443</v>
      </c>
      <c r="AA673"/>
      <c r="AB673"/>
      <c r="AC673"/>
      <c r="AD673"/>
    </row>
    <row r="674" spans="2:30" x14ac:dyDescent="0.3">
      <c r="B674" s="2">
        <v>1456</v>
      </c>
      <c r="C674" s="41" t="s">
        <v>1748</v>
      </c>
      <c r="D674" s="2">
        <v>1</v>
      </c>
      <c r="E674" s="2" t="s">
        <v>5</v>
      </c>
      <c r="F674" s="294">
        <v>6238.4444000000003</v>
      </c>
      <c r="G674" s="247">
        <v>9800</v>
      </c>
      <c r="H674" s="295">
        <f t="shared" si="20"/>
        <v>3561.5555999999997</v>
      </c>
      <c r="I674" s="250">
        <f t="shared" si="21"/>
        <v>0.36342404081632651</v>
      </c>
    </row>
    <row r="675" spans="2:30" x14ac:dyDescent="0.3">
      <c r="B675" s="2">
        <v>1462</v>
      </c>
      <c r="C675" s="41" t="s">
        <v>562</v>
      </c>
      <c r="D675" s="2">
        <v>12</v>
      </c>
      <c r="E675" s="2" t="s">
        <v>12</v>
      </c>
      <c r="F675" s="294">
        <v>8500.17</v>
      </c>
      <c r="G675" s="247">
        <v>11000</v>
      </c>
      <c r="H675" s="295">
        <f t="shared" si="20"/>
        <v>2499.83</v>
      </c>
      <c r="I675" s="250">
        <f t="shared" si="21"/>
        <v>0.22725727272727272</v>
      </c>
      <c r="AA675"/>
      <c r="AB675"/>
      <c r="AC675"/>
      <c r="AD675"/>
    </row>
    <row r="676" spans="2:30" x14ac:dyDescent="0.3">
      <c r="B676" s="2">
        <v>1463</v>
      </c>
      <c r="C676" s="41" t="s">
        <v>1749</v>
      </c>
      <c r="D676" s="2">
        <v>12</v>
      </c>
      <c r="E676" s="2" t="s">
        <v>12</v>
      </c>
      <c r="F676" s="294">
        <v>10710</v>
      </c>
      <c r="G676" s="247">
        <v>14500</v>
      </c>
      <c r="H676" s="295">
        <f t="shared" si="20"/>
        <v>3790</v>
      </c>
      <c r="I676" s="250">
        <f t="shared" si="21"/>
        <v>0.26137931034482759</v>
      </c>
      <c r="AA676"/>
      <c r="AB676"/>
      <c r="AC676"/>
      <c r="AD676"/>
    </row>
    <row r="677" spans="2:30" x14ac:dyDescent="0.3">
      <c r="B677" s="2">
        <v>1464</v>
      </c>
      <c r="C677" s="41" t="s">
        <v>563</v>
      </c>
      <c r="D677" s="2">
        <v>12</v>
      </c>
      <c r="E677" s="2" t="s">
        <v>12</v>
      </c>
      <c r="F677" s="294">
        <v>952</v>
      </c>
      <c r="G677" s="247">
        <v>1200</v>
      </c>
      <c r="H677" s="295">
        <f t="shared" si="20"/>
        <v>248</v>
      </c>
      <c r="I677" s="250">
        <f t="shared" si="21"/>
        <v>0.20666666666666667</v>
      </c>
      <c r="AA677"/>
      <c r="AB677"/>
      <c r="AC677"/>
      <c r="AD677"/>
    </row>
    <row r="678" spans="2:30" x14ac:dyDescent="0.3">
      <c r="B678" s="2">
        <v>1465</v>
      </c>
      <c r="C678" s="41" t="s">
        <v>564</v>
      </c>
      <c r="D678" s="2">
        <v>8</v>
      </c>
      <c r="E678" s="2" t="s">
        <v>16</v>
      </c>
      <c r="F678" s="294">
        <v>44931</v>
      </c>
      <c r="G678" s="247">
        <v>52400</v>
      </c>
      <c r="H678" s="295">
        <f t="shared" si="20"/>
        <v>7469</v>
      </c>
      <c r="I678" s="250">
        <f t="shared" si="21"/>
        <v>0.14253816793893129</v>
      </c>
      <c r="AA678"/>
      <c r="AB678"/>
      <c r="AC678"/>
      <c r="AD678"/>
    </row>
    <row r="679" spans="2:30" x14ac:dyDescent="0.3">
      <c r="B679" s="2">
        <v>1467</v>
      </c>
      <c r="C679" s="41" t="s">
        <v>565</v>
      </c>
      <c r="D679" s="2">
        <v>14</v>
      </c>
      <c r="E679" s="2" t="s">
        <v>32</v>
      </c>
      <c r="F679" s="294">
        <v>15383</v>
      </c>
      <c r="G679" s="247">
        <v>19000</v>
      </c>
      <c r="H679" s="295">
        <f t="shared" si="20"/>
        <v>3617</v>
      </c>
      <c r="I679" s="250">
        <f t="shared" si="21"/>
        <v>0.19036842105263158</v>
      </c>
      <c r="AA679"/>
      <c r="AB679"/>
      <c r="AC679"/>
      <c r="AD679"/>
    </row>
    <row r="680" spans="2:30" x14ac:dyDescent="0.3">
      <c r="B680" s="2">
        <v>1468</v>
      </c>
      <c r="C680" s="41" t="s">
        <v>566</v>
      </c>
      <c r="D680" s="2">
        <v>7</v>
      </c>
      <c r="E680" s="2" t="s">
        <v>160</v>
      </c>
      <c r="F680" s="294">
        <v>1190</v>
      </c>
      <c r="G680" s="247">
        <v>1550</v>
      </c>
      <c r="H680" s="295">
        <f t="shared" si="20"/>
        <v>360</v>
      </c>
      <c r="I680" s="250">
        <f t="shared" si="21"/>
        <v>0.23225806451612904</v>
      </c>
      <c r="AA680"/>
      <c r="AB680"/>
      <c r="AC680"/>
      <c r="AD680"/>
    </row>
    <row r="681" spans="2:30" x14ac:dyDescent="0.3">
      <c r="B681" s="2">
        <v>1470</v>
      </c>
      <c r="C681" s="41" t="s">
        <v>1750</v>
      </c>
      <c r="D681" s="2">
        <v>7</v>
      </c>
      <c r="E681" s="2" t="s">
        <v>12</v>
      </c>
      <c r="F681" s="294">
        <v>1200</v>
      </c>
      <c r="G681" s="247">
        <v>1900</v>
      </c>
      <c r="H681" s="295">
        <f t="shared" si="20"/>
        <v>700</v>
      </c>
      <c r="I681" s="250">
        <f t="shared" si="21"/>
        <v>0.36842105263157893</v>
      </c>
      <c r="AA681"/>
      <c r="AB681"/>
      <c r="AC681"/>
      <c r="AD681"/>
    </row>
    <row r="682" spans="2:30" x14ac:dyDescent="0.3">
      <c r="B682" s="2">
        <v>1473</v>
      </c>
      <c r="C682" s="41" t="s">
        <v>567</v>
      </c>
      <c r="D682" s="2">
        <v>2</v>
      </c>
      <c r="E682" s="2" t="s">
        <v>5</v>
      </c>
      <c r="F682" s="294">
        <v>38225.25</v>
      </c>
      <c r="G682" s="247">
        <v>44467</v>
      </c>
      <c r="H682" s="295">
        <f t="shared" si="20"/>
        <v>6241.75</v>
      </c>
      <c r="I682" s="250">
        <f t="shared" si="21"/>
        <v>0.14036813816987878</v>
      </c>
      <c r="AA682"/>
      <c r="AB682"/>
      <c r="AC682"/>
      <c r="AD682"/>
    </row>
    <row r="683" spans="2:30" x14ac:dyDescent="0.3">
      <c r="B683" s="2">
        <v>1474</v>
      </c>
      <c r="C683" s="41" t="s">
        <v>568</v>
      </c>
      <c r="D683" s="2">
        <v>2</v>
      </c>
      <c r="E683" s="2" t="s">
        <v>554</v>
      </c>
      <c r="F683" s="294">
        <v>94244</v>
      </c>
      <c r="G683" s="247">
        <v>105433</v>
      </c>
      <c r="H683" s="295">
        <f t="shared" si="20"/>
        <v>11189</v>
      </c>
      <c r="I683" s="250">
        <f t="shared" si="21"/>
        <v>0.10612426849278689</v>
      </c>
    </row>
    <row r="684" spans="2:30" x14ac:dyDescent="0.3">
      <c r="B684" s="2">
        <v>1477</v>
      </c>
      <c r="C684" s="41" t="s">
        <v>1751</v>
      </c>
      <c r="D684" s="2">
        <v>9</v>
      </c>
      <c r="E684" s="2" t="s">
        <v>12</v>
      </c>
      <c r="F684" s="294">
        <v>59.5</v>
      </c>
      <c r="G684" s="247">
        <v>100</v>
      </c>
      <c r="H684" s="295">
        <f t="shared" si="20"/>
        <v>40.5</v>
      </c>
      <c r="I684" s="250">
        <f t="shared" si="21"/>
        <v>0.40500000000000003</v>
      </c>
    </row>
    <row r="685" spans="2:30" x14ac:dyDescent="0.3">
      <c r="B685" s="2">
        <v>1478</v>
      </c>
      <c r="C685" s="41" t="s">
        <v>1752</v>
      </c>
      <c r="D685" s="2">
        <v>2</v>
      </c>
      <c r="E685" s="2" t="s">
        <v>237</v>
      </c>
      <c r="F685" s="294">
        <v>61652.85</v>
      </c>
      <c r="G685" s="247">
        <v>74733.333333333328</v>
      </c>
      <c r="H685" s="295">
        <f t="shared" si="20"/>
        <v>13080.48333333333</v>
      </c>
      <c r="I685" s="250">
        <f t="shared" si="21"/>
        <v>0.17502876895628899</v>
      </c>
    </row>
    <row r="686" spans="2:30" x14ac:dyDescent="0.3">
      <c r="B686" s="2">
        <v>1485</v>
      </c>
      <c r="C686" s="41" t="s">
        <v>1753</v>
      </c>
      <c r="D686" s="2">
        <v>2</v>
      </c>
      <c r="E686" s="2" t="s">
        <v>5</v>
      </c>
      <c r="F686" s="294">
        <v>37701.300000000003</v>
      </c>
      <c r="G686" s="247">
        <v>46400</v>
      </c>
      <c r="H686" s="295">
        <f t="shared" si="20"/>
        <v>8698.6999999999971</v>
      </c>
      <c r="I686" s="250">
        <f t="shared" si="21"/>
        <v>0.18747198275862062</v>
      </c>
    </row>
    <row r="687" spans="2:30" x14ac:dyDescent="0.3">
      <c r="B687" s="2">
        <v>1492</v>
      </c>
      <c r="C687" s="41" t="s">
        <v>569</v>
      </c>
      <c r="D687" s="2">
        <v>2</v>
      </c>
      <c r="E687" s="2" t="s">
        <v>556</v>
      </c>
      <c r="F687" s="294">
        <v>132352.92000000001</v>
      </c>
      <c r="G687" s="247">
        <v>146666.66666666666</v>
      </c>
      <c r="H687" s="295">
        <f t="shared" si="20"/>
        <v>14313.746666666644</v>
      </c>
      <c r="I687" s="250">
        <f t="shared" si="21"/>
        <v>9.7593727272727124E-2</v>
      </c>
    </row>
    <row r="688" spans="2:30" x14ac:dyDescent="0.3">
      <c r="B688" s="2">
        <v>1494</v>
      </c>
      <c r="C688" s="41" t="s">
        <v>1754</v>
      </c>
      <c r="D688" s="2">
        <v>5</v>
      </c>
      <c r="E688" s="2" t="s">
        <v>913</v>
      </c>
      <c r="F688" s="294">
        <v>55325.58</v>
      </c>
      <c r="G688" s="247">
        <v>63000</v>
      </c>
      <c r="H688" s="295">
        <f t="shared" si="20"/>
        <v>7674.4199999999983</v>
      </c>
      <c r="I688" s="250">
        <f t="shared" si="21"/>
        <v>0.12181619047619045</v>
      </c>
    </row>
    <row r="689" spans="2:9" x14ac:dyDescent="0.3">
      <c r="B689" s="2">
        <v>1495</v>
      </c>
      <c r="C689" s="41" t="s">
        <v>570</v>
      </c>
      <c r="D689" s="2">
        <v>4</v>
      </c>
      <c r="E689" s="2" t="s">
        <v>81</v>
      </c>
      <c r="F689" s="294">
        <v>27968.76</v>
      </c>
      <c r="G689" s="247">
        <v>34133.333333333336</v>
      </c>
      <c r="H689" s="295">
        <f t="shared" si="20"/>
        <v>6164.5733333333374</v>
      </c>
      <c r="I689" s="250">
        <f t="shared" si="21"/>
        <v>0.1806027343750001</v>
      </c>
    </row>
    <row r="690" spans="2:9" x14ac:dyDescent="0.3">
      <c r="B690" s="2">
        <v>1496</v>
      </c>
      <c r="C690" s="41" t="s">
        <v>1755</v>
      </c>
      <c r="D690" s="2">
        <v>6</v>
      </c>
      <c r="E690" s="2" t="s">
        <v>81</v>
      </c>
      <c r="F690" s="294">
        <v>72393.16</v>
      </c>
      <c r="G690" s="247">
        <v>84000</v>
      </c>
      <c r="H690" s="295">
        <f t="shared" si="20"/>
        <v>11606.839999999997</v>
      </c>
      <c r="I690" s="250">
        <f t="shared" si="21"/>
        <v>0.13817666666666661</v>
      </c>
    </row>
    <row r="691" spans="2:9" x14ac:dyDescent="0.3">
      <c r="B691" s="2">
        <v>1499</v>
      </c>
      <c r="C691" s="41" t="s">
        <v>571</v>
      </c>
      <c r="D691" s="2">
        <v>1</v>
      </c>
      <c r="E691" s="2" t="s">
        <v>10</v>
      </c>
      <c r="F691" s="294">
        <v>185000</v>
      </c>
      <c r="G691" s="247">
        <v>202500</v>
      </c>
      <c r="H691" s="295">
        <f t="shared" si="20"/>
        <v>17500</v>
      </c>
      <c r="I691" s="250">
        <f t="shared" si="21"/>
        <v>8.6419753086419748E-2</v>
      </c>
    </row>
    <row r="692" spans="2:9" x14ac:dyDescent="0.3">
      <c r="B692" s="2">
        <v>1501</v>
      </c>
      <c r="C692" s="41" t="s">
        <v>572</v>
      </c>
      <c r="D692" s="2">
        <v>14</v>
      </c>
      <c r="E692" s="2" t="s">
        <v>41</v>
      </c>
      <c r="F692" s="294">
        <v>64777</v>
      </c>
      <c r="G692" s="247">
        <v>72600</v>
      </c>
      <c r="H692" s="295">
        <f t="shared" si="20"/>
        <v>7823</v>
      </c>
      <c r="I692" s="250">
        <f t="shared" si="21"/>
        <v>0.10775482093663911</v>
      </c>
    </row>
    <row r="693" spans="2:9" x14ac:dyDescent="0.3">
      <c r="B693" s="2">
        <v>1502</v>
      </c>
      <c r="C693" s="41" t="s">
        <v>573</v>
      </c>
      <c r="D693" s="2">
        <v>9</v>
      </c>
      <c r="E693" s="2" t="s">
        <v>227</v>
      </c>
      <c r="F693" s="294">
        <v>66944.639999999999</v>
      </c>
      <c r="G693" s="247">
        <v>89500</v>
      </c>
      <c r="H693" s="295">
        <f t="shared" si="20"/>
        <v>22555.360000000001</v>
      </c>
      <c r="I693" s="250">
        <f t="shared" si="21"/>
        <v>0.25201519553072627</v>
      </c>
    </row>
    <row r="694" spans="2:9" x14ac:dyDescent="0.3">
      <c r="B694" s="2">
        <v>1503</v>
      </c>
      <c r="C694" s="41" t="s">
        <v>1756</v>
      </c>
      <c r="D694" s="2">
        <v>2</v>
      </c>
      <c r="E694" s="2" t="s">
        <v>5</v>
      </c>
      <c r="F694" s="294">
        <v>92949.57</v>
      </c>
      <c r="G694" s="247">
        <v>103733.33333333333</v>
      </c>
      <c r="H694" s="295">
        <f t="shared" si="20"/>
        <v>10783.763333333321</v>
      </c>
      <c r="I694" s="250">
        <f t="shared" si="21"/>
        <v>0.10395658740359887</v>
      </c>
    </row>
    <row r="695" spans="2:9" x14ac:dyDescent="0.3">
      <c r="B695" s="2">
        <v>1505</v>
      </c>
      <c r="C695" s="41" t="s">
        <v>574</v>
      </c>
      <c r="D695" s="2">
        <v>5</v>
      </c>
      <c r="E695" s="2" t="s">
        <v>5</v>
      </c>
      <c r="F695" s="294">
        <v>116500</v>
      </c>
      <c r="G695" s="247">
        <v>132600</v>
      </c>
      <c r="H695" s="295">
        <f t="shared" si="20"/>
        <v>16100</v>
      </c>
      <c r="I695" s="250">
        <f t="shared" si="21"/>
        <v>0.12141779788838612</v>
      </c>
    </row>
    <row r="696" spans="2:9" x14ac:dyDescent="0.3">
      <c r="B696" s="2">
        <v>1508</v>
      </c>
      <c r="C696" s="41" t="s">
        <v>575</v>
      </c>
      <c r="D696" s="2">
        <v>5</v>
      </c>
      <c r="E696" s="2" t="s">
        <v>41</v>
      </c>
      <c r="F696" s="294">
        <v>100900</v>
      </c>
      <c r="G696" s="247">
        <v>116500</v>
      </c>
      <c r="H696" s="295">
        <f t="shared" si="20"/>
        <v>15600</v>
      </c>
      <c r="I696" s="250">
        <f t="shared" si="21"/>
        <v>0.13390557939914163</v>
      </c>
    </row>
    <row r="697" spans="2:9" x14ac:dyDescent="0.3">
      <c r="B697" s="2">
        <v>1513</v>
      </c>
      <c r="C697" s="41" t="s">
        <v>1757</v>
      </c>
      <c r="D697" s="2">
        <v>11</v>
      </c>
      <c r="E697" s="2" t="s">
        <v>12</v>
      </c>
      <c r="F697" s="294">
        <v>2000</v>
      </c>
      <c r="G697" s="247">
        <v>2150</v>
      </c>
      <c r="H697" s="295">
        <f t="shared" si="20"/>
        <v>150</v>
      </c>
      <c r="I697" s="250">
        <f t="shared" si="21"/>
        <v>6.9767441860465115E-2</v>
      </c>
    </row>
    <row r="698" spans="2:9" x14ac:dyDescent="0.3">
      <c r="B698" s="2">
        <v>1516</v>
      </c>
      <c r="C698" s="41" t="s">
        <v>576</v>
      </c>
      <c r="D698" s="2">
        <v>10</v>
      </c>
      <c r="E698" s="2" t="s">
        <v>12</v>
      </c>
      <c r="F698" s="294">
        <v>6567</v>
      </c>
      <c r="G698" s="247">
        <v>7600</v>
      </c>
      <c r="H698" s="295">
        <f t="shared" si="20"/>
        <v>1033</v>
      </c>
      <c r="I698" s="250">
        <f t="shared" si="21"/>
        <v>0.13592105263157894</v>
      </c>
    </row>
    <row r="699" spans="2:9" x14ac:dyDescent="0.3">
      <c r="B699" s="2">
        <v>1518</v>
      </c>
      <c r="C699" s="41" t="s">
        <v>577</v>
      </c>
      <c r="D699" s="2">
        <v>14</v>
      </c>
      <c r="E699" s="2" t="s">
        <v>81</v>
      </c>
      <c r="F699" s="294">
        <v>6692.2308000000003</v>
      </c>
      <c r="G699" s="247">
        <v>8900</v>
      </c>
      <c r="H699" s="295">
        <f t="shared" si="20"/>
        <v>2207.7691999999997</v>
      </c>
      <c r="I699" s="250">
        <f t="shared" si="21"/>
        <v>0.24806395505617976</v>
      </c>
    </row>
    <row r="700" spans="2:9" x14ac:dyDescent="0.3">
      <c r="B700" s="2">
        <v>1519</v>
      </c>
      <c r="C700" s="41" t="s">
        <v>578</v>
      </c>
      <c r="D700" s="2">
        <v>14</v>
      </c>
      <c r="E700" s="2" t="s">
        <v>81</v>
      </c>
      <c r="F700" s="294">
        <v>11106.5</v>
      </c>
      <c r="G700" s="247">
        <v>14500</v>
      </c>
      <c r="H700" s="295">
        <f t="shared" si="20"/>
        <v>3393.5</v>
      </c>
      <c r="I700" s="250">
        <f t="shared" si="21"/>
        <v>0.23403448275862068</v>
      </c>
    </row>
    <row r="701" spans="2:9" x14ac:dyDescent="0.3">
      <c r="B701" s="2">
        <v>1520</v>
      </c>
      <c r="C701" s="41" t="s">
        <v>1758</v>
      </c>
      <c r="D701" s="2">
        <v>5</v>
      </c>
      <c r="E701" s="2" t="s">
        <v>5</v>
      </c>
      <c r="F701" s="294">
        <v>2125</v>
      </c>
      <c r="G701" s="247">
        <v>2500</v>
      </c>
      <c r="H701" s="295">
        <f t="shared" si="20"/>
        <v>375</v>
      </c>
      <c r="I701" s="250">
        <f t="shared" si="21"/>
        <v>0.15</v>
      </c>
    </row>
    <row r="702" spans="2:9" x14ac:dyDescent="0.3">
      <c r="B702" s="2">
        <v>1521</v>
      </c>
      <c r="C702" s="41" t="s">
        <v>579</v>
      </c>
      <c r="D702" s="2">
        <v>2</v>
      </c>
      <c r="E702" s="2" t="s">
        <v>5</v>
      </c>
      <c r="F702" s="294">
        <v>3440.8</v>
      </c>
      <c r="G702" s="247">
        <v>4000</v>
      </c>
      <c r="H702" s="295">
        <f t="shared" si="20"/>
        <v>559.19999999999982</v>
      </c>
      <c r="I702" s="250">
        <f t="shared" si="21"/>
        <v>0.13979999999999995</v>
      </c>
    </row>
    <row r="703" spans="2:9" x14ac:dyDescent="0.3">
      <c r="B703" s="2">
        <v>1522</v>
      </c>
      <c r="C703" s="41" t="s">
        <v>580</v>
      </c>
      <c r="D703" s="2">
        <v>2</v>
      </c>
      <c r="E703" s="2" t="s">
        <v>243</v>
      </c>
      <c r="F703" s="294">
        <v>132500</v>
      </c>
      <c r="G703" s="247">
        <v>143266.66666666666</v>
      </c>
      <c r="H703" s="295">
        <f t="shared" si="20"/>
        <v>10766.666666666657</v>
      </c>
      <c r="I703" s="250">
        <f t="shared" si="21"/>
        <v>7.5151233131689102E-2</v>
      </c>
    </row>
    <row r="704" spans="2:9" x14ac:dyDescent="0.3">
      <c r="B704" s="2">
        <v>1523</v>
      </c>
      <c r="C704" s="41" t="s">
        <v>581</v>
      </c>
      <c r="D704" s="2">
        <v>2</v>
      </c>
      <c r="E704" s="2" t="s">
        <v>5</v>
      </c>
      <c r="F704" s="294">
        <v>92949.57</v>
      </c>
      <c r="G704" s="247">
        <v>103733.33333333333</v>
      </c>
      <c r="H704" s="295">
        <f t="shared" si="20"/>
        <v>10783.763333333321</v>
      </c>
      <c r="I704" s="250">
        <f t="shared" si="21"/>
        <v>0.10395658740359887</v>
      </c>
    </row>
    <row r="705" spans="2:9" x14ac:dyDescent="0.3">
      <c r="B705" s="2">
        <v>1524</v>
      </c>
      <c r="C705" s="41" t="s">
        <v>582</v>
      </c>
      <c r="D705" s="2">
        <v>2</v>
      </c>
      <c r="E705" s="2" t="s">
        <v>12</v>
      </c>
      <c r="F705" s="294">
        <v>3312.5</v>
      </c>
      <c r="G705" s="247">
        <v>3750</v>
      </c>
      <c r="H705" s="295">
        <f t="shared" si="20"/>
        <v>437.5</v>
      </c>
      <c r="I705" s="250">
        <f t="shared" si="21"/>
        <v>0.11666666666666667</v>
      </c>
    </row>
    <row r="706" spans="2:9" x14ac:dyDescent="0.3">
      <c r="B706" s="2">
        <v>1528</v>
      </c>
      <c r="C706" s="41" t="s">
        <v>583</v>
      </c>
      <c r="D706" s="2">
        <v>14</v>
      </c>
      <c r="E706" s="2" t="s">
        <v>81</v>
      </c>
      <c r="F706" s="294">
        <v>9201</v>
      </c>
      <c r="G706" s="247">
        <v>12000</v>
      </c>
      <c r="H706" s="295">
        <f t="shared" si="20"/>
        <v>2799</v>
      </c>
      <c r="I706" s="250">
        <f t="shared" si="21"/>
        <v>0.23325000000000001</v>
      </c>
    </row>
    <row r="707" spans="2:9" x14ac:dyDescent="0.3">
      <c r="B707" s="2">
        <v>1531</v>
      </c>
      <c r="C707" s="41" t="s">
        <v>584</v>
      </c>
      <c r="D707" s="2">
        <v>14</v>
      </c>
      <c r="E707" s="2" t="s">
        <v>81</v>
      </c>
      <c r="F707" s="294">
        <v>49416</v>
      </c>
      <c r="G707" s="247">
        <v>49616.666666666664</v>
      </c>
      <c r="H707" s="295">
        <f t="shared" si="20"/>
        <v>200.66666666666424</v>
      </c>
      <c r="I707" s="250">
        <f t="shared" si="21"/>
        <v>4.0443399395363976E-3</v>
      </c>
    </row>
    <row r="708" spans="2:9" x14ac:dyDescent="0.3">
      <c r="B708" s="2">
        <v>1532</v>
      </c>
      <c r="C708" s="41" t="s">
        <v>585</v>
      </c>
      <c r="D708" s="2">
        <v>14</v>
      </c>
      <c r="E708" s="2" t="s">
        <v>81</v>
      </c>
      <c r="F708" s="294">
        <v>92307</v>
      </c>
      <c r="G708" s="247">
        <v>101300</v>
      </c>
      <c r="H708" s="295">
        <f t="shared" si="20"/>
        <v>8993</v>
      </c>
      <c r="I708" s="250">
        <f t="shared" si="21"/>
        <v>8.8775913129318859E-2</v>
      </c>
    </row>
    <row r="709" spans="2:9" x14ac:dyDescent="0.3">
      <c r="B709" s="2">
        <v>1534</v>
      </c>
      <c r="C709" s="41" t="s">
        <v>586</v>
      </c>
      <c r="D709" s="2">
        <v>2</v>
      </c>
      <c r="E709" s="2" t="s">
        <v>243</v>
      </c>
      <c r="F709" s="294">
        <v>86231.25</v>
      </c>
      <c r="G709" s="247">
        <v>100700</v>
      </c>
      <c r="H709" s="295">
        <f t="shared" si="20"/>
        <v>14468.75</v>
      </c>
      <c r="I709" s="250">
        <f t="shared" si="21"/>
        <v>0.14368172790466732</v>
      </c>
    </row>
    <row r="710" spans="2:9" x14ac:dyDescent="0.3">
      <c r="B710" s="2">
        <v>1535</v>
      </c>
      <c r="C710" s="41" t="s">
        <v>587</v>
      </c>
      <c r="D710" s="2">
        <v>2</v>
      </c>
      <c r="E710" s="2" t="s">
        <v>237</v>
      </c>
      <c r="F710" s="294">
        <v>74075.399999999994</v>
      </c>
      <c r="G710" s="247">
        <v>87566.666666666672</v>
      </c>
      <c r="H710" s="295">
        <f t="shared" ref="H710:H773" si="22">G710-F710</f>
        <v>13491.266666666677</v>
      </c>
      <c r="I710" s="250">
        <f t="shared" ref="I710:I773" si="23">H710/G710</f>
        <v>0.15406851922344891</v>
      </c>
    </row>
    <row r="711" spans="2:9" x14ac:dyDescent="0.3">
      <c r="B711" s="2">
        <v>1542</v>
      </c>
      <c r="C711" s="41" t="s">
        <v>588</v>
      </c>
      <c r="D711" s="2">
        <v>12</v>
      </c>
      <c r="E711" s="2" t="s">
        <v>12</v>
      </c>
      <c r="F711" s="294">
        <v>2618</v>
      </c>
      <c r="G711" s="247">
        <v>5800</v>
      </c>
      <c r="H711" s="295">
        <f t="shared" si="22"/>
        <v>3182</v>
      </c>
      <c r="I711" s="250">
        <f t="shared" si="23"/>
        <v>0.54862068965517241</v>
      </c>
    </row>
    <row r="712" spans="2:9" x14ac:dyDescent="0.3">
      <c r="B712" s="2">
        <v>1543</v>
      </c>
      <c r="C712" s="41" t="s">
        <v>1759</v>
      </c>
      <c r="D712" s="2">
        <v>12</v>
      </c>
      <c r="E712" s="2" t="s">
        <v>12</v>
      </c>
      <c r="F712" s="294">
        <v>8600</v>
      </c>
      <c r="G712" s="247">
        <v>15400</v>
      </c>
      <c r="H712" s="295">
        <f t="shared" si="22"/>
        <v>6800</v>
      </c>
      <c r="I712" s="250">
        <f t="shared" si="23"/>
        <v>0.44155844155844154</v>
      </c>
    </row>
    <row r="713" spans="2:9" x14ac:dyDescent="0.3">
      <c r="B713" s="2">
        <v>1545</v>
      </c>
      <c r="C713" s="41" t="s">
        <v>589</v>
      </c>
      <c r="D713" s="2">
        <v>14</v>
      </c>
      <c r="E713" s="2" t="s">
        <v>81</v>
      </c>
      <c r="F713" s="294">
        <v>19109</v>
      </c>
      <c r="G713" s="247">
        <v>25766.666666666668</v>
      </c>
      <c r="H713" s="295">
        <f t="shared" si="22"/>
        <v>6657.6666666666679</v>
      </c>
      <c r="I713" s="250">
        <f t="shared" si="23"/>
        <v>0.25838292367399746</v>
      </c>
    </row>
    <row r="714" spans="2:9" x14ac:dyDescent="0.3">
      <c r="B714" s="2">
        <v>1563</v>
      </c>
      <c r="C714" s="41" t="s">
        <v>590</v>
      </c>
      <c r="D714" s="2">
        <v>12</v>
      </c>
      <c r="E714" s="2" t="s">
        <v>12</v>
      </c>
      <c r="F714" s="294">
        <v>209000</v>
      </c>
      <c r="G714" s="247">
        <v>230000</v>
      </c>
      <c r="H714" s="295">
        <f t="shared" si="22"/>
        <v>21000</v>
      </c>
      <c r="I714" s="250">
        <f t="shared" si="23"/>
        <v>9.1304347826086957E-2</v>
      </c>
    </row>
    <row r="715" spans="2:9" x14ac:dyDescent="0.3">
      <c r="B715" s="2">
        <v>1564</v>
      </c>
      <c r="C715" s="41" t="s">
        <v>1760</v>
      </c>
      <c r="D715" s="2">
        <v>14</v>
      </c>
      <c r="E715" s="2" t="s">
        <v>81</v>
      </c>
      <c r="F715" s="294">
        <v>15734</v>
      </c>
      <c r="G715" s="247">
        <v>20000</v>
      </c>
      <c r="H715" s="295">
        <f t="shared" si="22"/>
        <v>4266</v>
      </c>
      <c r="I715" s="250">
        <f t="shared" si="23"/>
        <v>0.21329999999999999</v>
      </c>
    </row>
    <row r="716" spans="2:9" x14ac:dyDescent="0.3">
      <c r="B716" s="2">
        <v>1566</v>
      </c>
      <c r="C716" s="41" t="s">
        <v>1761</v>
      </c>
      <c r="D716" s="2">
        <v>2</v>
      </c>
      <c r="E716" s="2" t="s">
        <v>5</v>
      </c>
      <c r="F716" s="294">
        <v>2850</v>
      </c>
      <c r="G716" s="247">
        <v>3300</v>
      </c>
      <c r="H716" s="295">
        <f t="shared" si="22"/>
        <v>450</v>
      </c>
      <c r="I716" s="250">
        <f t="shared" si="23"/>
        <v>0.13636363636363635</v>
      </c>
    </row>
    <row r="717" spans="2:9" x14ac:dyDescent="0.3">
      <c r="B717" s="2">
        <v>1570</v>
      </c>
      <c r="C717" s="41" t="s">
        <v>591</v>
      </c>
      <c r="D717" s="2">
        <v>10</v>
      </c>
      <c r="E717" s="2" t="s">
        <v>12</v>
      </c>
      <c r="F717" s="294">
        <v>15340.29</v>
      </c>
      <c r="G717" s="247">
        <v>19600</v>
      </c>
      <c r="H717" s="295">
        <f t="shared" si="22"/>
        <v>4259.7099999999991</v>
      </c>
      <c r="I717" s="250">
        <f t="shared" si="23"/>
        <v>0.21733214285714281</v>
      </c>
    </row>
    <row r="718" spans="2:9" x14ac:dyDescent="0.3">
      <c r="B718" s="2">
        <v>1571</v>
      </c>
      <c r="C718" s="41" t="s">
        <v>1762</v>
      </c>
      <c r="D718" s="2">
        <v>1</v>
      </c>
      <c r="E718" s="2" t="s">
        <v>237</v>
      </c>
      <c r="F718" s="294">
        <v>215000</v>
      </c>
      <c r="G718" s="247">
        <v>218833.33333333334</v>
      </c>
      <c r="H718" s="295">
        <f t="shared" si="22"/>
        <v>3833.333333333343</v>
      </c>
      <c r="I718" s="250">
        <f t="shared" si="23"/>
        <v>1.7517136329017562E-2</v>
      </c>
    </row>
    <row r="719" spans="2:9" x14ac:dyDescent="0.3">
      <c r="B719" s="2">
        <v>1575</v>
      </c>
      <c r="C719" s="41" t="s">
        <v>1763</v>
      </c>
      <c r="D719" s="2">
        <v>2</v>
      </c>
      <c r="E719" s="2" t="s">
        <v>350</v>
      </c>
      <c r="F719" s="294">
        <v>119263.2</v>
      </c>
      <c r="G719" s="247">
        <v>80416.666666666672</v>
      </c>
      <c r="H719" s="295">
        <f t="shared" si="22"/>
        <v>-38846.533333333326</v>
      </c>
      <c r="I719" s="250">
        <f t="shared" si="23"/>
        <v>-0.48306569948186517</v>
      </c>
    </row>
    <row r="720" spans="2:9" x14ac:dyDescent="0.3">
      <c r="B720" s="2">
        <v>1576</v>
      </c>
      <c r="C720" s="41" t="s">
        <v>592</v>
      </c>
      <c r="D720" s="2">
        <v>2</v>
      </c>
      <c r="E720" s="2" t="s">
        <v>243</v>
      </c>
      <c r="F720" s="294">
        <v>128233.35</v>
      </c>
      <c r="G720" s="247">
        <v>147700</v>
      </c>
      <c r="H720" s="295">
        <f t="shared" si="22"/>
        <v>19466.649999999994</v>
      </c>
      <c r="I720" s="250">
        <f t="shared" si="23"/>
        <v>0.13179857819905208</v>
      </c>
    </row>
    <row r="721" spans="2:9" x14ac:dyDescent="0.3">
      <c r="B721" s="2">
        <v>1577</v>
      </c>
      <c r="C721" s="41" t="s">
        <v>593</v>
      </c>
      <c r="D721" s="2">
        <v>6</v>
      </c>
      <c r="E721" s="2" t="s">
        <v>176</v>
      </c>
      <c r="F721" s="294">
        <v>19600</v>
      </c>
      <c r="G721" s="247">
        <v>22500</v>
      </c>
      <c r="H721" s="295">
        <f t="shared" si="22"/>
        <v>2900</v>
      </c>
      <c r="I721" s="250">
        <f t="shared" si="23"/>
        <v>0.12888888888888889</v>
      </c>
    </row>
    <row r="722" spans="2:9" x14ac:dyDescent="0.3">
      <c r="B722" s="2">
        <v>1581</v>
      </c>
      <c r="C722" s="41" t="s">
        <v>594</v>
      </c>
      <c r="D722" s="2">
        <v>2</v>
      </c>
      <c r="E722" s="2" t="s">
        <v>350</v>
      </c>
      <c r="F722" s="294">
        <v>94200</v>
      </c>
      <c r="G722" s="247">
        <v>104200</v>
      </c>
      <c r="H722" s="295">
        <f t="shared" si="22"/>
        <v>10000</v>
      </c>
      <c r="I722" s="250">
        <f t="shared" si="23"/>
        <v>9.5969289827255277E-2</v>
      </c>
    </row>
    <row r="723" spans="2:9" x14ac:dyDescent="0.3">
      <c r="B723" s="2">
        <v>1582</v>
      </c>
      <c r="C723" s="41" t="s">
        <v>595</v>
      </c>
      <c r="D723" s="2">
        <v>7</v>
      </c>
      <c r="E723" s="2" t="s">
        <v>160</v>
      </c>
      <c r="F723" s="294">
        <v>2230</v>
      </c>
      <c r="G723" s="247">
        <v>2466.6666666666665</v>
      </c>
      <c r="H723" s="295">
        <f t="shared" si="22"/>
        <v>236.66666666666652</v>
      </c>
      <c r="I723" s="250">
        <f t="shared" si="23"/>
        <v>9.5945945945945896E-2</v>
      </c>
    </row>
    <row r="724" spans="2:9" x14ac:dyDescent="0.3">
      <c r="B724" s="2">
        <v>1584</v>
      </c>
      <c r="C724" s="41" t="s">
        <v>596</v>
      </c>
      <c r="D724" s="2">
        <v>7</v>
      </c>
      <c r="E724" s="2" t="s">
        <v>12</v>
      </c>
      <c r="F724" s="294">
        <v>3500</v>
      </c>
      <c r="G724" s="247">
        <v>4200</v>
      </c>
      <c r="H724" s="295">
        <f t="shared" si="22"/>
        <v>700</v>
      </c>
      <c r="I724" s="250">
        <f t="shared" si="23"/>
        <v>0.16666666666666666</v>
      </c>
    </row>
    <row r="725" spans="2:9" x14ac:dyDescent="0.3">
      <c r="B725" s="2">
        <v>1585</v>
      </c>
      <c r="C725" s="41" t="s">
        <v>1764</v>
      </c>
      <c r="D725" s="2">
        <v>7</v>
      </c>
      <c r="E725" s="2" t="s">
        <v>160</v>
      </c>
      <c r="F725" s="294">
        <v>600</v>
      </c>
      <c r="G725" s="247">
        <v>1416.6666666666667</v>
      </c>
      <c r="H725" s="295">
        <f t="shared" si="22"/>
        <v>816.66666666666674</v>
      </c>
      <c r="I725" s="250">
        <f t="shared" si="23"/>
        <v>0.57647058823529418</v>
      </c>
    </row>
    <row r="726" spans="2:9" x14ac:dyDescent="0.3">
      <c r="B726" s="2">
        <v>1588</v>
      </c>
      <c r="C726" s="41" t="s">
        <v>597</v>
      </c>
      <c r="D726" s="2">
        <v>7</v>
      </c>
      <c r="E726" s="2" t="s">
        <v>12</v>
      </c>
      <c r="F726" s="294">
        <v>2230</v>
      </c>
      <c r="G726" s="247">
        <v>2783.3333333333335</v>
      </c>
      <c r="H726" s="295">
        <f t="shared" si="22"/>
        <v>553.33333333333348</v>
      </c>
      <c r="I726" s="250">
        <f t="shared" si="23"/>
        <v>0.19880239520958087</v>
      </c>
    </row>
    <row r="727" spans="2:9" x14ac:dyDescent="0.3">
      <c r="B727" s="2">
        <v>1589</v>
      </c>
      <c r="C727" s="41" t="s">
        <v>1765</v>
      </c>
      <c r="D727" s="2">
        <v>7</v>
      </c>
      <c r="E727" s="2" t="s">
        <v>12</v>
      </c>
      <c r="F727" s="294">
        <v>2300</v>
      </c>
      <c r="G727" s="247">
        <v>3266.6666666666665</v>
      </c>
      <c r="H727" s="295">
        <f t="shared" si="22"/>
        <v>966.66666666666652</v>
      </c>
      <c r="I727" s="250">
        <f t="shared" si="23"/>
        <v>0.29591836734693872</v>
      </c>
    </row>
    <row r="728" spans="2:9" x14ac:dyDescent="0.3">
      <c r="B728" s="2">
        <v>1592</v>
      </c>
      <c r="C728" s="41" t="s">
        <v>598</v>
      </c>
      <c r="D728" s="2">
        <v>2</v>
      </c>
      <c r="E728" s="2" t="s">
        <v>5</v>
      </c>
      <c r="F728" s="294">
        <v>240</v>
      </c>
      <c r="G728" s="247">
        <v>1000</v>
      </c>
      <c r="H728" s="295">
        <f t="shared" si="22"/>
        <v>760</v>
      </c>
      <c r="I728" s="250">
        <f t="shared" si="23"/>
        <v>0.76</v>
      </c>
    </row>
    <row r="729" spans="2:9" x14ac:dyDescent="0.3">
      <c r="B729" s="2">
        <v>1594</v>
      </c>
      <c r="C729" s="41" t="s">
        <v>599</v>
      </c>
      <c r="D729" s="2">
        <v>14</v>
      </c>
      <c r="E729" s="2" t="s">
        <v>81</v>
      </c>
      <c r="F729" s="294">
        <v>14177</v>
      </c>
      <c r="G729" s="247">
        <v>18000</v>
      </c>
      <c r="H729" s="295">
        <f t="shared" si="22"/>
        <v>3823</v>
      </c>
      <c r="I729" s="250">
        <f t="shared" si="23"/>
        <v>0.21238888888888888</v>
      </c>
    </row>
    <row r="730" spans="2:9" x14ac:dyDescent="0.3">
      <c r="B730" s="2">
        <v>1597</v>
      </c>
      <c r="C730" s="41" t="s">
        <v>600</v>
      </c>
      <c r="D730" s="2">
        <v>14</v>
      </c>
      <c r="E730" s="2" t="s">
        <v>81</v>
      </c>
      <c r="F730" s="294">
        <v>23817</v>
      </c>
      <c r="G730" s="247">
        <v>26800</v>
      </c>
      <c r="H730" s="295">
        <f t="shared" si="22"/>
        <v>2983</v>
      </c>
      <c r="I730" s="250">
        <f t="shared" si="23"/>
        <v>0.11130597014925372</v>
      </c>
    </row>
    <row r="731" spans="2:9" x14ac:dyDescent="0.3">
      <c r="B731" s="2">
        <v>1599</v>
      </c>
      <c r="C731" s="41" t="s">
        <v>601</v>
      </c>
      <c r="D731" s="2">
        <v>6</v>
      </c>
      <c r="E731" s="2" t="s">
        <v>12</v>
      </c>
      <c r="F731" s="294">
        <v>16000</v>
      </c>
      <c r="G731" s="247">
        <v>22500</v>
      </c>
      <c r="H731" s="295">
        <f t="shared" si="22"/>
        <v>6500</v>
      </c>
      <c r="I731" s="250">
        <f t="shared" si="23"/>
        <v>0.28888888888888886</v>
      </c>
    </row>
    <row r="732" spans="2:9" x14ac:dyDescent="0.3">
      <c r="B732" s="2">
        <v>1602</v>
      </c>
      <c r="C732" s="41" t="s">
        <v>602</v>
      </c>
      <c r="D732" s="2">
        <v>14</v>
      </c>
      <c r="E732" s="2" t="s">
        <v>12</v>
      </c>
      <c r="F732" s="294">
        <v>6067</v>
      </c>
      <c r="G732" s="247">
        <v>9000</v>
      </c>
      <c r="H732" s="295">
        <f t="shared" si="22"/>
        <v>2933</v>
      </c>
      <c r="I732" s="250">
        <f t="shared" si="23"/>
        <v>0.32588888888888889</v>
      </c>
    </row>
    <row r="733" spans="2:9" x14ac:dyDescent="0.3">
      <c r="B733" s="2">
        <v>1604</v>
      </c>
      <c r="C733" s="41" t="s">
        <v>1766</v>
      </c>
      <c r="D733" s="2">
        <v>2</v>
      </c>
      <c r="E733" s="2" t="s">
        <v>243</v>
      </c>
      <c r="F733" s="294">
        <v>79562.7</v>
      </c>
      <c r="G733" s="247">
        <v>91200</v>
      </c>
      <c r="H733" s="295">
        <f t="shared" si="22"/>
        <v>11637.300000000003</v>
      </c>
      <c r="I733" s="250">
        <f t="shared" si="23"/>
        <v>0.12760197368421056</v>
      </c>
    </row>
    <row r="734" spans="2:9" x14ac:dyDescent="0.3">
      <c r="B734" s="2">
        <v>1606</v>
      </c>
      <c r="C734" s="41" t="s">
        <v>603</v>
      </c>
      <c r="D734" s="2">
        <v>12</v>
      </c>
      <c r="E734" s="2" t="s">
        <v>12</v>
      </c>
      <c r="F734" s="294">
        <v>13779.01</v>
      </c>
      <c r="G734" s="247">
        <v>16800</v>
      </c>
      <c r="H734" s="295">
        <f t="shared" si="22"/>
        <v>3020.99</v>
      </c>
      <c r="I734" s="250">
        <f t="shared" si="23"/>
        <v>0.17982083333333332</v>
      </c>
    </row>
    <row r="735" spans="2:9" x14ac:dyDescent="0.3">
      <c r="B735" s="2">
        <v>1608</v>
      </c>
      <c r="C735" s="41" t="s">
        <v>605</v>
      </c>
      <c r="D735" s="2">
        <v>5</v>
      </c>
      <c r="E735" s="2" t="s">
        <v>5</v>
      </c>
      <c r="F735" s="294">
        <v>152900</v>
      </c>
      <c r="G735" s="247">
        <v>172000</v>
      </c>
      <c r="H735" s="295">
        <f t="shared" si="22"/>
        <v>19100</v>
      </c>
      <c r="I735" s="250">
        <f t="shared" si="23"/>
        <v>0.11104651162790698</v>
      </c>
    </row>
    <row r="736" spans="2:9" x14ac:dyDescent="0.3">
      <c r="B736" s="2">
        <v>1609</v>
      </c>
      <c r="C736" s="41" t="s">
        <v>606</v>
      </c>
      <c r="D736" s="2">
        <v>9</v>
      </c>
      <c r="E736" s="2" t="s">
        <v>12</v>
      </c>
      <c r="F736" s="294">
        <v>10128</v>
      </c>
      <c r="G736" s="247">
        <v>11800</v>
      </c>
      <c r="H736" s="295">
        <f t="shared" si="22"/>
        <v>1672</v>
      </c>
      <c r="I736" s="250">
        <f t="shared" si="23"/>
        <v>0.14169491525423727</v>
      </c>
    </row>
    <row r="737" spans="2:9" x14ac:dyDescent="0.3">
      <c r="B737" s="2">
        <v>1610</v>
      </c>
      <c r="C737" s="41" t="s">
        <v>607</v>
      </c>
      <c r="D737" s="2">
        <v>5</v>
      </c>
      <c r="E737" s="2" t="s">
        <v>419</v>
      </c>
      <c r="F737" s="294">
        <v>103000</v>
      </c>
      <c r="G737" s="247">
        <v>116666.66666666667</v>
      </c>
      <c r="H737" s="295">
        <f t="shared" si="22"/>
        <v>13666.666666666672</v>
      </c>
      <c r="I737" s="250">
        <f t="shared" si="23"/>
        <v>0.11714285714285717</v>
      </c>
    </row>
    <row r="738" spans="2:9" x14ac:dyDescent="0.3">
      <c r="B738" s="2">
        <v>1611</v>
      </c>
      <c r="C738" s="41" t="s">
        <v>608</v>
      </c>
      <c r="D738" s="2">
        <v>2</v>
      </c>
      <c r="E738" s="2" t="s">
        <v>554</v>
      </c>
      <c r="F738" s="294">
        <v>56289</v>
      </c>
      <c r="G738" s="247">
        <v>64000</v>
      </c>
      <c r="H738" s="295">
        <f t="shared" si="22"/>
        <v>7711</v>
      </c>
      <c r="I738" s="250">
        <f t="shared" si="23"/>
        <v>0.120484375</v>
      </c>
    </row>
    <row r="739" spans="2:9" x14ac:dyDescent="0.3">
      <c r="B739" s="2">
        <v>1615</v>
      </c>
      <c r="C739" s="41" t="s">
        <v>609</v>
      </c>
      <c r="D739" s="2">
        <v>2</v>
      </c>
      <c r="E739" s="2" t="s">
        <v>5</v>
      </c>
      <c r="F739" s="294">
        <v>2982.0524999999998</v>
      </c>
      <c r="G739" s="247">
        <v>3500</v>
      </c>
      <c r="H739" s="295">
        <f t="shared" si="22"/>
        <v>517.94750000000022</v>
      </c>
      <c r="I739" s="250">
        <f t="shared" si="23"/>
        <v>0.14798500000000006</v>
      </c>
    </row>
    <row r="740" spans="2:9" x14ac:dyDescent="0.3">
      <c r="B740" s="2">
        <v>1617</v>
      </c>
      <c r="C740" s="41" t="s">
        <v>1767</v>
      </c>
      <c r="D740" s="2">
        <v>9</v>
      </c>
      <c r="E740" s="2" t="s">
        <v>12</v>
      </c>
      <c r="F740" s="294">
        <v>13599.6</v>
      </c>
      <c r="G740" s="247">
        <v>16266.666666666666</v>
      </c>
      <c r="H740" s="295">
        <f t="shared" si="22"/>
        <v>2667.0666666666657</v>
      </c>
      <c r="I740" s="250">
        <f t="shared" si="23"/>
        <v>0.16395901639344257</v>
      </c>
    </row>
    <row r="741" spans="2:9" x14ac:dyDescent="0.3">
      <c r="B741" s="2">
        <v>1618</v>
      </c>
      <c r="C741" s="41" t="s">
        <v>610</v>
      </c>
      <c r="D741" s="2">
        <v>2</v>
      </c>
      <c r="E741" s="2" t="s">
        <v>243</v>
      </c>
      <c r="F741" s="294">
        <v>162256.5</v>
      </c>
      <c r="G741" s="247">
        <v>169133.33333333334</v>
      </c>
      <c r="H741" s="295">
        <f t="shared" si="22"/>
        <v>6876.833333333343</v>
      </c>
      <c r="I741" s="250">
        <f t="shared" si="23"/>
        <v>4.0659243200630718E-2</v>
      </c>
    </row>
    <row r="742" spans="2:9" x14ac:dyDescent="0.3">
      <c r="B742" s="2">
        <v>1619</v>
      </c>
      <c r="C742" s="41" t="s">
        <v>611</v>
      </c>
      <c r="D742" s="2">
        <v>14</v>
      </c>
      <c r="E742" s="2" t="s">
        <v>81</v>
      </c>
      <c r="F742" s="294">
        <v>5908</v>
      </c>
      <c r="G742" s="247">
        <v>6800</v>
      </c>
      <c r="H742" s="295">
        <f t="shared" si="22"/>
        <v>892</v>
      </c>
      <c r="I742" s="250">
        <f t="shared" si="23"/>
        <v>0.13117647058823528</v>
      </c>
    </row>
    <row r="743" spans="2:9" x14ac:dyDescent="0.3">
      <c r="B743" s="2">
        <v>1620</v>
      </c>
      <c r="C743" s="41" t="s">
        <v>612</v>
      </c>
      <c r="D743" s="2">
        <v>14</v>
      </c>
      <c r="E743" s="2" t="s">
        <v>81</v>
      </c>
      <c r="F743" s="294">
        <v>14984</v>
      </c>
      <c r="G743" s="247">
        <v>16800</v>
      </c>
      <c r="H743" s="295">
        <f t="shared" si="22"/>
        <v>1816</v>
      </c>
      <c r="I743" s="250">
        <f t="shared" si="23"/>
        <v>0.10809523809523809</v>
      </c>
    </row>
    <row r="744" spans="2:9" x14ac:dyDescent="0.3">
      <c r="B744" s="2">
        <v>1622</v>
      </c>
      <c r="C744" s="41" t="s">
        <v>613</v>
      </c>
      <c r="D744" s="2">
        <v>14</v>
      </c>
      <c r="E744" s="2" t="s">
        <v>81</v>
      </c>
      <c r="F744" s="294">
        <v>33253</v>
      </c>
      <c r="G744" s="247">
        <v>39500</v>
      </c>
      <c r="H744" s="295">
        <f t="shared" si="22"/>
        <v>6247</v>
      </c>
      <c r="I744" s="250">
        <f t="shared" si="23"/>
        <v>0.1581518987341772</v>
      </c>
    </row>
    <row r="745" spans="2:9" x14ac:dyDescent="0.3">
      <c r="B745" s="2">
        <v>1625</v>
      </c>
      <c r="C745" s="41" t="s">
        <v>614</v>
      </c>
      <c r="D745" s="2">
        <v>14</v>
      </c>
      <c r="E745" s="2" t="s">
        <v>81</v>
      </c>
      <c r="F745" s="294">
        <v>5092.5</v>
      </c>
      <c r="G745" s="247">
        <v>6700</v>
      </c>
      <c r="H745" s="295">
        <f t="shared" si="22"/>
        <v>1607.5</v>
      </c>
      <c r="I745" s="250">
        <f t="shared" si="23"/>
        <v>0.23992537313432835</v>
      </c>
    </row>
    <row r="746" spans="2:9" x14ac:dyDescent="0.3">
      <c r="B746" s="2">
        <v>1626</v>
      </c>
      <c r="C746" s="41" t="s">
        <v>1768</v>
      </c>
      <c r="D746" s="2">
        <v>2</v>
      </c>
      <c r="E746" s="2" t="s">
        <v>243</v>
      </c>
      <c r="F746" s="294">
        <v>129373.965</v>
      </c>
      <c r="G746" s="247">
        <v>143733.33333333334</v>
      </c>
      <c r="H746" s="295">
        <f t="shared" si="22"/>
        <v>14359.368333333347</v>
      </c>
      <c r="I746" s="250">
        <f t="shared" si="23"/>
        <v>9.990284090909099E-2</v>
      </c>
    </row>
    <row r="747" spans="2:9" x14ac:dyDescent="0.3">
      <c r="B747" s="2">
        <v>1632</v>
      </c>
      <c r="C747" s="41" t="s">
        <v>615</v>
      </c>
      <c r="D747" s="2">
        <v>7</v>
      </c>
      <c r="E747" s="2" t="s">
        <v>21</v>
      </c>
      <c r="F747" s="294">
        <v>2230</v>
      </c>
      <c r="G747" s="247">
        <v>2866.6666666666665</v>
      </c>
      <c r="H747" s="295">
        <f t="shared" si="22"/>
        <v>636.66666666666652</v>
      </c>
      <c r="I747" s="250">
        <f t="shared" si="23"/>
        <v>0.22209302325581393</v>
      </c>
    </row>
    <row r="748" spans="2:9" x14ac:dyDescent="0.3">
      <c r="B748" s="2">
        <v>1635</v>
      </c>
      <c r="C748" s="41" t="s">
        <v>616</v>
      </c>
      <c r="D748" s="2">
        <v>7</v>
      </c>
      <c r="E748" s="2" t="s">
        <v>160</v>
      </c>
      <c r="F748" s="294">
        <v>1190</v>
      </c>
      <c r="G748" s="247">
        <v>1616.6666666666667</v>
      </c>
      <c r="H748" s="295">
        <f t="shared" si="22"/>
        <v>426.66666666666674</v>
      </c>
      <c r="I748" s="250">
        <f t="shared" si="23"/>
        <v>0.26391752577319594</v>
      </c>
    </row>
    <row r="749" spans="2:9" x14ac:dyDescent="0.3">
      <c r="B749" s="2">
        <v>1637</v>
      </c>
      <c r="C749" s="41" t="s">
        <v>1769</v>
      </c>
      <c r="D749" s="2">
        <v>14</v>
      </c>
      <c r="E749" s="2" t="s">
        <v>81</v>
      </c>
      <c r="F749" s="294">
        <v>23179</v>
      </c>
      <c r="G749" s="247">
        <v>33550</v>
      </c>
      <c r="H749" s="295">
        <f t="shared" si="22"/>
        <v>10371</v>
      </c>
      <c r="I749" s="250">
        <f t="shared" si="23"/>
        <v>0.30912071535022356</v>
      </c>
    </row>
    <row r="750" spans="2:9" x14ac:dyDescent="0.3">
      <c r="B750" s="2">
        <v>1641</v>
      </c>
      <c r="C750" s="41" t="s">
        <v>1770</v>
      </c>
      <c r="D750" s="2">
        <v>14</v>
      </c>
      <c r="E750" s="2" t="s">
        <v>16</v>
      </c>
      <c r="F750" s="294">
        <v>22243</v>
      </c>
      <c r="G750" s="247">
        <v>30100</v>
      </c>
      <c r="H750" s="295">
        <f t="shared" si="22"/>
        <v>7857</v>
      </c>
      <c r="I750" s="250">
        <f t="shared" si="23"/>
        <v>0.26102990033222589</v>
      </c>
    </row>
    <row r="751" spans="2:9" x14ac:dyDescent="0.3">
      <c r="B751" s="2">
        <v>1645</v>
      </c>
      <c r="C751" s="41" t="s">
        <v>617</v>
      </c>
      <c r="D751" s="2">
        <v>5</v>
      </c>
      <c r="E751" s="2" t="s">
        <v>5</v>
      </c>
      <c r="F751" s="294">
        <v>7200</v>
      </c>
      <c r="G751" s="247">
        <v>8583.3333333333339</v>
      </c>
      <c r="H751" s="295">
        <f t="shared" si="22"/>
        <v>1383.3333333333339</v>
      </c>
      <c r="I751" s="250">
        <f t="shared" si="23"/>
        <v>0.16116504854368938</v>
      </c>
    </row>
    <row r="752" spans="2:9" x14ac:dyDescent="0.3">
      <c r="B752" s="2">
        <v>1647</v>
      </c>
      <c r="C752" s="41" t="s">
        <v>1771</v>
      </c>
      <c r="D752" s="2">
        <v>5</v>
      </c>
      <c r="E752" s="2" t="s">
        <v>5</v>
      </c>
      <c r="F752" s="294">
        <v>112300</v>
      </c>
      <c r="G752" s="247">
        <v>130333.33333333333</v>
      </c>
      <c r="H752" s="295">
        <f t="shared" si="22"/>
        <v>18033.333333333328</v>
      </c>
      <c r="I752" s="250">
        <f t="shared" si="23"/>
        <v>0.13836317135549869</v>
      </c>
    </row>
    <row r="753" spans="2:9" x14ac:dyDescent="0.3">
      <c r="B753" s="2">
        <v>1652</v>
      </c>
      <c r="C753" s="41" t="s">
        <v>618</v>
      </c>
      <c r="D753" s="2">
        <v>14</v>
      </c>
      <c r="E753" s="2" t="s">
        <v>81</v>
      </c>
      <c r="F753" s="294">
        <v>76526</v>
      </c>
      <c r="G753" s="247">
        <v>90533.333333333328</v>
      </c>
      <c r="H753" s="295">
        <f t="shared" si="22"/>
        <v>14007.333333333328</v>
      </c>
      <c r="I753" s="250">
        <f t="shared" si="23"/>
        <v>0.15472017673048596</v>
      </c>
    </row>
    <row r="754" spans="2:9" x14ac:dyDescent="0.3">
      <c r="B754" s="2">
        <v>1657</v>
      </c>
      <c r="C754" s="41" t="s">
        <v>619</v>
      </c>
      <c r="D754" s="2">
        <v>2</v>
      </c>
      <c r="E754" s="2" t="s">
        <v>604</v>
      </c>
      <c r="F754" s="294">
        <v>146399.99849999999</v>
      </c>
      <c r="G754" s="247">
        <v>165000</v>
      </c>
      <c r="H754" s="295">
        <f t="shared" si="22"/>
        <v>18600.001500000013</v>
      </c>
      <c r="I754" s="250">
        <f t="shared" si="23"/>
        <v>0.1127272818181819</v>
      </c>
    </row>
    <row r="755" spans="2:9" x14ac:dyDescent="0.3">
      <c r="B755" s="2">
        <v>1660</v>
      </c>
      <c r="C755" s="41" t="s">
        <v>620</v>
      </c>
      <c r="D755" s="2">
        <v>6</v>
      </c>
      <c r="E755" s="2" t="s">
        <v>16</v>
      </c>
      <c r="F755" s="294">
        <v>58500</v>
      </c>
      <c r="G755" s="247">
        <v>69083.333333333328</v>
      </c>
      <c r="H755" s="295">
        <f t="shared" si="22"/>
        <v>10583.333333333328</v>
      </c>
      <c r="I755" s="250">
        <f t="shared" si="23"/>
        <v>0.15319662243667062</v>
      </c>
    </row>
    <row r="756" spans="2:9" x14ac:dyDescent="0.3">
      <c r="B756" s="2">
        <v>1664</v>
      </c>
      <c r="C756" s="41" t="s">
        <v>1772</v>
      </c>
      <c r="D756" s="2">
        <v>6</v>
      </c>
      <c r="E756" s="2" t="s">
        <v>23</v>
      </c>
      <c r="F756" s="294">
        <v>126000</v>
      </c>
      <c r="G756" s="247">
        <v>135833.33333333334</v>
      </c>
      <c r="H756" s="295">
        <f t="shared" si="22"/>
        <v>9833.333333333343</v>
      </c>
      <c r="I756" s="250">
        <f t="shared" si="23"/>
        <v>7.2392638036809884E-2</v>
      </c>
    </row>
    <row r="757" spans="2:9" x14ac:dyDescent="0.3">
      <c r="B757" s="2">
        <v>1667</v>
      </c>
      <c r="C757" s="41" t="s">
        <v>1773</v>
      </c>
      <c r="D757" s="2">
        <v>2</v>
      </c>
      <c r="E757" s="2" t="s">
        <v>243</v>
      </c>
      <c r="F757" s="294">
        <v>84800</v>
      </c>
      <c r="G757" s="247">
        <v>89800</v>
      </c>
      <c r="H757" s="295">
        <f t="shared" si="22"/>
        <v>5000</v>
      </c>
      <c r="I757" s="250">
        <f t="shared" si="23"/>
        <v>5.5679287305122498E-2</v>
      </c>
    </row>
    <row r="758" spans="2:9" x14ac:dyDescent="0.3">
      <c r="B758" s="2">
        <v>1668</v>
      </c>
      <c r="C758" s="41" t="s">
        <v>621</v>
      </c>
      <c r="D758" s="2">
        <v>12</v>
      </c>
      <c r="E758" s="2" t="s">
        <v>12</v>
      </c>
      <c r="F758" s="294">
        <v>6600</v>
      </c>
      <c r="G758" s="247">
        <v>7500</v>
      </c>
      <c r="H758" s="295">
        <f t="shared" si="22"/>
        <v>900</v>
      </c>
      <c r="I758" s="250">
        <f t="shared" si="23"/>
        <v>0.12</v>
      </c>
    </row>
    <row r="759" spans="2:9" x14ac:dyDescent="0.3">
      <c r="B759" s="2">
        <v>1671</v>
      </c>
      <c r="C759" s="41" t="s">
        <v>623</v>
      </c>
      <c r="D759" s="2">
        <v>12</v>
      </c>
      <c r="E759" s="2" t="s">
        <v>12</v>
      </c>
      <c r="F759" s="294">
        <v>1175.72</v>
      </c>
      <c r="G759" s="247">
        <v>1800</v>
      </c>
      <c r="H759" s="295">
        <f t="shared" si="22"/>
        <v>624.28</v>
      </c>
      <c r="I759" s="250">
        <f t="shared" si="23"/>
        <v>0.3468222222222222</v>
      </c>
    </row>
    <row r="760" spans="2:9" x14ac:dyDescent="0.3">
      <c r="B760" s="2">
        <v>1672</v>
      </c>
      <c r="C760" s="41" t="s">
        <v>1774</v>
      </c>
      <c r="D760" s="2">
        <v>7</v>
      </c>
      <c r="E760" s="2" t="s">
        <v>12</v>
      </c>
      <c r="F760" s="294">
        <v>1675</v>
      </c>
      <c r="G760" s="247">
        <v>1866.6666666666667</v>
      </c>
      <c r="H760" s="295">
        <f t="shared" si="22"/>
        <v>191.66666666666674</v>
      </c>
      <c r="I760" s="250">
        <f t="shared" si="23"/>
        <v>0.10267857142857147</v>
      </c>
    </row>
    <row r="761" spans="2:9" x14ac:dyDescent="0.3">
      <c r="B761" s="2">
        <v>1673</v>
      </c>
      <c r="C761" s="41" t="s">
        <v>624</v>
      </c>
      <c r="D761" s="2">
        <v>6</v>
      </c>
      <c r="E761" s="2" t="s">
        <v>16</v>
      </c>
      <c r="F761" s="294">
        <v>42000</v>
      </c>
      <c r="G761" s="247">
        <v>50200</v>
      </c>
      <c r="H761" s="295">
        <f t="shared" si="22"/>
        <v>8200</v>
      </c>
      <c r="I761" s="250">
        <f t="shared" si="23"/>
        <v>0.16334661354581673</v>
      </c>
    </row>
    <row r="762" spans="2:9" x14ac:dyDescent="0.3">
      <c r="B762" s="2">
        <v>1674</v>
      </c>
      <c r="C762" s="41" t="s">
        <v>625</v>
      </c>
      <c r="D762" s="2">
        <v>5</v>
      </c>
      <c r="E762" s="2" t="s">
        <v>12</v>
      </c>
      <c r="F762" s="294">
        <v>137300</v>
      </c>
      <c r="G762" s="247">
        <v>162000</v>
      </c>
      <c r="H762" s="295">
        <f t="shared" si="22"/>
        <v>24700</v>
      </c>
      <c r="I762" s="250">
        <f t="shared" si="23"/>
        <v>0.15246913580246912</v>
      </c>
    </row>
    <row r="763" spans="2:9" x14ac:dyDescent="0.3">
      <c r="B763" s="2">
        <v>1676</v>
      </c>
      <c r="C763" s="41" t="s">
        <v>626</v>
      </c>
      <c r="D763" s="2">
        <v>5</v>
      </c>
      <c r="E763" s="2" t="s">
        <v>5</v>
      </c>
      <c r="F763" s="294">
        <v>18200</v>
      </c>
      <c r="G763" s="247">
        <v>21166.666666666668</v>
      </c>
      <c r="H763" s="295">
        <f t="shared" si="22"/>
        <v>2966.6666666666679</v>
      </c>
      <c r="I763" s="250">
        <f t="shared" si="23"/>
        <v>0.14015748031496067</v>
      </c>
    </row>
    <row r="764" spans="2:9" x14ac:dyDescent="0.3">
      <c r="B764" s="2">
        <v>1677</v>
      </c>
      <c r="C764" s="41" t="s">
        <v>627</v>
      </c>
      <c r="D764" s="2">
        <v>5</v>
      </c>
      <c r="E764" s="2" t="s">
        <v>5</v>
      </c>
      <c r="F764" s="294">
        <v>15600</v>
      </c>
      <c r="G764" s="247">
        <v>18500</v>
      </c>
      <c r="H764" s="295">
        <f t="shared" si="22"/>
        <v>2900</v>
      </c>
      <c r="I764" s="250">
        <f t="shared" si="23"/>
        <v>0.15675675675675677</v>
      </c>
    </row>
    <row r="765" spans="2:9" x14ac:dyDescent="0.3">
      <c r="B765" s="2">
        <v>1680</v>
      </c>
      <c r="C765" s="41" t="s">
        <v>1775</v>
      </c>
      <c r="D765" s="2">
        <v>14</v>
      </c>
      <c r="E765" s="2" t="s">
        <v>81</v>
      </c>
      <c r="F765" s="294">
        <v>90872</v>
      </c>
      <c r="G765" s="247">
        <v>115000</v>
      </c>
      <c r="H765" s="295">
        <f t="shared" si="22"/>
        <v>24128</v>
      </c>
      <c r="I765" s="250">
        <f t="shared" si="23"/>
        <v>0.20980869565217392</v>
      </c>
    </row>
    <row r="766" spans="2:9" x14ac:dyDescent="0.3">
      <c r="B766" s="2">
        <v>1681</v>
      </c>
      <c r="C766" s="41" t="s">
        <v>628</v>
      </c>
      <c r="D766" s="2">
        <v>14</v>
      </c>
      <c r="E766" s="2" t="s">
        <v>23</v>
      </c>
      <c r="F766" s="294">
        <v>8504</v>
      </c>
      <c r="G766" s="247">
        <v>10250</v>
      </c>
      <c r="H766" s="295">
        <f t="shared" si="22"/>
        <v>1746</v>
      </c>
      <c r="I766" s="250">
        <f t="shared" si="23"/>
        <v>0.17034146341463416</v>
      </c>
    </row>
    <row r="767" spans="2:9" x14ac:dyDescent="0.3">
      <c r="B767" s="2">
        <v>1682</v>
      </c>
      <c r="C767" s="41" t="s">
        <v>1776</v>
      </c>
      <c r="D767" s="2">
        <v>2</v>
      </c>
      <c r="E767" s="2" t="s">
        <v>5</v>
      </c>
      <c r="F767" s="294">
        <v>2811.7424999999998</v>
      </c>
      <c r="G767" s="247">
        <v>2966.6666666666665</v>
      </c>
      <c r="H767" s="295">
        <f t="shared" si="22"/>
        <v>154.92416666666668</v>
      </c>
      <c r="I767" s="250">
        <f t="shared" si="23"/>
        <v>5.2221629213483153E-2</v>
      </c>
    </row>
    <row r="768" spans="2:9" x14ac:dyDescent="0.3">
      <c r="B768" s="2">
        <v>1688</v>
      </c>
      <c r="C768" s="41" t="s">
        <v>1777</v>
      </c>
      <c r="D768" s="2">
        <v>6</v>
      </c>
      <c r="E768" s="2" t="s">
        <v>81</v>
      </c>
      <c r="F768" s="294">
        <v>25088</v>
      </c>
      <c r="G768" s="247">
        <v>30600</v>
      </c>
      <c r="H768" s="295">
        <f t="shared" si="22"/>
        <v>5512</v>
      </c>
      <c r="I768" s="250">
        <f t="shared" si="23"/>
        <v>0.18013071895424837</v>
      </c>
    </row>
    <row r="769" spans="2:9" x14ac:dyDescent="0.3">
      <c r="B769" s="2">
        <v>1689</v>
      </c>
      <c r="C769" s="41" t="s">
        <v>629</v>
      </c>
      <c r="D769" s="2">
        <v>14</v>
      </c>
      <c r="E769" s="2" t="s">
        <v>23</v>
      </c>
      <c r="F769" s="294">
        <v>6237</v>
      </c>
      <c r="G769" s="247">
        <v>8500</v>
      </c>
      <c r="H769" s="295">
        <f t="shared" si="22"/>
        <v>2263</v>
      </c>
      <c r="I769" s="250">
        <f t="shared" si="23"/>
        <v>0.26623529411764707</v>
      </c>
    </row>
    <row r="770" spans="2:9" x14ac:dyDescent="0.3">
      <c r="B770" s="2">
        <v>1693</v>
      </c>
      <c r="C770" s="41" t="s">
        <v>630</v>
      </c>
      <c r="D770" s="2">
        <v>2</v>
      </c>
      <c r="E770" s="2" t="s">
        <v>5</v>
      </c>
      <c r="F770" s="294">
        <v>9507.0779999999995</v>
      </c>
      <c r="G770" s="247">
        <v>11233.333333333334</v>
      </c>
      <c r="H770" s="295">
        <f t="shared" si="22"/>
        <v>1726.2553333333344</v>
      </c>
      <c r="I770" s="250">
        <f t="shared" si="23"/>
        <v>0.15367258160237399</v>
      </c>
    </row>
    <row r="771" spans="2:9" x14ac:dyDescent="0.3">
      <c r="B771" s="2">
        <v>1695</v>
      </c>
      <c r="C771" s="41" t="s">
        <v>631</v>
      </c>
      <c r="D771" s="2">
        <v>7</v>
      </c>
      <c r="E771" s="2" t="s">
        <v>160</v>
      </c>
      <c r="F771" s="294">
        <v>3300</v>
      </c>
      <c r="G771" s="247">
        <v>3566.6666666666665</v>
      </c>
      <c r="H771" s="295">
        <f t="shared" si="22"/>
        <v>266.66666666666652</v>
      </c>
      <c r="I771" s="250">
        <f t="shared" si="23"/>
        <v>7.4766355140186883E-2</v>
      </c>
    </row>
    <row r="772" spans="2:9" x14ac:dyDescent="0.3">
      <c r="B772" s="2">
        <v>1696</v>
      </c>
      <c r="C772" s="41" t="s">
        <v>632</v>
      </c>
      <c r="D772" s="2">
        <v>7</v>
      </c>
      <c r="E772" s="2" t="s">
        <v>21</v>
      </c>
      <c r="F772" s="294">
        <v>2230</v>
      </c>
      <c r="G772" s="247">
        <v>2333.3333333333335</v>
      </c>
      <c r="H772" s="295">
        <f t="shared" si="22"/>
        <v>103.33333333333348</v>
      </c>
      <c r="I772" s="250">
        <f t="shared" si="23"/>
        <v>4.4285714285714345E-2</v>
      </c>
    </row>
    <row r="773" spans="2:9" x14ac:dyDescent="0.3">
      <c r="B773" s="2">
        <v>1697</v>
      </c>
      <c r="C773" s="41" t="s">
        <v>1778</v>
      </c>
      <c r="D773" s="2">
        <v>7</v>
      </c>
      <c r="E773" s="2" t="s">
        <v>12</v>
      </c>
      <c r="F773" s="294">
        <v>850</v>
      </c>
      <c r="G773" s="247">
        <v>1200</v>
      </c>
      <c r="H773" s="295">
        <f t="shared" si="22"/>
        <v>350</v>
      </c>
      <c r="I773" s="250">
        <f t="shared" si="23"/>
        <v>0.29166666666666669</v>
      </c>
    </row>
    <row r="774" spans="2:9" x14ac:dyDescent="0.3">
      <c r="B774" s="2">
        <v>1698</v>
      </c>
      <c r="C774" s="41" t="s">
        <v>1779</v>
      </c>
      <c r="D774" s="2">
        <v>7</v>
      </c>
      <c r="E774" s="2" t="s">
        <v>21</v>
      </c>
      <c r="F774" s="294">
        <v>2000</v>
      </c>
      <c r="G774" s="247">
        <v>2800</v>
      </c>
      <c r="H774" s="295">
        <f t="shared" ref="H774:H837" si="24">G774-F774</f>
        <v>800</v>
      </c>
      <c r="I774" s="250">
        <f t="shared" ref="I774:I837" si="25">H774/G774</f>
        <v>0.2857142857142857</v>
      </c>
    </row>
    <row r="775" spans="2:9" x14ac:dyDescent="0.3">
      <c r="B775" s="2">
        <v>1701</v>
      </c>
      <c r="C775" s="41" t="s">
        <v>633</v>
      </c>
      <c r="D775" s="2">
        <v>7</v>
      </c>
      <c r="E775" s="2" t="s">
        <v>21</v>
      </c>
      <c r="F775" s="294">
        <v>2420</v>
      </c>
      <c r="G775" s="247">
        <v>2883.3333333333335</v>
      </c>
      <c r="H775" s="295">
        <f t="shared" si="24"/>
        <v>463.33333333333348</v>
      </c>
      <c r="I775" s="250">
        <f t="shared" si="25"/>
        <v>0.16069364161849714</v>
      </c>
    </row>
    <row r="776" spans="2:9" x14ac:dyDescent="0.3">
      <c r="B776" s="2">
        <v>1702</v>
      </c>
      <c r="C776" s="41" t="s">
        <v>634</v>
      </c>
      <c r="D776" s="2">
        <v>7</v>
      </c>
      <c r="E776" s="2" t="s">
        <v>21</v>
      </c>
      <c r="F776" s="294">
        <v>2230</v>
      </c>
      <c r="G776" s="247">
        <v>2816.6666666666665</v>
      </c>
      <c r="H776" s="295">
        <f t="shared" si="24"/>
        <v>586.66666666666652</v>
      </c>
      <c r="I776" s="250">
        <f t="shared" si="25"/>
        <v>0.20828402366863902</v>
      </c>
    </row>
    <row r="777" spans="2:9" x14ac:dyDescent="0.3">
      <c r="B777" s="2">
        <v>1703</v>
      </c>
      <c r="C777" s="41" t="s">
        <v>635</v>
      </c>
      <c r="D777" s="2">
        <v>7</v>
      </c>
      <c r="E777" s="2" t="s">
        <v>160</v>
      </c>
      <c r="F777" s="294">
        <v>1600</v>
      </c>
      <c r="G777" s="247">
        <v>2200</v>
      </c>
      <c r="H777" s="295">
        <f t="shared" si="24"/>
        <v>600</v>
      </c>
      <c r="I777" s="250">
        <f t="shared" si="25"/>
        <v>0.27272727272727271</v>
      </c>
    </row>
    <row r="778" spans="2:9" x14ac:dyDescent="0.3">
      <c r="B778" s="2">
        <v>1704</v>
      </c>
      <c r="C778" s="41" t="s">
        <v>636</v>
      </c>
      <c r="D778" s="2">
        <v>7</v>
      </c>
      <c r="E778" s="2" t="s">
        <v>21</v>
      </c>
      <c r="F778" s="294">
        <v>1190</v>
      </c>
      <c r="G778" s="247">
        <v>1400</v>
      </c>
      <c r="H778" s="295">
        <f t="shared" si="24"/>
        <v>210</v>
      </c>
      <c r="I778" s="250">
        <f t="shared" si="25"/>
        <v>0.15</v>
      </c>
    </row>
    <row r="779" spans="2:9" x14ac:dyDescent="0.3">
      <c r="B779" s="2">
        <v>1705</v>
      </c>
      <c r="C779" s="41" t="s">
        <v>637</v>
      </c>
      <c r="D779" s="2">
        <v>2</v>
      </c>
      <c r="E779" s="2" t="s">
        <v>622</v>
      </c>
      <c r="F779" s="294">
        <v>115489.5</v>
      </c>
      <c r="G779" s="247">
        <v>132150</v>
      </c>
      <c r="H779" s="295">
        <f t="shared" si="24"/>
        <v>16660.5</v>
      </c>
      <c r="I779" s="250">
        <f t="shared" si="25"/>
        <v>0.12607264472190693</v>
      </c>
    </row>
    <row r="780" spans="2:9" x14ac:dyDescent="0.3">
      <c r="B780" s="2">
        <v>1706</v>
      </c>
      <c r="C780" s="41" t="s">
        <v>638</v>
      </c>
      <c r="D780" s="2">
        <v>5</v>
      </c>
      <c r="E780" s="2" t="s">
        <v>12</v>
      </c>
      <c r="F780" s="294">
        <v>8133.65</v>
      </c>
      <c r="G780" s="247">
        <v>9500</v>
      </c>
      <c r="H780" s="295">
        <f t="shared" si="24"/>
        <v>1366.3500000000004</v>
      </c>
      <c r="I780" s="250">
        <f t="shared" si="25"/>
        <v>0.14382631578947372</v>
      </c>
    </row>
    <row r="781" spans="2:9" x14ac:dyDescent="0.3">
      <c r="B781" s="2">
        <v>1708</v>
      </c>
      <c r="C781" s="41" t="s">
        <v>639</v>
      </c>
      <c r="D781" s="2">
        <v>2</v>
      </c>
      <c r="E781" s="2" t="s">
        <v>324</v>
      </c>
      <c r="F781" s="294">
        <v>38000.004000000001</v>
      </c>
      <c r="G781" s="247">
        <v>43866.666666666664</v>
      </c>
      <c r="H781" s="295">
        <f t="shared" si="24"/>
        <v>5866.6626666666634</v>
      </c>
      <c r="I781" s="250">
        <f t="shared" si="25"/>
        <v>0.13373851063829781</v>
      </c>
    </row>
    <row r="782" spans="2:9" x14ac:dyDescent="0.3">
      <c r="B782" s="2">
        <v>1709</v>
      </c>
      <c r="C782" s="41" t="s">
        <v>1780</v>
      </c>
      <c r="D782" s="2">
        <v>2</v>
      </c>
      <c r="E782" s="2" t="s">
        <v>5</v>
      </c>
      <c r="F782" s="294">
        <v>20700.004499999999</v>
      </c>
      <c r="G782" s="247">
        <v>24550</v>
      </c>
      <c r="H782" s="295">
        <f t="shared" si="24"/>
        <v>3849.9955000000009</v>
      </c>
      <c r="I782" s="250">
        <f t="shared" si="25"/>
        <v>0.15682262729124241</v>
      </c>
    </row>
    <row r="783" spans="2:9" x14ac:dyDescent="0.3">
      <c r="B783" s="2">
        <v>1710</v>
      </c>
      <c r="C783" s="41" t="s">
        <v>640</v>
      </c>
      <c r="D783" s="2">
        <v>2</v>
      </c>
      <c r="E783" s="2" t="s">
        <v>12</v>
      </c>
      <c r="F783" s="294">
        <v>36699.999000000003</v>
      </c>
      <c r="G783" s="247">
        <v>46716.666666666664</v>
      </c>
      <c r="H783" s="295">
        <f t="shared" si="24"/>
        <v>10016.667666666661</v>
      </c>
      <c r="I783" s="250">
        <f t="shared" si="25"/>
        <v>0.21441315019621823</v>
      </c>
    </row>
    <row r="784" spans="2:9" x14ac:dyDescent="0.3">
      <c r="B784" s="2">
        <v>1741</v>
      </c>
      <c r="C784" s="41" t="s">
        <v>641</v>
      </c>
      <c r="D784" s="2">
        <v>2</v>
      </c>
      <c r="E784" s="2" t="s">
        <v>5</v>
      </c>
      <c r="F784" s="294">
        <v>102221.7</v>
      </c>
      <c r="G784" s="247">
        <v>118566.66666666667</v>
      </c>
      <c r="H784" s="295">
        <f t="shared" si="24"/>
        <v>16344.966666666674</v>
      </c>
      <c r="I784" s="250">
        <f t="shared" si="25"/>
        <v>0.13785465279730116</v>
      </c>
    </row>
    <row r="785" spans="2:9" x14ac:dyDescent="0.3">
      <c r="B785" s="2">
        <v>1744</v>
      </c>
      <c r="C785" s="41" t="s">
        <v>1781</v>
      </c>
      <c r="D785" s="2">
        <v>14</v>
      </c>
      <c r="E785" s="2" t="s">
        <v>81</v>
      </c>
      <c r="F785" s="294">
        <v>21739</v>
      </c>
      <c r="G785" s="247">
        <v>22500</v>
      </c>
      <c r="H785" s="295">
        <f t="shared" si="24"/>
        <v>761</v>
      </c>
      <c r="I785" s="250">
        <f t="shared" si="25"/>
        <v>3.3822222222222219E-2</v>
      </c>
    </row>
    <row r="786" spans="2:9" x14ac:dyDescent="0.3">
      <c r="B786" s="2">
        <v>1746</v>
      </c>
      <c r="C786" s="41" t="s">
        <v>642</v>
      </c>
      <c r="D786" s="2">
        <v>14</v>
      </c>
      <c r="E786" s="2" t="s">
        <v>81</v>
      </c>
      <c r="F786" s="294">
        <v>20316</v>
      </c>
      <c r="G786" s="247">
        <v>23416.666666666668</v>
      </c>
      <c r="H786" s="295">
        <f t="shared" si="24"/>
        <v>3100.6666666666679</v>
      </c>
      <c r="I786" s="250">
        <f t="shared" si="25"/>
        <v>0.1324128113879004</v>
      </c>
    </row>
    <row r="787" spans="2:9" x14ac:dyDescent="0.3">
      <c r="B787" s="2">
        <v>1747</v>
      </c>
      <c r="C787" s="41" t="s">
        <v>643</v>
      </c>
      <c r="D787" s="2">
        <v>8</v>
      </c>
      <c r="E787" s="2" t="s">
        <v>419</v>
      </c>
      <c r="F787" s="294">
        <v>103950</v>
      </c>
      <c r="G787" s="247">
        <v>118500</v>
      </c>
      <c r="H787" s="295">
        <f t="shared" si="24"/>
        <v>14550</v>
      </c>
      <c r="I787" s="250">
        <f t="shared" si="25"/>
        <v>0.12278481012658228</v>
      </c>
    </row>
    <row r="788" spans="2:9" x14ac:dyDescent="0.3">
      <c r="B788" s="2">
        <v>1749</v>
      </c>
      <c r="C788" s="41" t="s">
        <v>644</v>
      </c>
      <c r="D788" s="2">
        <v>14</v>
      </c>
      <c r="E788" s="2" t="s">
        <v>12</v>
      </c>
      <c r="F788" s="294">
        <v>557</v>
      </c>
      <c r="G788" s="247">
        <v>700</v>
      </c>
      <c r="H788" s="295">
        <f t="shared" si="24"/>
        <v>143</v>
      </c>
      <c r="I788" s="250">
        <f t="shared" si="25"/>
        <v>0.20428571428571429</v>
      </c>
    </row>
    <row r="789" spans="2:9" x14ac:dyDescent="0.3">
      <c r="B789" s="2">
        <v>1755</v>
      </c>
      <c r="C789" s="41" t="s">
        <v>645</v>
      </c>
      <c r="D789" s="2">
        <v>4</v>
      </c>
      <c r="E789" s="2" t="s">
        <v>176</v>
      </c>
      <c r="F789" s="294">
        <v>36081</v>
      </c>
      <c r="G789" s="247">
        <v>42500</v>
      </c>
      <c r="H789" s="295">
        <f t="shared" si="24"/>
        <v>6419</v>
      </c>
      <c r="I789" s="250">
        <f t="shared" si="25"/>
        <v>0.15103529411764705</v>
      </c>
    </row>
    <row r="790" spans="2:9" x14ac:dyDescent="0.3">
      <c r="B790" s="2">
        <v>1756</v>
      </c>
      <c r="C790" s="41" t="s">
        <v>646</v>
      </c>
      <c r="D790" s="2">
        <v>9</v>
      </c>
      <c r="E790" s="2" t="s">
        <v>227</v>
      </c>
      <c r="F790" s="294">
        <v>162792</v>
      </c>
      <c r="G790" s="247">
        <v>186200</v>
      </c>
      <c r="H790" s="295">
        <f t="shared" si="24"/>
        <v>23408</v>
      </c>
      <c r="I790" s="250">
        <f t="shared" si="25"/>
        <v>0.12571428571428572</v>
      </c>
    </row>
    <row r="791" spans="2:9" x14ac:dyDescent="0.3">
      <c r="B791" s="2">
        <v>1758</v>
      </c>
      <c r="C791" s="41" t="s">
        <v>1782</v>
      </c>
      <c r="D791" s="2">
        <v>8</v>
      </c>
      <c r="E791" s="2" t="s">
        <v>16</v>
      </c>
      <c r="F791" s="294">
        <v>157435.9</v>
      </c>
      <c r="G791" s="247">
        <v>182000</v>
      </c>
      <c r="H791" s="295">
        <f t="shared" si="24"/>
        <v>24564.100000000006</v>
      </c>
      <c r="I791" s="250">
        <f t="shared" si="25"/>
        <v>0.13496758241758244</v>
      </c>
    </row>
    <row r="792" spans="2:9" x14ac:dyDescent="0.3">
      <c r="B792" s="2">
        <v>1761</v>
      </c>
      <c r="C792" s="41" t="s">
        <v>647</v>
      </c>
      <c r="D792" s="2">
        <v>14</v>
      </c>
      <c r="E792" s="2" t="s">
        <v>176</v>
      </c>
      <c r="F792" s="294">
        <v>5831</v>
      </c>
      <c r="G792" s="247">
        <v>11416.666666666666</v>
      </c>
      <c r="H792" s="295">
        <f t="shared" si="24"/>
        <v>5585.6666666666661</v>
      </c>
      <c r="I792" s="250">
        <f t="shared" si="25"/>
        <v>0.48925547445255474</v>
      </c>
    </row>
    <row r="793" spans="2:9" x14ac:dyDescent="0.3">
      <c r="B793" s="2">
        <v>1763</v>
      </c>
      <c r="C793" s="41" t="s">
        <v>648</v>
      </c>
      <c r="D793" s="2">
        <v>14</v>
      </c>
      <c r="E793" s="2" t="s">
        <v>176</v>
      </c>
      <c r="F793" s="294">
        <v>20831</v>
      </c>
      <c r="G793" s="247">
        <v>25500</v>
      </c>
      <c r="H793" s="295">
        <f t="shared" si="24"/>
        <v>4669</v>
      </c>
      <c r="I793" s="250">
        <f t="shared" si="25"/>
        <v>0.18309803921568626</v>
      </c>
    </row>
    <row r="794" spans="2:9" x14ac:dyDescent="0.3">
      <c r="B794" s="2">
        <v>1764</v>
      </c>
      <c r="C794" s="41" t="s">
        <v>1783</v>
      </c>
      <c r="D794" s="2">
        <v>14</v>
      </c>
      <c r="E794" s="2" t="s">
        <v>12</v>
      </c>
      <c r="F794" s="294">
        <v>6900</v>
      </c>
      <c r="G794" s="247">
        <v>9500</v>
      </c>
      <c r="H794" s="295">
        <f t="shared" si="24"/>
        <v>2600</v>
      </c>
      <c r="I794" s="250">
        <f t="shared" si="25"/>
        <v>0.27368421052631581</v>
      </c>
    </row>
    <row r="795" spans="2:9" x14ac:dyDescent="0.3">
      <c r="B795" s="2">
        <v>1766</v>
      </c>
      <c r="C795" s="41" t="s">
        <v>650</v>
      </c>
      <c r="D795" s="2">
        <v>14</v>
      </c>
      <c r="E795" s="2" t="s">
        <v>16</v>
      </c>
      <c r="F795" s="294">
        <v>83334</v>
      </c>
      <c r="G795" s="247">
        <v>98000</v>
      </c>
      <c r="H795" s="295">
        <f t="shared" si="24"/>
        <v>14666</v>
      </c>
      <c r="I795" s="250">
        <f t="shared" si="25"/>
        <v>0.14965306122448979</v>
      </c>
    </row>
    <row r="796" spans="2:9" x14ac:dyDescent="0.3">
      <c r="B796" s="2">
        <v>1774</v>
      </c>
      <c r="C796" s="41" t="s">
        <v>651</v>
      </c>
      <c r="D796" s="2">
        <v>7</v>
      </c>
      <c r="E796" s="2" t="s">
        <v>21</v>
      </c>
      <c r="F796" s="294">
        <v>2800</v>
      </c>
      <c r="G796" s="247">
        <v>3483.3333333333335</v>
      </c>
      <c r="H796" s="295">
        <f t="shared" si="24"/>
        <v>683.33333333333348</v>
      </c>
      <c r="I796" s="250">
        <f t="shared" si="25"/>
        <v>0.19617224880382778</v>
      </c>
    </row>
    <row r="797" spans="2:9" x14ac:dyDescent="0.3">
      <c r="B797" s="2">
        <v>1776</v>
      </c>
      <c r="C797" s="41" t="s">
        <v>652</v>
      </c>
      <c r="D797" s="2">
        <v>7</v>
      </c>
      <c r="E797" s="2" t="s">
        <v>21</v>
      </c>
      <c r="F797" s="294">
        <v>2800</v>
      </c>
      <c r="G797" s="247">
        <v>3366.6666666666665</v>
      </c>
      <c r="H797" s="295">
        <f t="shared" si="24"/>
        <v>566.66666666666652</v>
      </c>
      <c r="I797" s="250">
        <f t="shared" si="25"/>
        <v>0.16831683168316827</v>
      </c>
    </row>
    <row r="798" spans="2:9" x14ac:dyDescent="0.3">
      <c r="B798" s="2">
        <v>1777</v>
      </c>
      <c r="C798" s="41" t="s">
        <v>653</v>
      </c>
      <c r="D798" s="2">
        <v>7</v>
      </c>
      <c r="E798" s="2" t="s">
        <v>5</v>
      </c>
      <c r="F798" s="294">
        <v>18700</v>
      </c>
      <c r="G798" s="247">
        <v>21833.333333333332</v>
      </c>
      <c r="H798" s="295">
        <f t="shared" si="24"/>
        <v>3133.3333333333321</v>
      </c>
      <c r="I798" s="250">
        <f t="shared" si="25"/>
        <v>0.14351145038167934</v>
      </c>
    </row>
    <row r="799" spans="2:9" x14ac:dyDescent="0.3">
      <c r="B799" s="2">
        <v>1778</v>
      </c>
      <c r="C799" s="41" t="s">
        <v>654</v>
      </c>
      <c r="D799" s="2">
        <v>7</v>
      </c>
      <c r="E799" s="2" t="s">
        <v>160</v>
      </c>
      <c r="F799" s="294">
        <v>1190</v>
      </c>
      <c r="G799" s="247">
        <v>1800</v>
      </c>
      <c r="H799" s="295">
        <f t="shared" si="24"/>
        <v>610</v>
      </c>
      <c r="I799" s="250">
        <f t="shared" si="25"/>
        <v>0.33888888888888891</v>
      </c>
    </row>
    <row r="800" spans="2:9" x14ac:dyDescent="0.3">
      <c r="B800" s="2">
        <v>1779</v>
      </c>
      <c r="C800" s="41" t="s">
        <v>1784</v>
      </c>
      <c r="D800" s="2">
        <v>7</v>
      </c>
      <c r="E800" s="2" t="s">
        <v>160</v>
      </c>
      <c r="F800" s="294">
        <v>600</v>
      </c>
      <c r="G800" s="247">
        <v>950</v>
      </c>
      <c r="H800" s="295">
        <f t="shared" si="24"/>
        <v>350</v>
      </c>
      <c r="I800" s="250">
        <f t="shared" si="25"/>
        <v>0.36842105263157893</v>
      </c>
    </row>
    <row r="801" spans="2:9" x14ac:dyDescent="0.3">
      <c r="B801" s="2">
        <v>1780</v>
      </c>
      <c r="C801" s="41" t="s">
        <v>655</v>
      </c>
      <c r="D801" s="2">
        <v>7</v>
      </c>
      <c r="E801" s="2" t="s">
        <v>160</v>
      </c>
      <c r="F801" s="294">
        <v>1480</v>
      </c>
      <c r="G801" s="247">
        <v>1700</v>
      </c>
      <c r="H801" s="295">
        <f t="shared" si="24"/>
        <v>220</v>
      </c>
      <c r="I801" s="250">
        <f t="shared" si="25"/>
        <v>0.12941176470588237</v>
      </c>
    </row>
    <row r="802" spans="2:9" x14ac:dyDescent="0.3">
      <c r="B802" s="2">
        <v>1785</v>
      </c>
      <c r="C802" s="41" t="s">
        <v>656</v>
      </c>
      <c r="D802" s="2">
        <v>14</v>
      </c>
      <c r="E802" s="2" t="s">
        <v>23</v>
      </c>
      <c r="F802" s="294">
        <v>20664</v>
      </c>
      <c r="G802" s="247">
        <v>25133.333333333332</v>
      </c>
      <c r="H802" s="295">
        <f t="shared" si="24"/>
        <v>4469.3333333333321</v>
      </c>
      <c r="I802" s="250">
        <f t="shared" si="25"/>
        <v>0.17782493368700261</v>
      </c>
    </row>
    <row r="803" spans="2:9" x14ac:dyDescent="0.3">
      <c r="B803" s="2">
        <v>1787</v>
      </c>
      <c r="C803" s="41" t="s">
        <v>657</v>
      </c>
      <c r="D803" s="2">
        <v>14</v>
      </c>
      <c r="E803" s="2" t="s">
        <v>81</v>
      </c>
      <c r="F803" s="294">
        <v>22824</v>
      </c>
      <c r="G803" s="247">
        <v>28100</v>
      </c>
      <c r="H803" s="295">
        <f t="shared" si="24"/>
        <v>5276</v>
      </c>
      <c r="I803" s="250">
        <f t="shared" si="25"/>
        <v>0.18775800711743773</v>
      </c>
    </row>
    <row r="804" spans="2:9" x14ac:dyDescent="0.3">
      <c r="B804" s="2">
        <v>1792</v>
      </c>
      <c r="C804" s="41" t="s">
        <v>658</v>
      </c>
      <c r="D804" s="2">
        <v>2</v>
      </c>
      <c r="E804" s="2" t="s">
        <v>5</v>
      </c>
      <c r="F804" s="294">
        <v>63700.000099999997</v>
      </c>
      <c r="G804" s="247">
        <v>69083.333333333328</v>
      </c>
      <c r="H804" s="295">
        <f t="shared" si="24"/>
        <v>5383.333233333331</v>
      </c>
      <c r="I804" s="250">
        <f t="shared" si="25"/>
        <v>7.7925209650180918E-2</v>
      </c>
    </row>
    <row r="805" spans="2:9" x14ac:dyDescent="0.3">
      <c r="B805" s="2">
        <v>1794</v>
      </c>
      <c r="C805" s="41" t="s">
        <v>659</v>
      </c>
      <c r="D805" s="2">
        <v>2</v>
      </c>
      <c r="E805" s="2" t="s">
        <v>5</v>
      </c>
      <c r="F805" s="294">
        <v>56500</v>
      </c>
      <c r="G805" s="247">
        <v>61316.666666666664</v>
      </c>
      <c r="H805" s="295">
        <f t="shared" si="24"/>
        <v>4816.6666666666642</v>
      </c>
      <c r="I805" s="250">
        <f t="shared" si="25"/>
        <v>7.8553954879043181E-2</v>
      </c>
    </row>
    <row r="806" spans="2:9" x14ac:dyDescent="0.3">
      <c r="B806" s="2">
        <v>1795</v>
      </c>
      <c r="C806" s="41" t="s">
        <v>1785</v>
      </c>
      <c r="D806" s="2">
        <v>5</v>
      </c>
      <c r="E806" s="2" t="s">
        <v>16</v>
      </c>
      <c r="F806" s="294">
        <v>44000</v>
      </c>
      <c r="G806" s="247">
        <v>52000</v>
      </c>
      <c r="H806" s="295">
        <f t="shared" si="24"/>
        <v>8000</v>
      </c>
      <c r="I806" s="250">
        <f t="shared" si="25"/>
        <v>0.15384615384615385</v>
      </c>
    </row>
    <row r="807" spans="2:9" x14ac:dyDescent="0.3">
      <c r="B807" s="2">
        <v>1798</v>
      </c>
      <c r="C807" s="41" t="s">
        <v>660</v>
      </c>
      <c r="D807" s="2">
        <v>4</v>
      </c>
      <c r="E807" s="2" t="s">
        <v>23</v>
      </c>
      <c r="F807" s="294">
        <v>10800</v>
      </c>
      <c r="G807" s="247">
        <v>14500</v>
      </c>
      <c r="H807" s="295">
        <f t="shared" si="24"/>
        <v>3700</v>
      </c>
      <c r="I807" s="250">
        <f t="shared" si="25"/>
        <v>0.25517241379310346</v>
      </c>
    </row>
    <row r="808" spans="2:9" x14ac:dyDescent="0.3">
      <c r="B808" s="2">
        <v>1800</v>
      </c>
      <c r="C808" s="41" t="s">
        <v>661</v>
      </c>
      <c r="D808" s="2">
        <v>4</v>
      </c>
      <c r="E808" s="2" t="s">
        <v>23</v>
      </c>
      <c r="F808" s="294">
        <v>13563</v>
      </c>
      <c r="G808" s="247">
        <v>26000</v>
      </c>
      <c r="H808" s="295">
        <f t="shared" si="24"/>
        <v>12437</v>
      </c>
      <c r="I808" s="250">
        <f t="shared" si="25"/>
        <v>0.47834615384615387</v>
      </c>
    </row>
    <row r="809" spans="2:9" x14ac:dyDescent="0.3">
      <c r="B809" s="2">
        <v>1807</v>
      </c>
      <c r="C809" s="41" t="s">
        <v>662</v>
      </c>
      <c r="D809" s="2">
        <v>6</v>
      </c>
      <c r="E809" s="2" t="s">
        <v>23</v>
      </c>
      <c r="F809" s="294">
        <v>51600</v>
      </c>
      <c r="G809" s="247">
        <v>56000</v>
      </c>
      <c r="H809" s="295">
        <f t="shared" si="24"/>
        <v>4400</v>
      </c>
      <c r="I809" s="250">
        <f t="shared" si="25"/>
        <v>7.857142857142857E-2</v>
      </c>
    </row>
    <row r="810" spans="2:9" x14ac:dyDescent="0.3">
      <c r="B810" s="2">
        <v>1808</v>
      </c>
      <c r="C810" s="41" t="s">
        <v>663</v>
      </c>
      <c r="D810" s="2">
        <v>6</v>
      </c>
      <c r="E810" s="2" t="s">
        <v>23</v>
      </c>
      <c r="F810" s="294">
        <v>36300</v>
      </c>
      <c r="G810" s="247">
        <v>39666.666666666664</v>
      </c>
      <c r="H810" s="295">
        <f t="shared" si="24"/>
        <v>3366.6666666666642</v>
      </c>
      <c r="I810" s="250">
        <f t="shared" si="25"/>
        <v>8.4873949579831881E-2</v>
      </c>
    </row>
    <row r="811" spans="2:9" x14ac:dyDescent="0.3">
      <c r="B811" s="2">
        <v>1809</v>
      </c>
      <c r="C811" s="41" t="s">
        <v>1786</v>
      </c>
      <c r="D811" s="2">
        <v>8</v>
      </c>
      <c r="E811" s="2" t="s">
        <v>41</v>
      </c>
      <c r="F811" s="294">
        <v>219273.3</v>
      </c>
      <c r="G811" s="247">
        <v>255533.33333333334</v>
      </c>
      <c r="H811" s="295">
        <f t="shared" si="24"/>
        <v>36260.033333333355</v>
      </c>
      <c r="I811" s="250">
        <f t="shared" si="25"/>
        <v>0.14189942603704678</v>
      </c>
    </row>
    <row r="812" spans="2:9" x14ac:dyDescent="0.3">
      <c r="B812" s="2">
        <v>1810</v>
      </c>
      <c r="C812" s="41" t="s">
        <v>664</v>
      </c>
      <c r="D812" s="2">
        <v>6</v>
      </c>
      <c r="E812" s="2" t="s">
        <v>176</v>
      </c>
      <c r="F812" s="294">
        <v>24950</v>
      </c>
      <c r="G812" s="247">
        <v>28500</v>
      </c>
      <c r="H812" s="295">
        <f t="shared" si="24"/>
        <v>3550</v>
      </c>
      <c r="I812" s="250">
        <f t="shared" si="25"/>
        <v>0.12456140350877193</v>
      </c>
    </row>
    <row r="813" spans="2:9" x14ac:dyDescent="0.3">
      <c r="B813" s="2">
        <v>1811</v>
      </c>
      <c r="C813" s="41" t="s">
        <v>665</v>
      </c>
      <c r="D813" s="2">
        <v>14</v>
      </c>
      <c r="E813" s="2" t="s">
        <v>649</v>
      </c>
      <c r="F813" s="294">
        <v>1253.6774</v>
      </c>
      <c r="G813" s="247">
        <v>1600</v>
      </c>
      <c r="H813" s="295">
        <f t="shared" si="24"/>
        <v>346.32259999999997</v>
      </c>
      <c r="I813" s="250">
        <f t="shared" si="25"/>
        <v>0.21645162499999998</v>
      </c>
    </row>
    <row r="814" spans="2:9" x14ac:dyDescent="0.3">
      <c r="B814" s="2">
        <v>1812</v>
      </c>
      <c r="C814" s="41" t="s">
        <v>666</v>
      </c>
      <c r="D814" s="2">
        <v>14</v>
      </c>
      <c r="E814" s="2" t="s">
        <v>81</v>
      </c>
      <c r="F814" s="294">
        <v>37854.6</v>
      </c>
      <c r="G814" s="247">
        <v>46333.333333333336</v>
      </c>
      <c r="H814" s="295">
        <f t="shared" si="24"/>
        <v>8478.7333333333372</v>
      </c>
      <c r="I814" s="250">
        <f t="shared" si="25"/>
        <v>0.18299424460431662</v>
      </c>
    </row>
    <row r="815" spans="2:9" x14ac:dyDescent="0.3">
      <c r="B815" s="2">
        <v>1820</v>
      </c>
      <c r="C815" s="41" t="s">
        <v>667</v>
      </c>
      <c r="D815" s="2">
        <v>14</v>
      </c>
      <c r="E815" s="2" t="s">
        <v>81</v>
      </c>
      <c r="F815" s="294">
        <v>3084</v>
      </c>
      <c r="G815" s="247">
        <v>4250</v>
      </c>
      <c r="H815" s="295">
        <f t="shared" si="24"/>
        <v>1166</v>
      </c>
      <c r="I815" s="250">
        <f t="shared" si="25"/>
        <v>0.27435294117647058</v>
      </c>
    </row>
    <row r="816" spans="2:9" x14ac:dyDescent="0.3">
      <c r="B816" s="2">
        <v>1822</v>
      </c>
      <c r="C816" s="41" t="s">
        <v>668</v>
      </c>
      <c r="D816" s="2">
        <v>14</v>
      </c>
      <c r="E816" s="2" t="s">
        <v>81</v>
      </c>
      <c r="F816" s="294">
        <v>18517</v>
      </c>
      <c r="G816" s="247">
        <v>22500</v>
      </c>
      <c r="H816" s="295">
        <f t="shared" si="24"/>
        <v>3983</v>
      </c>
      <c r="I816" s="250">
        <f t="shared" si="25"/>
        <v>0.17702222222222222</v>
      </c>
    </row>
    <row r="817" spans="2:9" x14ac:dyDescent="0.3">
      <c r="B817" s="2">
        <v>1823</v>
      </c>
      <c r="C817" s="41" t="s">
        <v>669</v>
      </c>
      <c r="D817" s="2">
        <v>14</v>
      </c>
      <c r="E817" s="2" t="s">
        <v>81</v>
      </c>
      <c r="F817" s="294">
        <v>11086</v>
      </c>
      <c r="G817" s="247">
        <v>13800</v>
      </c>
      <c r="H817" s="295">
        <f t="shared" si="24"/>
        <v>2714</v>
      </c>
      <c r="I817" s="250">
        <f t="shared" si="25"/>
        <v>0.19666666666666666</v>
      </c>
    </row>
    <row r="818" spans="2:9" x14ac:dyDescent="0.3">
      <c r="B818" s="2">
        <v>1827</v>
      </c>
      <c r="C818" s="41" t="s">
        <v>670</v>
      </c>
      <c r="D818" s="2">
        <v>12</v>
      </c>
      <c r="E818" s="2" t="s">
        <v>12</v>
      </c>
      <c r="F818" s="294">
        <v>10115</v>
      </c>
      <c r="G818" s="247">
        <v>13500</v>
      </c>
      <c r="H818" s="295">
        <f t="shared" si="24"/>
        <v>3385</v>
      </c>
      <c r="I818" s="250">
        <f t="shared" si="25"/>
        <v>0.25074074074074076</v>
      </c>
    </row>
    <row r="819" spans="2:9" x14ac:dyDescent="0.3">
      <c r="B819" s="2">
        <v>1932</v>
      </c>
      <c r="C819" s="41" t="s">
        <v>671</v>
      </c>
      <c r="D819" s="2">
        <v>1</v>
      </c>
      <c r="E819" s="2" t="s">
        <v>10</v>
      </c>
      <c r="F819" s="294">
        <v>169500</v>
      </c>
      <c r="G819" s="247">
        <v>189000</v>
      </c>
      <c r="H819" s="295">
        <f t="shared" si="24"/>
        <v>19500</v>
      </c>
      <c r="I819" s="250">
        <f t="shared" si="25"/>
        <v>0.10317460317460317</v>
      </c>
    </row>
    <row r="820" spans="2:9" x14ac:dyDescent="0.3">
      <c r="B820" s="2">
        <v>1933</v>
      </c>
      <c r="C820" s="41" t="s">
        <v>672</v>
      </c>
      <c r="D820" s="2">
        <v>1</v>
      </c>
      <c r="E820" s="2" t="s">
        <v>10</v>
      </c>
      <c r="F820" s="294">
        <v>175000</v>
      </c>
      <c r="G820" s="247">
        <v>187500</v>
      </c>
      <c r="H820" s="295">
        <f t="shared" si="24"/>
        <v>12500</v>
      </c>
      <c r="I820" s="250">
        <f t="shared" si="25"/>
        <v>6.6666666666666666E-2</v>
      </c>
    </row>
    <row r="821" spans="2:9" x14ac:dyDescent="0.3">
      <c r="B821" s="2">
        <v>1936</v>
      </c>
      <c r="C821" s="41" t="s">
        <v>673</v>
      </c>
      <c r="D821" s="2">
        <v>9</v>
      </c>
      <c r="E821" s="2" t="s">
        <v>12</v>
      </c>
      <c r="F821" s="294">
        <v>13284.9696</v>
      </c>
      <c r="G821" s="247">
        <v>15200</v>
      </c>
      <c r="H821" s="295">
        <f t="shared" si="24"/>
        <v>1915.0303999999996</v>
      </c>
      <c r="I821" s="250">
        <f t="shared" si="25"/>
        <v>0.12598884210526312</v>
      </c>
    </row>
    <row r="822" spans="2:9" x14ac:dyDescent="0.3">
      <c r="B822" s="2">
        <v>1937</v>
      </c>
      <c r="C822" s="41" t="s">
        <v>674</v>
      </c>
      <c r="D822" s="2">
        <v>2</v>
      </c>
      <c r="E822" s="2" t="s">
        <v>10</v>
      </c>
      <c r="F822" s="294">
        <v>63976.5</v>
      </c>
      <c r="G822" s="247">
        <v>70100</v>
      </c>
      <c r="H822" s="295">
        <f t="shared" si="24"/>
        <v>6123.5</v>
      </c>
      <c r="I822" s="250">
        <f t="shared" si="25"/>
        <v>8.7353780313837379E-2</v>
      </c>
    </row>
    <row r="823" spans="2:9" x14ac:dyDescent="0.3">
      <c r="B823" s="2">
        <v>1938</v>
      </c>
      <c r="C823" s="41" t="s">
        <v>676</v>
      </c>
      <c r="D823" s="2">
        <v>2</v>
      </c>
      <c r="E823" s="2" t="s">
        <v>10</v>
      </c>
      <c r="F823" s="294">
        <v>46966.5</v>
      </c>
      <c r="G823" s="247">
        <v>53550</v>
      </c>
      <c r="H823" s="295">
        <f t="shared" si="24"/>
        <v>6583.5</v>
      </c>
      <c r="I823" s="250">
        <f t="shared" si="25"/>
        <v>0.12294117647058823</v>
      </c>
    </row>
    <row r="824" spans="2:9" x14ac:dyDescent="0.3">
      <c r="B824" s="2">
        <v>1942</v>
      </c>
      <c r="C824" s="41" t="s">
        <v>677</v>
      </c>
      <c r="D824" s="2">
        <v>14</v>
      </c>
      <c r="E824" s="2" t="s">
        <v>176</v>
      </c>
      <c r="F824" s="294">
        <v>49211</v>
      </c>
      <c r="G824" s="247">
        <v>58000</v>
      </c>
      <c r="H824" s="295">
        <f t="shared" si="24"/>
        <v>8789</v>
      </c>
      <c r="I824" s="250">
        <f t="shared" si="25"/>
        <v>0.15153448275862069</v>
      </c>
    </row>
    <row r="825" spans="2:9" x14ac:dyDescent="0.3">
      <c r="B825" s="2">
        <v>1945</v>
      </c>
      <c r="C825" s="41" t="s">
        <v>679</v>
      </c>
      <c r="D825" s="2">
        <v>5</v>
      </c>
      <c r="E825" s="2" t="s">
        <v>328</v>
      </c>
      <c r="F825" s="294">
        <v>11950</v>
      </c>
      <c r="G825" s="247">
        <v>14000</v>
      </c>
      <c r="H825" s="295">
        <f t="shared" si="24"/>
        <v>2050</v>
      </c>
      <c r="I825" s="250">
        <f t="shared" si="25"/>
        <v>0.14642857142857144</v>
      </c>
    </row>
    <row r="826" spans="2:9" x14ac:dyDescent="0.3">
      <c r="B826" s="2">
        <v>1954</v>
      </c>
      <c r="C826" s="41" t="s">
        <v>1787</v>
      </c>
      <c r="D826" s="2">
        <v>6</v>
      </c>
      <c r="E826" s="2" t="s">
        <v>23</v>
      </c>
      <c r="F826" s="294">
        <v>11000</v>
      </c>
      <c r="G826" s="247">
        <v>15000</v>
      </c>
      <c r="H826" s="295">
        <f t="shared" si="24"/>
        <v>4000</v>
      </c>
      <c r="I826" s="250">
        <f t="shared" si="25"/>
        <v>0.26666666666666666</v>
      </c>
    </row>
    <row r="827" spans="2:9" x14ac:dyDescent="0.3">
      <c r="B827" s="2">
        <v>1956</v>
      </c>
      <c r="C827" s="41" t="s">
        <v>1788</v>
      </c>
      <c r="D827" s="2">
        <v>14</v>
      </c>
      <c r="E827" s="2" t="s">
        <v>81</v>
      </c>
      <c r="F827" s="294">
        <v>1034</v>
      </c>
      <c r="G827" s="247">
        <v>1600</v>
      </c>
      <c r="H827" s="295">
        <f t="shared" si="24"/>
        <v>566</v>
      </c>
      <c r="I827" s="250">
        <f t="shared" si="25"/>
        <v>0.35375000000000001</v>
      </c>
    </row>
    <row r="828" spans="2:9" x14ac:dyDescent="0.3">
      <c r="B828" s="2">
        <v>1957</v>
      </c>
      <c r="C828" s="41" t="s">
        <v>680</v>
      </c>
      <c r="D828" s="2">
        <v>2</v>
      </c>
      <c r="E828" s="2" t="s">
        <v>5</v>
      </c>
      <c r="F828" s="294">
        <v>108202.5</v>
      </c>
      <c r="G828" s="247">
        <v>119366.66666666667</v>
      </c>
      <c r="H828" s="295">
        <f t="shared" si="24"/>
        <v>11164.166666666672</v>
      </c>
      <c r="I828" s="250">
        <f t="shared" si="25"/>
        <v>9.3528344037978259E-2</v>
      </c>
    </row>
    <row r="829" spans="2:9" x14ac:dyDescent="0.3">
      <c r="B829" s="2">
        <v>1958</v>
      </c>
      <c r="C829" s="41" t="s">
        <v>681</v>
      </c>
      <c r="D829" s="2">
        <v>14</v>
      </c>
      <c r="E829" s="2" t="s">
        <v>12</v>
      </c>
      <c r="F829" s="294">
        <v>9510</v>
      </c>
      <c r="G829" s="247">
        <v>11000</v>
      </c>
      <c r="H829" s="295">
        <f t="shared" si="24"/>
        <v>1490</v>
      </c>
      <c r="I829" s="250">
        <f t="shared" si="25"/>
        <v>0.13545454545454547</v>
      </c>
    </row>
    <row r="830" spans="2:9" x14ac:dyDescent="0.3">
      <c r="B830" s="2">
        <v>1959</v>
      </c>
      <c r="C830" s="41" t="s">
        <v>682</v>
      </c>
      <c r="D830" s="2">
        <v>14</v>
      </c>
      <c r="E830" s="2" t="s">
        <v>12</v>
      </c>
      <c r="F830" s="294">
        <v>31700</v>
      </c>
      <c r="G830" s="247">
        <v>37000</v>
      </c>
      <c r="H830" s="295">
        <f t="shared" si="24"/>
        <v>5300</v>
      </c>
      <c r="I830" s="250">
        <f t="shared" si="25"/>
        <v>0.14324324324324325</v>
      </c>
    </row>
    <row r="831" spans="2:9" x14ac:dyDescent="0.3">
      <c r="B831" s="2">
        <v>1960</v>
      </c>
      <c r="C831" s="41" t="s">
        <v>1789</v>
      </c>
      <c r="D831" s="2">
        <v>14</v>
      </c>
      <c r="E831" s="2" t="s">
        <v>12</v>
      </c>
      <c r="F831" s="294">
        <v>13900</v>
      </c>
      <c r="G831" s="247">
        <v>18800</v>
      </c>
      <c r="H831" s="295">
        <f t="shared" si="24"/>
        <v>4900</v>
      </c>
      <c r="I831" s="250">
        <f t="shared" si="25"/>
        <v>0.26063829787234044</v>
      </c>
    </row>
    <row r="832" spans="2:9" x14ac:dyDescent="0.3">
      <c r="B832" s="2">
        <v>1962</v>
      </c>
      <c r="C832" s="41" t="s">
        <v>683</v>
      </c>
      <c r="D832" s="2">
        <v>2</v>
      </c>
      <c r="E832" s="2" t="s">
        <v>5</v>
      </c>
      <c r="F832" s="294">
        <v>63400</v>
      </c>
      <c r="G832" s="247">
        <v>68633.333333333328</v>
      </c>
      <c r="H832" s="295">
        <f t="shared" si="24"/>
        <v>5233.3333333333285</v>
      </c>
      <c r="I832" s="250">
        <f t="shared" si="25"/>
        <v>7.6250607090820724E-2</v>
      </c>
    </row>
    <row r="833" spans="2:9" x14ac:dyDescent="0.3">
      <c r="B833" s="2">
        <v>1967</v>
      </c>
      <c r="C833" s="41" t="s">
        <v>1790</v>
      </c>
      <c r="D833" s="2">
        <v>4</v>
      </c>
      <c r="E833" s="2" t="s">
        <v>419</v>
      </c>
      <c r="F833" s="294">
        <v>91800</v>
      </c>
      <c r="G833" s="247">
        <v>81000</v>
      </c>
      <c r="H833" s="295">
        <f t="shared" si="24"/>
        <v>-10800</v>
      </c>
      <c r="I833" s="250">
        <f t="shared" si="25"/>
        <v>-0.13333333333333333</v>
      </c>
    </row>
    <row r="834" spans="2:9" x14ac:dyDescent="0.3">
      <c r="B834" s="2">
        <v>1970</v>
      </c>
      <c r="C834" s="41" t="s">
        <v>684</v>
      </c>
      <c r="D834" s="2">
        <v>2</v>
      </c>
      <c r="E834" s="2" t="s">
        <v>10</v>
      </c>
      <c r="F834" s="294">
        <v>88558.05</v>
      </c>
      <c r="G834" s="247">
        <v>104483.33333333333</v>
      </c>
      <c r="H834" s="295">
        <f t="shared" si="24"/>
        <v>15925.283333333326</v>
      </c>
      <c r="I834" s="250">
        <f t="shared" si="25"/>
        <v>0.15241936513000473</v>
      </c>
    </row>
    <row r="835" spans="2:9" x14ac:dyDescent="0.3">
      <c r="B835" s="2">
        <v>1971</v>
      </c>
      <c r="C835" s="41" t="s">
        <v>685</v>
      </c>
      <c r="D835" s="2">
        <v>12</v>
      </c>
      <c r="E835" s="2" t="s">
        <v>12</v>
      </c>
      <c r="F835" s="294">
        <v>11999.96</v>
      </c>
      <c r="G835" s="247">
        <v>14600</v>
      </c>
      <c r="H835" s="295">
        <f t="shared" si="24"/>
        <v>2600.0400000000009</v>
      </c>
      <c r="I835" s="250">
        <f t="shared" si="25"/>
        <v>0.17808493150684937</v>
      </c>
    </row>
    <row r="836" spans="2:9" x14ac:dyDescent="0.3">
      <c r="B836" s="2">
        <v>1972</v>
      </c>
      <c r="C836" s="41" t="s">
        <v>1791</v>
      </c>
      <c r="D836" s="2">
        <v>12</v>
      </c>
      <c r="E836" s="2" t="s">
        <v>12</v>
      </c>
      <c r="F836" s="294">
        <v>2550</v>
      </c>
      <c r="G836" s="247">
        <v>3400</v>
      </c>
      <c r="H836" s="295">
        <f t="shared" si="24"/>
        <v>850</v>
      </c>
      <c r="I836" s="250">
        <f t="shared" si="25"/>
        <v>0.25</v>
      </c>
    </row>
    <row r="837" spans="2:9" x14ac:dyDescent="0.3">
      <c r="B837" s="2">
        <v>1973</v>
      </c>
      <c r="C837" s="41" t="s">
        <v>1792</v>
      </c>
      <c r="D837" s="2">
        <v>16</v>
      </c>
      <c r="E837" s="2" t="s">
        <v>12</v>
      </c>
      <c r="F837" s="294">
        <v>1042</v>
      </c>
      <c r="G837" s="247">
        <v>1400</v>
      </c>
      <c r="H837" s="295">
        <f t="shared" si="24"/>
        <v>358</v>
      </c>
      <c r="I837" s="250">
        <f t="shared" si="25"/>
        <v>0.25571428571428573</v>
      </c>
    </row>
    <row r="838" spans="2:9" x14ac:dyDescent="0.3">
      <c r="B838" s="2">
        <v>1975</v>
      </c>
      <c r="C838" s="41" t="s">
        <v>686</v>
      </c>
      <c r="D838" s="2">
        <v>10</v>
      </c>
      <c r="E838" s="2" t="s">
        <v>12</v>
      </c>
      <c r="F838" s="294">
        <v>3502.5983999999999</v>
      </c>
      <c r="G838" s="247">
        <v>5800</v>
      </c>
      <c r="H838" s="295">
        <f t="shared" ref="H838:H901" si="26">G838-F838</f>
        <v>2297.4016000000001</v>
      </c>
      <c r="I838" s="250">
        <f t="shared" ref="I838:I901" si="27">H838/G838</f>
        <v>0.39610372413793105</v>
      </c>
    </row>
    <row r="839" spans="2:9" x14ac:dyDescent="0.3">
      <c r="B839" s="2">
        <v>1976</v>
      </c>
      <c r="C839" s="41" t="s">
        <v>687</v>
      </c>
      <c r="D839" s="2">
        <v>10</v>
      </c>
      <c r="E839" s="2" t="s">
        <v>12</v>
      </c>
      <c r="F839" s="294">
        <v>4591.0200000000004</v>
      </c>
      <c r="G839" s="247">
        <v>5800</v>
      </c>
      <c r="H839" s="295">
        <f t="shared" si="26"/>
        <v>1208.9799999999996</v>
      </c>
      <c r="I839" s="250">
        <f t="shared" si="27"/>
        <v>0.20844482758620683</v>
      </c>
    </row>
    <row r="840" spans="2:9" x14ac:dyDescent="0.3">
      <c r="B840" s="2">
        <v>1977</v>
      </c>
      <c r="C840" s="41" t="s">
        <v>1793</v>
      </c>
      <c r="D840" s="2">
        <v>5</v>
      </c>
      <c r="E840" s="2" t="s">
        <v>176</v>
      </c>
      <c r="F840" s="294">
        <v>27700</v>
      </c>
      <c r="G840" s="247">
        <v>33166.666666666664</v>
      </c>
      <c r="H840" s="295">
        <f t="shared" si="26"/>
        <v>5466.6666666666642</v>
      </c>
      <c r="I840" s="250">
        <f t="shared" si="27"/>
        <v>0.16482412060301502</v>
      </c>
    </row>
    <row r="841" spans="2:9" x14ac:dyDescent="0.3">
      <c r="B841" s="2">
        <v>1978</v>
      </c>
      <c r="C841" s="41" t="s">
        <v>688</v>
      </c>
      <c r="D841" s="2">
        <v>14</v>
      </c>
      <c r="E841" s="2" t="s">
        <v>12</v>
      </c>
      <c r="F841" s="294">
        <v>40147.2857</v>
      </c>
      <c r="G841" s="247">
        <v>51566.666666666664</v>
      </c>
      <c r="H841" s="295">
        <f t="shared" si="26"/>
        <v>11419.380966666664</v>
      </c>
      <c r="I841" s="250">
        <f t="shared" si="27"/>
        <v>0.22144888752424041</v>
      </c>
    </row>
    <row r="842" spans="2:9" x14ac:dyDescent="0.3">
      <c r="B842" s="2">
        <v>1979</v>
      </c>
      <c r="C842" s="41" t="s">
        <v>689</v>
      </c>
      <c r="D842" s="2">
        <v>14</v>
      </c>
      <c r="E842" s="2" t="s">
        <v>81</v>
      </c>
      <c r="F842" s="294">
        <v>13688</v>
      </c>
      <c r="G842" s="247">
        <v>15800</v>
      </c>
      <c r="H842" s="295">
        <f t="shared" si="26"/>
        <v>2112</v>
      </c>
      <c r="I842" s="250">
        <f t="shared" si="27"/>
        <v>0.13367088607594937</v>
      </c>
    </row>
    <row r="843" spans="2:9" x14ac:dyDescent="0.3">
      <c r="B843" s="2">
        <v>1980</v>
      </c>
      <c r="C843" s="41" t="s">
        <v>1794</v>
      </c>
      <c r="D843" s="2">
        <v>14</v>
      </c>
      <c r="E843" s="2" t="s">
        <v>12</v>
      </c>
      <c r="F843" s="294">
        <v>1220</v>
      </c>
      <c r="G843" s="247">
        <v>1450</v>
      </c>
      <c r="H843" s="295">
        <f t="shared" si="26"/>
        <v>230</v>
      </c>
      <c r="I843" s="250">
        <f t="shared" si="27"/>
        <v>0.15862068965517243</v>
      </c>
    </row>
    <row r="844" spans="2:9" x14ac:dyDescent="0.3">
      <c r="B844" s="2">
        <v>1982</v>
      </c>
      <c r="C844" s="41" t="s">
        <v>690</v>
      </c>
      <c r="D844" s="2">
        <v>8</v>
      </c>
      <c r="E844" s="2" t="s">
        <v>16</v>
      </c>
      <c r="F844" s="294">
        <v>18790</v>
      </c>
      <c r="G844" s="247">
        <v>24000</v>
      </c>
      <c r="H844" s="295">
        <f t="shared" si="26"/>
        <v>5210</v>
      </c>
      <c r="I844" s="250">
        <f t="shared" si="27"/>
        <v>0.21708333333333332</v>
      </c>
    </row>
    <row r="845" spans="2:9" x14ac:dyDescent="0.3">
      <c r="B845" s="2">
        <v>1983</v>
      </c>
      <c r="C845" s="41" t="s">
        <v>691</v>
      </c>
      <c r="D845" s="2">
        <v>8</v>
      </c>
      <c r="E845" s="2" t="s">
        <v>176</v>
      </c>
      <c r="F845" s="294">
        <v>27022</v>
      </c>
      <c r="G845" s="247">
        <v>32000</v>
      </c>
      <c r="H845" s="295">
        <f t="shared" si="26"/>
        <v>4978</v>
      </c>
      <c r="I845" s="250">
        <f t="shared" si="27"/>
        <v>0.15556249999999999</v>
      </c>
    </row>
    <row r="846" spans="2:9" x14ac:dyDescent="0.3">
      <c r="B846" s="2">
        <v>1984</v>
      </c>
      <c r="C846" s="41" t="s">
        <v>692</v>
      </c>
      <c r="D846" s="2">
        <v>6</v>
      </c>
      <c r="E846" s="2" t="s">
        <v>12</v>
      </c>
      <c r="F846" s="294">
        <v>22400</v>
      </c>
      <c r="G846" s="247">
        <v>26800</v>
      </c>
      <c r="H846" s="295">
        <f t="shared" si="26"/>
        <v>4400</v>
      </c>
      <c r="I846" s="250">
        <f t="shared" si="27"/>
        <v>0.16417910447761194</v>
      </c>
    </row>
    <row r="847" spans="2:9" x14ac:dyDescent="0.3">
      <c r="B847" s="2">
        <v>1985</v>
      </c>
      <c r="C847" s="41" t="s">
        <v>693</v>
      </c>
      <c r="D847" s="2">
        <v>6</v>
      </c>
      <c r="E847" s="2" t="s">
        <v>176</v>
      </c>
      <c r="F847" s="294">
        <v>13911</v>
      </c>
      <c r="G847" s="247">
        <v>17000</v>
      </c>
      <c r="H847" s="295">
        <f t="shared" si="26"/>
        <v>3089</v>
      </c>
      <c r="I847" s="250">
        <f t="shared" si="27"/>
        <v>0.18170588235294119</v>
      </c>
    </row>
    <row r="848" spans="2:9" x14ac:dyDescent="0.3">
      <c r="B848" s="2">
        <v>1988</v>
      </c>
      <c r="C848" s="41" t="s">
        <v>694</v>
      </c>
      <c r="D848" s="2">
        <v>14</v>
      </c>
      <c r="E848" s="2" t="s">
        <v>81</v>
      </c>
      <c r="F848" s="294">
        <v>17557</v>
      </c>
      <c r="G848" s="247">
        <v>20866.666666666668</v>
      </c>
      <c r="H848" s="295">
        <f t="shared" si="26"/>
        <v>3309.6666666666679</v>
      </c>
      <c r="I848" s="250">
        <f t="shared" si="27"/>
        <v>0.15861022364217256</v>
      </c>
    </row>
    <row r="849" spans="2:9" x14ac:dyDescent="0.3">
      <c r="B849" s="2">
        <v>1990</v>
      </c>
      <c r="C849" s="41" t="s">
        <v>695</v>
      </c>
      <c r="D849" s="2">
        <v>14</v>
      </c>
      <c r="E849" s="2" t="s">
        <v>675</v>
      </c>
      <c r="F849" s="294">
        <v>2341.5</v>
      </c>
      <c r="G849" s="247">
        <v>4000</v>
      </c>
      <c r="H849" s="295">
        <f t="shared" si="26"/>
        <v>1658.5</v>
      </c>
      <c r="I849" s="250">
        <f t="shared" si="27"/>
        <v>0.41462500000000002</v>
      </c>
    </row>
    <row r="850" spans="2:9" x14ac:dyDescent="0.3">
      <c r="B850" s="2">
        <v>2000</v>
      </c>
      <c r="C850" s="41" t="s">
        <v>1795</v>
      </c>
      <c r="D850" s="2">
        <v>7</v>
      </c>
      <c r="E850" s="2" t="s">
        <v>35</v>
      </c>
      <c r="F850" s="294">
        <v>18905</v>
      </c>
      <c r="G850" s="247">
        <v>22000</v>
      </c>
      <c r="H850" s="295">
        <f t="shared" si="26"/>
        <v>3095</v>
      </c>
      <c r="I850" s="250">
        <f t="shared" si="27"/>
        <v>0.14068181818181819</v>
      </c>
    </row>
    <row r="851" spans="2:9" x14ac:dyDescent="0.3">
      <c r="B851" s="2">
        <v>2005</v>
      </c>
      <c r="C851" s="41" t="s">
        <v>696</v>
      </c>
      <c r="D851" s="2">
        <v>2</v>
      </c>
      <c r="E851" s="2" t="s">
        <v>5</v>
      </c>
      <c r="F851" s="294">
        <v>39900</v>
      </c>
      <c r="G851" s="247">
        <v>45000</v>
      </c>
      <c r="H851" s="295">
        <f t="shared" si="26"/>
        <v>5100</v>
      </c>
      <c r="I851" s="250">
        <f t="shared" si="27"/>
        <v>0.11333333333333333</v>
      </c>
    </row>
    <row r="852" spans="2:9" x14ac:dyDescent="0.3">
      <c r="B852" s="2">
        <v>2007</v>
      </c>
      <c r="C852" s="41" t="s">
        <v>697</v>
      </c>
      <c r="D852" s="2">
        <v>1</v>
      </c>
      <c r="E852" s="2" t="s">
        <v>678</v>
      </c>
      <c r="F852" s="294">
        <v>196000</v>
      </c>
      <c r="G852" s="247">
        <v>215500</v>
      </c>
      <c r="H852" s="295">
        <f t="shared" si="26"/>
        <v>19500</v>
      </c>
      <c r="I852" s="250">
        <f t="shared" si="27"/>
        <v>9.0487238979118326E-2</v>
      </c>
    </row>
    <row r="853" spans="2:9" x14ac:dyDescent="0.3">
      <c r="B853" s="2">
        <v>2011</v>
      </c>
      <c r="C853" s="41" t="s">
        <v>1796</v>
      </c>
      <c r="D853" s="2">
        <v>1</v>
      </c>
      <c r="E853" s="2" t="s">
        <v>5</v>
      </c>
      <c r="F853" s="294">
        <v>6210</v>
      </c>
      <c r="G853" s="247">
        <v>7500</v>
      </c>
      <c r="H853" s="295">
        <f t="shared" si="26"/>
        <v>1290</v>
      </c>
      <c r="I853" s="250">
        <f t="shared" si="27"/>
        <v>0.17199999999999999</v>
      </c>
    </row>
    <row r="854" spans="2:9" x14ac:dyDescent="0.3">
      <c r="B854" s="2">
        <v>2013</v>
      </c>
      <c r="C854" s="41" t="s">
        <v>1797</v>
      </c>
      <c r="D854" s="2">
        <v>16</v>
      </c>
      <c r="E854" s="2" t="s">
        <v>12</v>
      </c>
      <c r="F854" s="294">
        <v>5831</v>
      </c>
      <c r="G854" s="247">
        <v>6800</v>
      </c>
      <c r="H854" s="295">
        <f t="shared" si="26"/>
        <v>969</v>
      </c>
      <c r="I854" s="250">
        <f t="shared" si="27"/>
        <v>0.14249999999999999</v>
      </c>
    </row>
    <row r="855" spans="2:9" x14ac:dyDescent="0.3">
      <c r="B855" s="2">
        <v>2014</v>
      </c>
      <c r="C855" s="41" t="s">
        <v>1798</v>
      </c>
      <c r="D855" s="2">
        <v>2</v>
      </c>
      <c r="E855" s="2" t="s">
        <v>243</v>
      </c>
      <c r="F855" s="294">
        <v>71247.75</v>
      </c>
      <c r="G855" s="247">
        <v>91866.666666666672</v>
      </c>
      <c r="H855" s="295">
        <f t="shared" si="26"/>
        <v>20618.916666666672</v>
      </c>
      <c r="I855" s="250">
        <f t="shared" si="27"/>
        <v>0.22444394049346883</v>
      </c>
    </row>
    <row r="856" spans="2:9" x14ac:dyDescent="0.3">
      <c r="B856" s="2">
        <v>2015</v>
      </c>
      <c r="C856" s="41" t="s">
        <v>698</v>
      </c>
      <c r="D856" s="2">
        <v>2</v>
      </c>
      <c r="E856" s="2" t="s">
        <v>243</v>
      </c>
      <c r="F856" s="294">
        <v>74947.95</v>
      </c>
      <c r="G856" s="247">
        <v>86850</v>
      </c>
      <c r="H856" s="295">
        <f t="shared" si="26"/>
        <v>11902.050000000003</v>
      </c>
      <c r="I856" s="250">
        <f t="shared" si="27"/>
        <v>0.13704145077720212</v>
      </c>
    </row>
    <row r="857" spans="2:9" x14ac:dyDescent="0.3">
      <c r="B857" s="2">
        <v>2017</v>
      </c>
      <c r="C857" s="41" t="s">
        <v>1799</v>
      </c>
      <c r="D857" s="2">
        <v>8</v>
      </c>
      <c r="E857" s="2" t="s">
        <v>5</v>
      </c>
      <c r="F857" s="294">
        <v>59437</v>
      </c>
      <c r="G857" s="247">
        <v>69500</v>
      </c>
      <c r="H857" s="295">
        <f t="shared" si="26"/>
        <v>10063</v>
      </c>
      <c r="I857" s="250">
        <f t="shared" si="27"/>
        <v>0.14479136690647482</v>
      </c>
    </row>
    <row r="858" spans="2:9" x14ac:dyDescent="0.3">
      <c r="B858" s="2">
        <v>2018</v>
      </c>
      <c r="C858" s="41" t="s">
        <v>1800</v>
      </c>
      <c r="D858" s="2">
        <v>14</v>
      </c>
      <c r="E858" s="2" t="s">
        <v>81</v>
      </c>
      <c r="F858" s="294">
        <v>30385</v>
      </c>
      <c r="G858" s="247">
        <v>38600</v>
      </c>
      <c r="H858" s="295">
        <f t="shared" si="26"/>
        <v>8215</v>
      </c>
      <c r="I858" s="250">
        <f t="shared" si="27"/>
        <v>0.21282383419689119</v>
      </c>
    </row>
    <row r="859" spans="2:9" x14ac:dyDescent="0.3">
      <c r="B859" s="2">
        <v>2020</v>
      </c>
      <c r="C859" s="41" t="s">
        <v>1801</v>
      </c>
      <c r="D859" s="2">
        <v>14</v>
      </c>
      <c r="E859" s="2" t="s">
        <v>81</v>
      </c>
      <c r="F859" s="294">
        <v>55643</v>
      </c>
      <c r="G859" s="247">
        <v>65000</v>
      </c>
      <c r="H859" s="295">
        <f t="shared" si="26"/>
        <v>9357</v>
      </c>
      <c r="I859" s="250">
        <f t="shared" si="27"/>
        <v>0.14395384615384615</v>
      </c>
    </row>
    <row r="860" spans="2:9" x14ac:dyDescent="0.3">
      <c r="B860" s="2">
        <v>2021</v>
      </c>
      <c r="C860" s="41" t="s">
        <v>699</v>
      </c>
      <c r="D860" s="2">
        <v>14</v>
      </c>
      <c r="E860" s="2" t="s">
        <v>81</v>
      </c>
      <c r="F860" s="294">
        <v>16516</v>
      </c>
      <c r="G860" s="247">
        <v>21000</v>
      </c>
      <c r="H860" s="295">
        <f t="shared" si="26"/>
        <v>4484</v>
      </c>
      <c r="I860" s="250">
        <f t="shared" si="27"/>
        <v>0.21352380952380953</v>
      </c>
    </row>
    <row r="861" spans="2:9" x14ac:dyDescent="0.3">
      <c r="B861" s="2">
        <v>2022</v>
      </c>
      <c r="C861" s="41" t="s">
        <v>700</v>
      </c>
      <c r="D861" s="2">
        <v>14</v>
      </c>
      <c r="E861" s="2" t="s">
        <v>81</v>
      </c>
      <c r="F861" s="294">
        <v>9807</v>
      </c>
      <c r="G861" s="247">
        <v>13000</v>
      </c>
      <c r="H861" s="295">
        <f t="shared" si="26"/>
        <v>3193</v>
      </c>
      <c r="I861" s="250">
        <f t="shared" si="27"/>
        <v>0.24561538461538462</v>
      </c>
    </row>
    <row r="862" spans="2:9" x14ac:dyDescent="0.3">
      <c r="B862" s="2">
        <v>2025</v>
      </c>
      <c r="C862" s="41" t="s">
        <v>701</v>
      </c>
      <c r="D862" s="2">
        <v>12</v>
      </c>
      <c r="E862" s="2" t="s">
        <v>12</v>
      </c>
      <c r="F862" s="294">
        <v>900</v>
      </c>
      <c r="G862" s="247">
        <v>1000</v>
      </c>
      <c r="H862" s="295">
        <f t="shared" si="26"/>
        <v>100</v>
      </c>
      <c r="I862" s="250">
        <f t="shared" si="27"/>
        <v>0.1</v>
      </c>
    </row>
    <row r="863" spans="2:9" x14ac:dyDescent="0.3">
      <c r="B863" s="2">
        <v>2027</v>
      </c>
      <c r="C863" s="41" t="s">
        <v>702</v>
      </c>
      <c r="D863" s="2">
        <v>14</v>
      </c>
      <c r="E863" s="2" t="s">
        <v>81</v>
      </c>
      <c r="F863" s="294">
        <v>19157</v>
      </c>
      <c r="G863" s="247">
        <v>22500</v>
      </c>
      <c r="H863" s="295">
        <f t="shared" si="26"/>
        <v>3343</v>
      </c>
      <c r="I863" s="250">
        <f t="shared" si="27"/>
        <v>0.14857777777777778</v>
      </c>
    </row>
    <row r="864" spans="2:9" x14ac:dyDescent="0.3">
      <c r="B864" s="2">
        <v>2028</v>
      </c>
      <c r="C864" s="41" t="s">
        <v>1802</v>
      </c>
      <c r="D864" s="2">
        <v>14</v>
      </c>
      <c r="E864" s="2" t="s">
        <v>81</v>
      </c>
      <c r="F864" s="294">
        <v>9600</v>
      </c>
      <c r="G864" s="247">
        <v>13500</v>
      </c>
      <c r="H864" s="295">
        <f t="shared" si="26"/>
        <v>3900</v>
      </c>
      <c r="I864" s="250">
        <f t="shared" si="27"/>
        <v>0.28888888888888886</v>
      </c>
    </row>
    <row r="865" spans="2:9" x14ac:dyDescent="0.3">
      <c r="B865" s="2">
        <v>2029</v>
      </c>
      <c r="C865" s="41" t="s">
        <v>1803</v>
      </c>
      <c r="D865" s="2">
        <v>14</v>
      </c>
      <c r="E865" s="2" t="s">
        <v>81</v>
      </c>
      <c r="F865" s="294">
        <v>33950</v>
      </c>
      <c r="G865" s="247">
        <v>38000</v>
      </c>
      <c r="H865" s="295">
        <f t="shared" si="26"/>
        <v>4050</v>
      </c>
      <c r="I865" s="250">
        <f t="shared" si="27"/>
        <v>0.10657894736842105</v>
      </c>
    </row>
    <row r="866" spans="2:9" x14ac:dyDescent="0.3">
      <c r="B866" s="2">
        <v>2030</v>
      </c>
      <c r="C866" s="41" t="s">
        <v>703</v>
      </c>
      <c r="D866" s="2">
        <v>14</v>
      </c>
      <c r="E866" s="2" t="s">
        <v>23</v>
      </c>
      <c r="F866" s="294">
        <v>4892.8</v>
      </c>
      <c r="G866" s="247">
        <v>6000</v>
      </c>
      <c r="H866" s="295">
        <f t="shared" si="26"/>
        <v>1107.1999999999998</v>
      </c>
      <c r="I866" s="250">
        <f t="shared" si="27"/>
        <v>0.1845333333333333</v>
      </c>
    </row>
    <row r="867" spans="2:9" x14ac:dyDescent="0.3">
      <c r="B867" s="2">
        <v>2031</v>
      </c>
      <c r="C867" s="41" t="s">
        <v>704</v>
      </c>
      <c r="D867" s="2">
        <v>14</v>
      </c>
      <c r="E867" s="2" t="s">
        <v>81</v>
      </c>
      <c r="F867" s="294">
        <v>22028</v>
      </c>
      <c r="G867" s="247">
        <v>26500</v>
      </c>
      <c r="H867" s="295">
        <f t="shared" si="26"/>
        <v>4472</v>
      </c>
      <c r="I867" s="250">
        <f t="shared" si="27"/>
        <v>0.16875471698113206</v>
      </c>
    </row>
    <row r="868" spans="2:9" x14ac:dyDescent="0.3">
      <c r="B868" s="2">
        <v>2032</v>
      </c>
      <c r="C868" s="41" t="s">
        <v>705</v>
      </c>
      <c r="D868" s="2">
        <v>14</v>
      </c>
      <c r="E868" s="2" t="s">
        <v>81</v>
      </c>
      <c r="F868" s="294">
        <v>6011</v>
      </c>
      <c r="G868" s="247">
        <v>9000</v>
      </c>
      <c r="H868" s="295">
        <f t="shared" si="26"/>
        <v>2989</v>
      </c>
      <c r="I868" s="250">
        <f t="shared" si="27"/>
        <v>0.33211111111111113</v>
      </c>
    </row>
    <row r="869" spans="2:9" x14ac:dyDescent="0.3">
      <c r="B869" s="2">
        <v>3036</v>
      </c>
      <c r="C869" s="41" t="s">
        <v>706</v>
      </c>
      <c r="D869" s="2">
        <v>14</v>
      </c>
      <c r="E869" s="2" t="s">
        <v>12</v>
      </c>
      <c r="F869" s="294">
        <v>4763</v>
      </c>
      <c r="G869" s="247">
        <v>6500</v>
      </c>
      <c r="H869" s="295">
        <f t="shared" si="26"/>
        <v>1737</v>
      </c>
      <c r="I869" s="250">
        <f t="shared" si="27"/>
        <v>0.26723076923076922</v>
      </c>
    </row>
    <row r="870" spans="2:9" x14ac:dyDescent="0.3">
      <c r="B870" s="2">
        <v>3037</v>
      </c>
      <c r="C870" s="41" t="s">
        <v>707</v>
      </c>
      <c r="D870" s="2">
        <v>14</v>
      </c>
      <c r="E870" s="2" t="s">
        <v>41</v>
      </c>
      <c r="F870" s="294">
        <v>28800</v>
      </c>
      <c r="G870" s="247">
        <v>33000</v>
      </c>
      <c r="H870" s="295">
        <f t="shared" si="26"/>
        <v>4200</v>
      </c>
      <c r="I870" s="250">
        <f t="shared" si="27"/>
        <v>0.12727272727272726</v>
      </c>
    </row>
    <row r="871" spans="2:9" x14ac:dyDescent="0.3">
      <c r="B871" s="2">
        <v>3038</v>
      </c>
      <c r="C871" s="41" t="s">
        <v>708</v>
      </c>
      <c r="D871" s="2">
        <v>14</v>
      </c>
      <c r="E871" s="2" t="s">
        <v>41</v>
      </c>
      <c r="F871" s="294">
        <v>31000</v>
      </c>
      <c r="G871" s="247">
        <v>36000</v>
      </c>
      <c r="H871" s="295">
        <f t="shared" si="26"/>
        <v>5000</v>
      </c>
      <c r="I871" s="250">
        <f t="shared" si="27"/>
        <v>0.1388888888888889</v>
      </c>
    </row>
    <row r="872" spans="2:9" x14ac:dyDescent="0.3">
      <c r="B872" s="2">
        <v>3041</v>
      </c>
      <c r="C872" s="41" t="s">
        <v>709</v>
      </c>
      <c r="D872" s="2">
        <v>5</v>
      </c>
      <c r="E872" s="2" t="s">
        <v>81</v>
      </c>
      <c r="F872" s="294">
        <v>387950</v>
      </c>
      <c r="G872" s="247">
        <v>515600</v>
      </c>
      <c r="H872" s="295">
        <f t="shared" si="26"/>
        <v>127650</v>
      </c>
      <c r="I872" s="250">
        <f t="shared" si="27"/>
        <v>0.2475756400310318</v>
      </c>
    </row>
    <row r="873" spans="2:9" x14ac:dyDescent="0.3">
      <c r="B873" s="2">
        <v>3043</v>
      </c>
      <c r="C873" s="41" t="s">
        <v>710</v>
      </c>
      <c r="D873" s="2">
        <v>14</v>
      </c>
      <c r="E873" s="2" t="s">
        <v>81</v>
      </c>
      <c r="F873" s="294">
        <v>6741.5</v>
      </c>
      <c r="G873" s="247">
        <v>8000</v>
      </c>
      <c r="H873" s="295">
        <f t="shared" si="26"/>
        <v>1258.5</v>
      </c>
      <c r="I873" s="250">
        <f t="shared" si="27"/>
        <v>0.15731249999999999</v>
      </c>
    </row>
    <row r="874" spans="2:9" x14ac:dyDescent="0.3">
      <c r="B874" s="2">
        <v>3047</v>
      </c>
      <c r="C874" s="41" t="s">
        <v>711</v>
      </c>
      <c r="D874" s="2">
        <v>2</v>
      </c>
      <c r="E874" s="2" t="s">
        <v>10</v>
      </c>
      <c r="F874" s="294">
        <v>75388.95</v>
      </c>
      <c r="G874" s="247">
        <v>89416.666666666672</v>
      </c>
      <c r="H874" s="295">
        <f t="shared" si="26"/>
        <v>14027.716666666674</v>
      </c>
      <c r="I874" s="250">
        <f t="shared" si="27"/>
        <v>0.1568803355079218</v>
      </c>
    </row>
    <row r="875" spans="2:9" x14ac:dyDescent="0.3">
      <c r="B875" s="2">
        <v>3051</v>
      </c>
      <c r="C875" s="41" t="s">
        <v>712</v>
      </c>
      <c r="D875" s="2">
        <v>5</v>
      </c>
      <c r="E875" s="2" t="s">
        <v>41</v>
      </c>
      <c r="F875" s="294">
        <v>90000</v>
      </c>
      <c r="G875" s="247">
        <v>110000</v>
      </c>
      <c r="H875" s="295">
        <f t="shared" si="26"/>
        <v>20000</v>
      </c>
      <c r="I875" s="250">
        <f t="shared" si="27"/>
        <v>0.18181818181818182</v>
      </c>
    </row>
    <row r="876" spans="2:9" x14ac:dyDescent="0.3">
      <c r="B876" s="2">
        <v>3053</v>
      </c>
      <c r="C876" s="41" t="s">
        <v>1804</v>
      </c>
      <c r="D876" s="2">
        <v>5</v>
      </c>
      <c r="E876" s="2" t="s">
        <v>41</v>
      </c>
      <c r="F876" s="294">
        <v>54000</v>
      </c>
      <c r="G876" s="247">
        <v>69000</v>
      </c>
      <c r="H876" s="295">
        <f t="shared" si="26"/>
        <v>15000</v>
      </c>
      <c r="I876" s="250">
        <f t="shared" si="27"/>
        <v>0.21739130434782608</v>
      </c>
    </row>
    <row r="877" spans="2:9" x14ac:dyDescent="0.3">
      <c r="B877" s="2">
        <v>3056</v>
      </c>
      <c r="C877" s="41" t="s">
        <v>713</v>
      </c>
      <c r="D877" s="2">
        <v>4</v>
      </c>
      <c r="E877" s="2" t="s">
        <v>81</v>
      </c>
      <c r="F877" s="294">
        <v>37270</v>
      </c>
      <c r="G877" s="247">
        <v>43333.333333333336</v>
      </c>
      <c r="H877" s="295">
        <f t="shared" si="26"/>
        <v>6063.3333333333358</v>
      </c>
      <c r="I877" s="250">
        <f t="shared" si="27"/>
        <v>0.13992307692307698</v>
      </c>
    </row>
    <row r="878" spans="2:9" x14ac:dyDescent="0.3">
      <c r="B878" s="2">
        <v>3057</v>
      </c>
      <c r="C878" s="41" t="s">
        <v>714</v>
      </c>
      <c r="D878" s="2">
        <v>5</v>
      </c>
      <c r="E878" s="2" t="s">
        <v>5</v>
      </c>
      <c r="F878" s="294">
        <v>64903.384599999998</v>
      </c>
      <c r="G878" s="247">
        <v>84500</v>
      </c>
      <c r="H878" s="295">
        <f t="shared" si="26"/>
        <v>19596.615400000002</v>
      </c>
      <c r="I878" s="250">
        <f t="shared" si="27"/>
        <v>0.23191260828402369</v>
      </c>
    </row>
    <row r="879" spans="2:9" x14ac:dyDescent="0.3">
      <c r="B879" s="2">
        <v>3058</v>
      </c>
      <c r="C879" s="41" t="s">
        <v>715</v>
      </c>
      <c r="D879" s="2">
        <v>5</v>
      </c>
      <c r="E879" s="2" t="s">
        <v>81</v>
      </c>
      <c r="F879" s="294">
        <v>115808</v>
      </c>
      <c r="G879" s="247">
        <v>133583.33333333334</v>
      </c>
      <c r="H879" s="295">
        <f t="shared" si="26"/>
        <v>17775.333333333343</v>
      </c>
      <c r="I879" s="250">
        <f t="shared" si="27"/>
        <v>0.13306550218340618</v>
      </c>
    </row>
    <row r="880" spans="2:9" x14ac:dyDescent="0.3">
      <c r="B880" s="2">
        <v>3059</v>
      </c>
      <c r="C880" s="41" t="s">
        <v>1805</v>
      </c>
      <c r="D880" s="2">
        <v>2</v>
      </c>
      <c r="E880" s="2" t="s">
        <v>5</v>
      </c>
      <c r="F880" s="294">
        <v>129500</v>
      </c>
      <c r="G880" s="247">
        <v>143200</v>
      </c>
      <c r="H880" s="295">
        <f t="shared" si="26"/>
        <v>13700</v>
      </c>
      <c r="I880" s="250">
        <f t="shared" si="27"/>
        <v>9.5670391061452517E-2</v>
      </c>
    </row>
    <row r="881" spans="2:9" x14ac:dyDescent="0.3">
      <c r="B881" s="2">
        <v>3060</v>
      </c>
      <c r="C881" s="41" t="s">
        <v>716</v>
      </c>
      <c r="D881" s="2">
        <v>2</v>
      </c>
      <c r="E881" s="2" t="s">
        <v>5</v>
      </c>
      <c r="F881" s="294">
        <v>29342.25</v>
      </c>
      <c r="G881" s="247">
        <v>32800</v>
      </c>
      <c r="H881" s="295">
        <f t="shared" si="26"/>
        <v>3457.75</v>
      </c>
      <c r="I881" s="250">
        <f t="shared" si="27"/>
        <v>0.10541920731707317</v>
      </c>
    </row>
    <row r="882" spans="2:9" x14ac:dyDescent="0.3">
      <c r="B882" s="2">
        <v>3063</v>
      </c>
      <c r="C882" s="41" t="s">
        <v>717</v>
      </c>
      <c r="D882" s="2">
        <v>2</v>
      </c>
      <c r="E882" s="2" t="s">
        <v>5</v>
      </c>
      <c r="F882" s="294">
        <v>10972.7415</v>
      </c>
      <c r="G882" s="247">
        <v>12466.666666666666</v>
      </c>
      <c r="H882" s="295">
        <f t="shared" si="26"/>
        <v>1493.925166666666</v>
      </c>
      <c r="I882" s="250">
        <f t="shared" si="27"/>
        <v>0.11983356951871653</v>
      </c>
    </row>
    <row r="883" spans="2:9" x14ac:dyDescent="0.3">
      <c r="B883" s="2">
        <v>3064</v>
      </c>
      <c r="C883" s="41" t="s">
        <v>718</v>
      </c>
      <c r="D883" s="2">
        <v>2</v>
      </c>
      <c r="E883" s="2" t="s">
        <v>5</v>
      </c>
      <c r="F883" s="294">
        <v>24864.0285</v>
      </c>
      <c r="G883" s="247">
        <v>27300</v>
      </c>
      <c r="H883" s="295">
        <f t="shared" si="26"/>
        <v>2435.9714999999997</v>
      </c>
      <c r="I883" s="250">
        <f t="shared" si="27"/>
        <v>8.9229725274725266E-2</v>
      </c>
    </row>
    <row r="884" spans="2:9" x14ac:dyDescent="0.3">
      <c r="B884" s="2">
        <v>3067</v>
      </c>
      <c r="C884" s="41" t="s">
        <v>719</v>
      </c>
      <c r="D884" s="2">
        <v>14</v>
      </c>
      <c r="E884" s="2" t="s">
        <v>81</v>
      </c>
      <c r="F884" s="294">
        <v>7465</v>
      </c>
      <c r="G884" s="247">
        <v>20033.333333333332</v>
      </c>
      <c r="H884" s="295">
        <f t="shared" si="26"/>
        <v>12568.333333333332</v>
      </c>
      <c r="I884" s="250">
        <f t="shared" si="27"/>
        <v>0.62737104825291179</v>
      </c>
    </row>
    <row r="885" spans="2:9" x14ac:dyDescent="0.3">
      <c r="B885" s="2">
        <v>3070</v>
      </c>
      <c r="C885" s="41" t="s">
        <v>720</v>
      </c>
      <c r="D885" s="2">
        <v>4</v>
      </c>
      <c r="E885" s="2" t="s">
        <v>81</v>
      </c>
      <c r="F885" s="294">
        <v>17000</v>
      </c>
      <c r="G885" s="247">
        <v>22000</v>
      </c>
      <c r="H885" s="295">
        <f t="shared" si="26"/>
        <v>5000</v>
      </c>
      <c r="I885" s="250">
        <f t="shared" si="27"/>
        <v>0.22727272727272727</v>
      </c>
    </row>
    <row r="886" spans="2:9" x14ac:dyDescent="0.3">
      <c r="B886" s="2">
        <v>3071</v>
      </c>
      <c r="C886" s="41" t="s">
        <v>721</v>
      </c>
      <c r="D886" s="2">
        <v>2</v>
      </c>
      <c r="E886" s="2" t="s">
        <v>5</v>
      </c>
      <c r="F886" s="294">
        <v>51900</v>
      </c>
      <c r="G886" s="247">
        <v>57100</v>
      </c>
      <c r="H886" s="295">
        <f t="shared" si="26"/>
        <v>5200</v>
      </c>
      <c r="I886" s="250">
        <f t="shared" si="27"/>
        <v>9.106830122591944E-2</v>
      </c>
    </row>
    <row r="887" spans="2:9" x14ac:dyDescent="0.3">
      <c r="B887" s="2">
        <v>3072</v>
      </c>
      <c r="C887" s="41" t="s">
        <v>722</v>
      </c>
      <c r="D887" s="2">
        <v>14</v>
      </c>
      <c r="E887" s="2" t="s">
        <v>16</v>
      </c>
      <c r="F887" s="294">
        <v>28700</v>
      </c>
      <c r="G887" s="247">
        <v>35833.333333333336</v>
      </c>
      <c r="H887" s="295">
        <f t="shared" si="26"/>
        <v>7133.3333333333358</v>
      </c>
      <c r="I887" s="250">
        <f t="shared" si="27"/>
        <v>0.19906976744186053</v>
      </c>
    </row>
    <row r="888" spans="2:9" x14ac:dyDescent="0.3">
      <c r="B888" s="2">
        <v>3075</v>
      </c>
      <c r="C888" s="41" t="s">
        <v>1806</v>
      </c>
      <c r="D888" s="2">
        <v>1</v>
      </c>
      <c r="E888" s="2" t="s">
        <v>5</v>
      </c>
      <c r="F888" s="294">
        <v>195000</v>
      </c>
      <c r="G888" s="247">
        <v>206000</v>
      </c>
      <c r="H888" s="295">
        <f t="shared" si="26"/>
        <v>11000</v>
      </c>
      <c r="I888" s="250">
        <f t="shared" si="27"/>
        <v>5.3398058252427182E-2</v>
      </c>
    </row>
    <row r="889" spans="2:9" x14ac:dyDescent="0.3">
      <c r="B889" s="2">
        <v>3077</v>
      </c>
      <c r="C889" s="41" t="s">
        <v>723</v>
      </c>
      <c r="D889" s="2">
        <v>14</v>
      </c>
      <c r="E889" s="2" t="s">
        <v>81</v>
      </c>
      <c r="F889" s="294">
        <v>23372</v>
      </c>
      <c r="G889" s="247">
        <v>34066.666666666664</v>
      </c>
      <c r="H889" s="295">
        <f t="shared" si="26"/>
        <v>10694.666666666664</v>
      </c>
      <c r="I889" s="250">
        <f t="shared" si="27"/>
        <v>0.31393346379647746</v>
      </c>
    </row>
    <row r="890" spans="2:9" x14ac:dyDescent="0.3">
      <c r="B890" s="2">
        <v>3080</v>
      </c>
      <c r="C890" s="41" t="s">
        <v>724</v>
      </c>
      <c r="D890" s="2">
        <v>14</v>
      </c>
      <c r="E890" s="2" t="s">
        <v>12</v>
      </c>
      <c r="F890" s="294">
        <v>74155</v>
      </c>
      <c r="G890" s="247">
        <v>84000</v>
      </c>
      <c r="H890" s="295">
        <f t="shared" si="26"/>
        <v>9845</v>
      </c>
      <c r="I890" s="250">
        <f t="shared" si="27"/>
        <v>0.11720238095238095</v>
      </c>
    </row>
    <row r="891" spans="2:9" x14ac:dyDescent="0.3">
      <c r="B891" s="2">
        <v>3081</v>
      </c>
      <c r="C891" s="41" t="s">
        <v>725</v>
      </c>
      <c r="D891" s="2">
        <v>14</v>
      </c>
      <c r="E891" s="2" t="s">
        <v>12</v>
      </c>
      <c r="F891" s="294">
        <v>76504.2</v>
      </c>
      <c r="G891" s="247">
        <v>99750</v>
      </c>
      <c r="H891" s="295">
        <f t="shared" si="26"/>
        <v>23245.800000000003</v>
      </c>
      <c r="I891" s="250">
        <f t="shared" si="27"/>
        <v>0.23304060150375944</v>
      </c>
    </row>
    <row r="892" spans="2:9" x14ac:dyDescent="0.3">
      <c r="B892" s="2">
        <v>3082</v>
      </c>
      <c r="C892" s="41" t="s">
        <v>726</v>
      </c>
      <c r="D892" s="2">
        <v>7</v>
      </c>
      <c r="E892" s="2" t="s">
        <v>21</v>
      </c>
      <c r="F892" s="294">
        <v>1190</v>
      </c>
      <c r="G892" s="247">
        <v>1266.6666666666667</v>
      </c>
      <c r="H892" s="295">
        <f t="shared" si="26"/>
        <v>76.666666666666742</v>
      </c>
      <c r="I892" s="250">
        <f t="shared" si="27"/>
        <v>6.0526315789473741E-2</v>
      </c>
    </row>
    <row r="893" spans="2:9" x14ac:dyDescent="0.3">
      <c r="B893" s="2">
        <v>3085</v>
      </c>
      <c r="C893" s="41" t="s">
        <v>727</v>
      </c>
      <c r="D893" s="2">
        <v>2</v>
      </c>
      <c r="E893" s="2" t="s">
        <v>5</v>
      </c>
      <c r="F893" s="294">
        <v>10972.7415</v>
      </c>
      <c r="G893" s="247">
        <v>12466.666666666666</v>
      </c>
      <c r="H893" s="295">
        <f t="shared" si="26"/>
        <v>1493.925166666666</v>
      </c>
      <c r="I893" s="250">
        <f t="shared" si="27"/>
        <v>0.11983356951871653</v>
      </c>
    </row>
    <row r="894" spans="2:9" x14ac:dyDescent="0.3">
      <c r="B894" s="2">
        <v>3086</v>
      </c>
      <c r="C894" s="41" t="s">
        <v>728</v>
      </c>
      <c r="D894" s="2">
        <v>1</v>
      </c>
      <c r="E894" s="2" t="s">
        <v>5</v>
      </c>
      <c r="F894" s="294">
        <v>117500</v>
      </c>
      <c r="G894" s="247">
        <v>131666.66666666666</v>
      </c>
      <c r="H894" s="295">
        <f t="shared" si="26"/>
        <v>14166.666666666657</v>
      </c>
      <c r="I894" s="250">
        <f t="shared" si="27"/>
        <v>0.10759493670886069</v>
      </c>
    </row>
    <row r="895" spans="2:9" x14ac:dyDescent="0.3">
      <c r="B895" s="2">
        <v>3089</v>
      </c>
      <c r="C895" s="41" t="s">
        <v>729</v>
      </c>
      <c r="D895" s="2">
        <v>1</v>
      </c>
      <c r="E895" s="2" t="s">
        <v>5</v>
      </c>
      <c r="F895" s="294">
        <v>205000</v>
      </c>
      <c r="G895" s="247">
        <v>217133.33333333334</v>
      </c>
      <c r="H895" s="295">
        <f t="shared" si="26"/>
        <v>12133.333333333343</v>
      </c>
      <c r="I895" s="250">
        <f t="shared" si="27"/>
        <v>5.5879643844028291E-2</v>
      </c>
    </row>
    <row r="896" spans="2:9" x14ac:dyDescent="0.3">
      <c r="B896" s="2">
        <v>3091</v>
      </c>
      <c r="C896" s="41" t="s">
        <v>731</v>
      </c>
      <c r="D896" s="2">
        <v>1</v>
      </c>
      <c r="E896" s="2" t="s">
        <v>5</v>
      </c>
      <c r="F896" s="294">
        <v>226000</v>
      </c>
      <c r="G896" s="247">
        <v>248000</v>
      </c>
      <c r="H896" s="295">
        <f t="shared" si="26"/>
        <v>22000</v>
      </c>
      <c r="I896" s="250">
        <f t="shared" si="27"/>
        <v>8.8709677419354843E-2</v>
      </c>
    </row>
    <row r="897" spans="2:9" x14ac:dyDescent="0.3">
      <c r="B897" s="2">
        <v>3093</v>
      </c>
      <c r="C897" s="41" t="s">
        <v>732</v>
      </c>
      <c r="D897" s="2">
        <v>14</v>
      </c>
      <c r="E897" s="2" t="s">
        <v>81</v>
      </c>
      <c r="F897" s="294">
        <v>100064</v>
      </c>
      <c r="G897" s="247">
        <v>124000</v>
      </c>
      <c r="H897" s="295">
        <f t="shared" si="26"/>
        <v>23936</v>
      </c>
      <c r="I897" s="250">
        <f t="shared" si="27"/>
        <v>0.19303225806451613</v>
      </c>
    </row>
    <row r="898" spans="2:9" x14ac:dyDescent="0.3">
      <c r="B898" s="2">
        <v>3094</v>
      </c>
      <c r="C898" s="41" t="s">
        <v>733</v>
      </c>
      <c r="D898" s="2">
        <v>8</v>
      </c>
      <c r="E898" s="2" t="s">
        <v>41</v>
      </c>
      <c r="F898" s="294">
        <v>76800</v>
      </c>
      <c r="G898" s="247">
        <v>87500</v>
      </c>
      <c r="H898" s="295">
        <f t="shared" si="26"/>
        <v>10700</v>
      </c>
      <c r="I898" s="250">
        <f t="shared" si="27"/>
        <v>0.12228571428571429</v>
      </c>
    </row>
    <row r="899" spans="2:9" x14ac:dyDescent="0.3">
      <c r="B899" s="2">
        <v>3095</v>
      </c>
      <c r="C899" s="41" t="s">
        <v>1807</v>
      </c>
      <c r="D899" s="2">
        <v>8</v>
      </c>
      <c r="E899" s="2" t="s">
        <v>27</v>
      </c>
      <c r="F899" s="294">
        <v>690000</v>
      </c>
      <c r="G899" s="247">
        <v>775000</v>
      </c>
      <c r="H899" s="295">
        <f t="shared" si="26"/>
        <v>85000</v>
      </c>
      <c r="I899" s="250">
        <f t="shared" si="27"/>
        <v>0.10967741935483871</v>
      </c>
    </row>
    <row r="900" spans="2:9" x14ac:dyDescent="0.3">
      <c r="B900" s="2">
        <v>3096</v>
      </c>
      <c r="C900" s="41" t="s">
        <v>1808</v>
      </c>
      <c r="D900" s="2">
        <v>11</v>
      </c>
      <c r="E900" s="2" t="s">
        <v>12</v>
      </c>
      <c r="F900" s="294">
        <v>4920</v>
      </c>
      <c r="G900" s="247">
        <v>6000</v>
      </c>
      <c r="H900" s="295">
        <f t="shared" si="26"/>
        <v>1080</v>
      </c>
      <c r="I900" s="250">
        <f t="shared" si="27"/>
        <v>0.18</v>
      </c>
    </row>
    <row r="901" spans="2:9" x14ac:dyDescent="0.3">
      <c r="B901" s="2">
        <v>3097</v>
      </c>
      <c r="C901" s="41" t="s">
        <v>734</v>
      </c>
      <c r="D901" s="2">
        <v>6</v>
      </c>
      <c r="E901" s="2" t="s">
        <v>16</v>
      </c>
      <c r="F901" s="294">
        <v>40600</v>
      </c>
      <c r="G901" s="247">
        <v>52300</v>
      </c>
      <c r="H901" s="295">
        <f t="shared" si="26"/>
        <v>11700</v>
      </c>
      <c r="I901" s="250">
        <f t="shared" si="27"/>
        <v>0.22370936902485661</v>
      </c>
    </row>
    <row r="902" spans="2:9" x14ac:dyDescent="0.3">
      <c r="B902" s="2">
        <v>3098</v>
      </c>
      <c r="C902" s="41" t="s">
        <v>735</v>
      </c>
      <c r="D902" s="2">
        <v>1</v>
      </c>
      <c r="E902" s="2" t="s">
        <v>5</v>
      </c>
      <c r="F902" s="294">
        <v>197500</v>
      </c>
      <c r="G902" s="247">
        <v>229166.66666666666</v>
      </c>
      <c r="H902" s="295">
        <f t="shared" ref="H902:H965" si="28">G902-F902</f>
        <v>31666.666666666657</v>
      </c>
      <c r="I902" s="250">
        <f t="shared" ref="I902:I965" si="29">H902/G902</f>
        <v>0.13818181818181816</v>
      </c>
    </row>
    <row r="903" spans="2:9" x14ac:dyDescent="0.3">
      <c r="B903" s="2">
        <v>3100</v>
      </c>
      <c r="C903" s="41" t="s">
        <v>736</v>
      </c>
      <c r="D903" s="2">
        <v>13</v>
      </c>
      <c r="E903" s="2" t="s">
        <v>12</v>
      </c>
      <c r="F903" s="294">
        <v>24990</v>
      </c>
      <c r="G903" s="247">
        <v>32000</v>
      </c>
      <c r="H903" s="295">
        <f t="shared" si="28"/>
        <v>7010</v>
      </c>
      <c r="I903" s="250">
        <f t="shared" si="29"/>
        <v>0.21906249999999999</v>
      </c>
    </row>
    <row r="904" spans="2:9" x14ac:dyDescent="0.3">
      <c r="B904" s="2">
        <v>3101</v>
      </c>
      <c r="C904" s="41" t="s">
        <v>737</v>
      </c>
      <c r="D904" s="2">
        <v>13</v>
      </c>
      <c r="E904" s="2" t="s">
        <v>12</v>
      </c>
      <c r="F904" s="294">
        <v>35503.65</v>
      </c>
      <c r="G904" s="247">
        <v>42000</v>
      </c>
      <c r="H904" s="295">
        <f t="shared" si="28"/>
        <v>6496.3499999999985</v>
      </c>
      <c r="I904" s="250">
        <f t="shared" si="29"/>
        <v>0.15467499999999998</v>
      </c>
    </row>
    <row r="905" spans="2:9" x14ac:dyDescent="0.3">
      <c r="B905" s="2">
        <v>3106</v>
      </c>
      <c r="C905" s="41" t="s">
        <v>738</v>
      </c>
      <c r="D905" s="2">
        <v>7</v>
      </c>
      <c r="E905" s="2" t="s">
        <v>446</v>
      </c>
      <c r="F905" s="294">
        <v>3060</v>
      </c>
      <c r="G905" s="247">
        <v>4200</v>
      </c>
      <c r="H905" s="295">
        <f t="shared" si="28"/>
        <v>1140</v>
      </c>
      <c r="I905" s="250">
        <f t="shared" si="29"/>
        <v>0.27142857142857141</v>
      </c>
    </row>
    <row r="906" spans="2:9" x14ac:dyDescent="0.3">
      <c r="B906" s="2">
        <v>3108</v>
      </c>
      <c r="C906" s="41" t="s">
        <v>1809</v>
      </c>
      <c r="D906" s="2">
        <v>14</v>
      </c>
      <c r="E906" s="2" t="s">
        <v>81</v>
      </c>
      <c r="F906" s="294">
        <v>84600</v>
      </c>
      <c r="G906" s="247">
        <v>102000</v>
      </c>
      <c r="H906" s="295">
        <f t="shared" si="28"/>
        <v>17400</v>
      </c>
      <c r="I906" s="250">
        <f t="shared" si="29"/>
        <v>0.17058823529411765</v>
      </c>
    </row>
    <row r="907" spans="2:9" x14ac:dyDescent="0.3">
      <c r="B907" s="2">
        <v>3109</v>
      </c>
      <c r="C907" s="41" t="s">
        <v>739</v>
      </c>
      <c r="D907" s="2">
        <v>14</v>
      </c>
      <c r="E907" s="2" t="s">
        <v>81</v>
      </c>
      <c r="F907" s="294">
        <v>144241</v>
      </c>
      <c r="G907" s="247">
        <v>180000</v>
      </c>
      <c r="H907" s="295">
        <f t="shared" si="28"/>
        <v>35759</v>
      </c>
      <c r="I907" s="250">
        <f t="shared" si="29"/>
        <v>0.19866111111111112</v>
      </c>
    </row>
    <row r="908" spans="2:9" x14ac:dyDescent="0.3">
      <c r="B908" s="2">
        <v>3110</v>
      </c>
      <c r="C908" s="41" t="s">
        <v>1810</v>
      </c>
      <c r="D908" s="2">
        <v>2</v>
      </c>
      <c r="E908" s="2" t="s">
        <v>10</v>
      </c>
      <c r="F908" s="294">
        <v>80923.5</v>
      </c>
      <c r="G908" s="247">
        <v>109450</v>
      </c>
      <c r="H908" s="295">
        <f t="shared" si="28"/>
        <v>28526.5</v>
      </c>
      <c r="I908" s="250">
        <f t="shared" si="29"/>
        <v>0.26063499314755595</v>
      </c>
    </row>
    <row r="909" spans="2:9" x14ac:dyDescent="0.3">
      <c r="B909" s="2">
        <v>3111</v>
      </c>
      <c r="C909" s="41" t="s">
        <v>1811</v>
      </c>
      <c r="D909" s="2">
        <v>4</v>
      </c>
      <c r="E909" s="2" t="s">
        <v>16</v>
      </c>
      <c r="F909" s="294">
        <v>133900</v>
      </c>
      <c r="G909" s="247">
        <v>148000</v>
      </c>
      <c r="H909" s="295">
        <f t="shared" si="28"/>
        <v>14100</v>
      </c>
      <c r="I909" s="250">
        <f t="shared" si="29"/>
        <v>9.5270270270270269E-2</v>
      </c>
    </row>
    <row r="910" spans="2:9" x14ac:dyDescent="0.3">
      <c r="B910" s="2">
        <v>3113</v>
      </c>
      <c r="C910" s="41" t="s">
        <v>740</v>
      </c>
      <c r="D910" s="2">
        <v>14</v>
      </c>
      <c r="E910" s="2" t="s">
        <v>23</v>
      </c>
      <c r="F910" s="294">
        <v>35670</v>
      </c>
      <c r="G910" s="247">
        <v>39800</v>
      </c>
      <c r="H910" s="295">
        <f t="shared" si="28"/>
        <v>4130</v>
      </c>
      <c r="I910" s="250">
        <f t="shared" si="29"/>
        <v>0.10376884422110552</v>
      </c>
    </row>
    <row r="911" spans="2:9" x14ac:dyDescent="0.3">
      <c r="B911" s="2">
        <v>3115</v>
      </c>
      <c r="C911" s="41" t="s">
        <v>741</v>
      </c>
      <c r="D911" s="2">
        <v>5</v>
      </c>
      <c r="E911" s="2" t="s">
        <v>12</v>
      </c>
      <c r="F911" s="294">
        <v>61600</v>
      </c>
      <c r="G911" s="247">
        <v>72000</v>
      </c>
      <c r="H911" s="295">
        <f t="shared" si="28"/>
        <v>10400</v>
      </c>
      <c r="I911" s="250">
        <f t="shared" si="29"/>
        <v>0.14444444444444443</v>
      </c>
    </row>
    <row r="912" spans="2:9" x14ac:dyDescent="0.3">
      <c r="B912" s="2">
        <v>3118</v>
      </c>
      <c r="C912" s="41" t="s">
        <v>743</v>
      </c>
      <c r="D912" s="2">
        <v>9</v>
      </c>
      <c r="E912" s="2" t="s">
        <v>338</v>
      </c>
      <c r="F912" s="294">
        <v>641.65599999999995</v>
      </c>
      <c r="G912" s="247">
        <v>800</v>
      </c>
      <c r="H912" s="295">
        <f t="shared" si="28"/>
        <v>158.34400000000005</v>
      </c>
      <c r="I912" s="250">
        <f t="shared" si="29"/>
        <v>0.19793000000000005</v>
      </c>
    </row>
    <row r="913" spans="2:9" x14ac:dyDescent="0.3">
      <c r="B913" s="2">
        <v>3119</v>
      </c>
      <c r="C913" s="41" t="s">
        <v>744</v>
      </c>
      <c r="D913" s="2">
        <v>9</v>
      </c>
      <c r="E913" s="2" t="s">
        <v>338</v>
      </c>
      <c r="F913" s="294">
        <v>1336.4358999999999</v>
      </c>
      <c r="G913" s="247">
        <v>1600</v>
      </c>
      <c r="H913" s="295">
        <f t="shared" si="28"/>
        <v>263.56410000000005</v>
      </c>
      <c r="I913" s="250">
        <f t="shared" si="29"/>
        <v>0.16472756250000004</v>
      </c>
    </row>
    <row r="914" spans="2:9" x14ac:dyDescent="0.3">
      <c r="B914" s="2">
        <v>3120</v>
      </c>
      <c r="C914" s="41" t="s">
        <v>745</v>
      </c>
      <c r="D914" s="2">
        <v>9</v>
      </c>
      <c r="E914" s="2" t="s">
        <v>338</v>
      </c>
      <c r="F914" s="294">
        <v>2037.4609</v>
      </c>
      <c r="G914" s="247">
        <v>2400</v>
      </c>
      <c r="H914" s="295">
        <f t="shared" si="28"/>
        <v>362.53909999999996</v>
      </c>
      <c r="I914" s="250">
        <f t="shared" si="29"/>
        <v>0.15105795833333333</v>
      </c>
    </row>
    <row r="915" spans="2:9" x14ac:dyDescent="0.3">
      <c r="B915" s="2">
        <v>3121</v>
      </c>
      <c r="C915" s="41" t="s">
        <v>747</v>
      </c>
      <c r="D915" s="2">
        <v>9</v>
      </c>
      <c r="E915" s="2" t="s">
        <v>338</v>
      </c>
      <c r="F915" s="294">
        <v>932.27470000000005</v>
      </c>
      <c r="G915" s="247">
        <v>1200</v>
      </c>
      <c r="H915" s="295">
        <f t="shared" si="28"/>
        <v>267.72529999999995</v>
      </c>
      <c r="I915" s="250">
        <f t="shared" si="29"/>
        <v>0.22310441666666661</v>
      </c>
    </row>
    <row r="916" spans="2:9" x14ac:dyDescent="0.3">
      <c r="B916" s="2">
        <v>3123</v>
      </c>
      <c r="C916" s="41" t="s">
        <v>748</v>
      </c>
      <c r="D916" s="2">
        <v>14</v>
      </c>
      <c r="E916" s="2" t="s">
        <v>81</v>
      </c>
      <c r="F916" s="294">
        <v>3217</v>
      </c>
      <c r="G916" s="247">
        <v>6150</v>
      </c>
      <c r="H916" s="295">
        <f t="shared" si="28"/>
        <v>2933</v>
      </c>
      <c r="I916" s="250">
        <f t="shared" si="29"/>
        <v>0.47691056910569107</v>
      </c>
    </row>
    <row r="917" spans="2:9" x14ac:dyDescent="0.3">
      <c r="B917" s="2">
        <v>3125</v>
      </c>
      <c r="C917" s="41" t="s">
        <v>749</v>
      </c>
      <c r="D917" s="2">
        <v>5</v>
      </c>
      <c r="E917" s="2" t="s">
        <v>16</v>
      </c>
      <c r="F917" s="294">
        <v>19000</v>
      </c>
      <c r="G917" s="247">
        <v>26500</v>
      </c>
      <c r="H917" s="295">
        <f t="shared" si="28"/>
        <v>7500</v>
      </c>
      <c r="I917" s="250">
        <f t="shared" si="29"/>
        <v>0.28301886792452829</v>
      </c>
    </row>
    <row r="918" spans="2:9" x14ac:dyDescent="0.3">
      <c r="B918" s="2">
        <v>3126</v>
      </c>
      <c r="C918" s="41" t="s">
        <v>1812</v>
      </c>
      <c r="D918" s="2">
        <v>6</v>
      </c>
      <c r="E918" s="2" t="s">
        <v>23</v>
      </c>
      <c r="F918" s="294">
        <v>36000</v>
      </c>
      <c r="G918" s="247">
        <v>42000</v>
      </c>
      <c r="H918" s="295">
        <f t="shared" si="28"/>
        <v>6000</v>
      </c>
      <c r="I918" s="250">
        <f t="shared" si="29"/>
        <v>0.14285714285714285</v>
      </c>
    </row>
    <row r="919" spans="2:9" x14ac:dyDescent="0.3">
      <c r="B919" s="2">
        <v>3128</v>
      </c>
      <c r="C919" s="41" t="s">
        <v>750</v>
      </c>
      <c r="D919" s="2">
        <v>14</v>
      </c>
      <c r="E919" s="2" t="s">
        <v>81</v>
      </c>
      <c r="F919" s="294">
        <v>23369</v>
      </c>
      <c r="G919" s="247">
        <v>31866.666666666668</v>
      </c>
      <c r="H919" s="295">
        <f t="shared" si="28"/>
        <v>8497.6666666666679</v>
      </c>
      <c r="I919" s="250">
        <f t="shared" si="29"/>
        <v>0.26666317991631799</v>
      </c>
    </row>
    <row r="920" spans="2:9" x14ac:dyDescent="0.3">
      <c r="B920" s="2">
        <v>3130</v>
      </c>
      <c r="C920" s="41" t="s">
        <v>1813</v>
      </c>
      <c r="D920" s="2">
        <v>2</v>
      </c>
      <c r="E920" s="2" t="s">
        <v>5</v>
      </c>
      <c r="F920" s="294">
        <v>44534.678999999996</v>
      </c>
      <c r="G920" s="247">
        <v>49866.666666666664</v>
      </c>
      <c r="H920" s="295">
        <f t="shared" si="28"/>
        <v>5331.9876666666678</v>
      </c>
      <c r="I920" s="250">
        <f t="shared" si="29"/>
        <v>0.1069248863636364</v>
      </c>
    </row>
    <row r="921" spans="2:9" x14ac:dyDescent="0.3">
      <c r="B921" s="2">
        <v>3131</v>
      </c>
      <c r="C921" s="41" t="s">
        <v>751</v>
      </c>
      <c r="D921" s="2">
        <v>14</v>
      </c>
      <c r="E921" s="2" t="s">
        <v>23</v>
      </c>
      <c r="F921" s="294">
        <v>2913.0880000000002</v>
      </c>
      <c r="G921" s="247">
        <v>3800</v>
      </c>
      <c r="H921" s="295">
        <f t="shared" si="28"/>
        <v>886.91199999999981</v>
      </c>
      <c r="I921" s="250">
        <f t="shared" si="29"/>
        <v>0.23339789473684205</v>
      </c>
    </row>
    <row r="922" spans="2:9" x14ac:dyDescent="0.3">
      <c r="B922" s="2">
        <v>3133</v>
      </c>
      <c r="C922" s="41" t="s">
        <v>752</v>
      </c>
      <c r="D922" s="2">
        <v>14</v>
      </c>
      <c r="E922" s="2" t="s">
        <v>730</v>
      </c>
      <c r="F922" s="294">
        <v>3262</v>
      </c>
      <c r="G922" s="247">
        <v>3850</v>
      </c>
      <c r="H922" s="295">
        <f t="shared" si="28"/>
        <v>588</v>
      </c>
      <c r="I922" s="250">
        <f t="shared" si="29"/>
        <v>0.15272727272727274</v>
      </c>
    </row>
    <row r="923" spans="2:9" x14ac:dyDescent="0.3">
      <c r="B923" s="2">
        <v>3134</v>
      </c>
      <c r="C923" s="41" t="s">
        <v>753</v>
      </c>
      <c r="D923" s="2">
        <v>2</v>
      </c>
      <c r="E923" s="2" t="s">
        <v>237</v>
      </c>
      <c r="F923" s="294">
        <v>155121.75</v>
      </c>
      <c r="G923" s="247">
        <v>167283.33333333334</v>
      </c>
      <c r="H923" s="295">
        <f t="shared" si="28"/>
        <v>12161.583333333343</v>
      </c>
      <c r="I923" s="250">
        <f t="shared" si="29"/>
        <v>7.2700508119956223E-2</v>
      </c>
    </row>
    <row r="924" spans="2:9" x14ac:dyDescent="0.3">
      <c r="B924" s="2">
        <v>3135</v>
      </c>
      <c r="C924" s="41" t="s">
        <v>1814</v>
      </c>
      <c r="D924" s="2">
        <v>1</v>
      </c>
      <c r="E924" s="2" t="s">
        <v>237</v>
      </c>
      <c r="F924" s="294">
        <v>59750</v>
      </c>
      <c r="G924" s="247">
        <v>95000</v>
      </c>
      <c r="H924" s="295">
        <f t="shared" si="28"/>
        <v>35250</v>
      </c>
      <c r="I924" s="250">
        <f t="shared" si="29"/>
        <v>0.37105263157894736</v>
      </c>
    </row>
    <row r="925" spans="2:9" x14ac:dyDescent="0.3">
      <c r="B925" s="2">
        <v>3136</v>
      </c>
      <c r="C925" s="41" t="s">
        <v>754</v>
      </c>
      <c r="D925" s="2">
        <v>12</v>
      </c>
      <c r="E925" s="2" t="s">
        <v>12</v>
      </c>
      <c r="F925" s="294">
        <v>11999.96</v>
      </c>
      <c r="G925" s="247">
        <v>15000</v>
      </c>
      <c r="H925" s="295">
        <f t="shared" si="28"/>
        <v>3000.0400000000009</v>
      </c>
      <c r="I925" s="250">
        <f t="shared" si="29"/>
        <v>0.20000266666666672</v>
      </c>
    </row>
    <row r="926" spans="2:9" x14ac:dyDescent="0.3">
      <c r="B926" s="2">
        <v>3138</v>
      </c>
      <c r="C926" s="41" t="s">
        <v>755</v>
      </c>
      <c r="D926" s="2">
        <v>14</v>
      </c>
      <c r="E926" s="2" t="s">
        <v>23</v>
      </c>
      <c r="F926" s="294">
        <v>14847</v>
      </c>
      <c r="G926" s="247">
        <v>18600</v>
      </c>
      <c r="H926" s="295">
        <f t="shared" si="28"/>
        <v>3753</v>
      </c>
      <c r="I926" s="250">
        <f t="shared" si="29"/>
        <v>0.2017741935483871</v>
      </c>
    </row>
    <row r="927" spans="2:9" x14ac:dyDescent="0.3">
      <c r="B927" s="2">
        <v>3140</v>
      </c>
      <c r="C927" s="41" t="s">
        <v>756</v>
      </c>
      <c r="D927" s="2">
        <v>6</v>
      </c>
      <c r="E927" s="2" t="s">
        <v>176</v>
      </c>
      <c r="F927" s="294">
        <v>23600</v>
      </c>
      <c r="G927" s="247">
        <v>26300</v>
      </c>
      <c r="H927" s="295">
        <f t="shared" si="28"/>
        <v>2700</v>
      </c>
      <c r="I927" s="250">
        <f t="shared" si="29"/>
        <v>0.10266159695817491</v>
      </c>
    </row>
    <row r="928" spans="2:9" x14ac:dyDescent="0.3">
      <c r="B928" s="2">
        <v>3141</v>
      </c>
      <c r="C928" s="41" t="s">
        <v>1815</v>
      </c>
      <c r="D928" s="2">
        <v>6</v>
      </c>
      <c r="E928" s="2" t="s">
        <v>176</v>
      </c>
      <c r="F928" s="294">
        <v>12900</v>
      </c>
      <c r="G928" s="247">
        <v>15500</v>
      </c>
      <c r="H928" s="295">
        <f t="shared" si="28"/>
        <v>2600</v>
      </c>
      <c r="I928" s="250">
        <f t="shared" si="29"/>
        <v>0.16774193548387098</v>
      </c>
    </row>
    <row r="929" spans="2:9" x14ac:dyDescent="0.3">
      <c r="B929" s="2">
        <v>3143</v>
      </c>
      <c r="C929" s="41" t="s">
        <v>1816</v>
      </c>
      <c r="D929" s="2">
        <v>9</v>
      </c>
      <c r="E929" s="2" t="s">
        <v>12</v>
      </c>
      <c r="F929" s="294">
        <v>23638</v>
      </c>
      <c r="G929" s="247">
        <v>25500</v>
      </c>
      <c r="H929" s="295">
        <f t="shared" si="28"/>
        <v>1862</v>
      </c>
      <c r="I929" s="250">
        <f t="shared" si="29"/>
        <v>7.3019607843137255E-2</v>
      </c>
    </row>
    <row r="930" spans="2:9" x14ac:dyDescent="0.3">
      <c r="B930" s="2">
        <v>3144</v>
      </c>
      <c r="C930" s="41" t="s">
        <v>758</v>
      </c>
      <c r="D930" s="2">
        <v>14</v>
      </c>
      <c r="E930" s="2" t="s">
        <v>81</v>
      </c>
      <c r="F930" s="294">
        <v>5286</v>
      </c>
      <c r="G930" s="247">
        <v>7500</v>
      </c>
      <c r="H930" s="295">
        <f t="shared" si="28"/>
        <v>2214</v>
      </c>
      <c r="I930" s="250">
        <f t="shared" si="29"/>
        <v>0.29520000000000002</v>
      </c>
    </row>
    <row r="931" spans="2:9" x14ac:dyDescent="0.3">
      <c r="B931" s="2">
        <v>3145</v>
      </c>
      <c r="C931" s="41" t="s">
        <v>1817</v>
      </c>
      <c r="D931" s="2">
        <v>14</v>
      </c>
      <c r="E931" s="2" t="s">
        <v>81</v>
      </c>
      <c r="F931" s="294">
        <v>16623</v>
      </c>
      <c r="G931" s="247">
        <v>22500</v>
      </c>
      <c r="H931" s="295">
        <f t="shared" si="28"/>
        <v>5877</v>
      </c>
      <c r="I931" s="250">
        <f t="shared" si="29"/>
        <v>0.26119999999999999</v>
      </c>
    </row>
    <row r="932" spans="2:9" x14ac:dyDescent="0.3">
      <c r="B932" s="2">
        <v>3146</v>
      </c>
      <c r="C932" s="41" t="s">
        <v>759</v>
      </c>
      <c r="D932" s="2">
        <v>6</v>
      </c>
      <c r="E932" s="2" t="s">
        <v>81</v>
      </c>
      <c r="F932" s="294">
        <v>375639.03999999998</v>
      </c>
      <c r="G932" s="247">
        <v>412433.33333333331</v>
      </c>
      <c r="H932" s="295">
        <f t="shared" si="28"/>
        <v>36794.293333333335</v>
      </c>
      <c r="I932" s="250">
        <f t="shared" si="29"/>
        <v>8.9212705083649896E-2</v>
      </c>
    </row>
    <row r="933" spans="2:9" x14ac:dyDescent="0.3">
      <c r="B933" s="2">
        <v>3147</v>
      </c>
      <c r="C933" s="41" t="s">
        <v>760</v>
      </c>
      <c r="D933" s="2">
        <v>4</v>
      </c>
      <c r="E933" s="2" t="s">
        <v>16</v>
      </c>
      <c r="F933" s="294">
        <v>128187.8</v>
      </c>
      <c r="G933" s="247">
        <v>157000</v>
      </c>
      <c r="H933" s="295">
        <f t="shared" si="28"/>
        <v>28812.199999999997</v>
      </c>
      <c r="I933" s="250">
        <f t="shared" si="29"/>
        <v>0.18351719745222927</v>
      </c>
    </row>
    <row r="934" spans="2:9" x14ac:dyDescent="0.3">
      <c r="B934" s="2">
        <v>3152</v>
      </c>
      <c r="C934" s="41" t="s">
        <v>761</v>
      </c>
      <c r="D934" s="2">
        <v>2</v>
      </c>
      <c r="E934" s="2" t="s">
        <v>5</v>
      </c>
      <c r="F934" s="294">
        <v>5880.6799000000001</v>
      </c>
      <c r="G934" s="247">
        <v>6733.333333333333</v>
      </c>
      <c r="H934" s="295">
        <f t="shared" si="28"/>
        <v>852.65343333333294</v>
      </c>
      <c r="I934" s="250">
        <f t="shared" si="29"/>
        <v>0.12663169801980192</v>
      </c>
    </row>
    <row r="935" spans="2:9" x14ac:dyDescent="0.3">
      <c r="B935" s="2">
        <v>3153</v>
      </c>
      <c r="C935" s="41" t="s">
        <v>762</v>
      </c>
      <c r="D935" s="2">
        <v>2</v>
      </c>
      <c r="E935" s="2" t="s">
        <v>5</v>
      </c>
      <c r="F935" s="294">
        <v>11580.7755</v>
      </c>
      <c r="G935" s="247">
        <v>12800</v>
      </c>
      <c r="H935" s="295">
        <f t="shared" si="28"/>
        <v>1219.2245000000003</v>
      </c>
      <c r="I935" s="250">
        <f t="shared" si="29"/>
        <v>9.5251914062500026E-2</v>
      </c>
    </row>
    <row r="936" spans="2:9" x14ac:dyDescent="0.3">
      <c r="B936" s="2">
        <v>3156</v>
      </c>
      <c r="C936" s="41" t="s">
        <v>763</v>
      </c>
      <c r="D936" s="2">
        <v>14</v>
      </c>
      <c r="E936" s="2" t="s">
        <v>649</v>
      </c>
      <c r="F936" s="294">
        <v>266</v>
      </c>
      <c r="G936" s="247">
        <v>500</v>
      </c>
      <c r="H936" s="295">
        <f t="shared" si="28"/>
        <v>234</v>
      </c>
      <c r="I936" s="250">
        <f t="shared" si="29"/>
        <v>0.46800000000000003</v>
      </c>
    </row>
    <row r="937" spans="2:9" x14ac:dyDescent="0.3">
      <c r="B937" s="2">
        <v>3159</v>
      </c>
      <c r="C937" s="41" t="s">
        <v>1818</v>
      </c>
      <c r="D937" s="2">
        <v>14</v>
      </c>
      <c r="E937" s="2" t="s">
        <v>12</v>
      </c>
      <c r="F937" s="294">
        <v>3143</v>
      </c>
      <c r="G937" s="247">
        <v>4800</v>
      </c>
      <c r="H937" s="295">
        <f t="shared" si="28"/>
        <v>1657</v>
      </c>
      <c r="I937" s="250">
        <f t="shared" si="29"/>
        <v>0.34520833333333334</v>
      </c>
    </row>
    <row r="938" spans="2:9" x14ac:dyDescent="0.3">
      <c r="B938" s="2">
        <v>3160</v>
      </c>
      <c r="C938" s="41" t="s">
        <v>764</v>
      </c>
      <c r="D938" s="2">
        <v>14</v>
      </c>
      <c r="E938" s="2" t="s">
        <v>742</v>
      </c>
      <c r="F938" s="294">
        <v>222</v>
      </c>
      <c r="G938" s="247">
        <v>400</v>
      </c>
      <c r="H938" s="295">
        <f t="shared" si="28"/>
        <v>178</v>
      </c>
      <c r="I938" s="250">
        <f t="shared" si="29"/>
        <v>0.44500000000000001</v>
      </c>
    </row>
    <row r="939" spans="2:9" x14ac:dyDescent="0.3">
      <c r="B939" s="2">
        <v>3162</v>
      </c>
      <c r="C939" s="41" t="s">
        <v>766</v>
      </c>
      <c r="D939" s="2">
        <v>14</v>
      </c>
      <c r="E939" s="2" t="s">
        <v>12</v>
      </c>
      <c r="F939" s="294">
        <v>6500</v>
      </c>
      <c r="G939" s="247">
        <v>9500</v>
      </c>
      <c r="H939" s="295">
        <f t="shared" si="28"/>
        <v>3000</v>
      </c>
      <c r="I939" s="250">
        <f t="shared" si="29"/>
        <v>0.31578947368421051</v>
      </c>
    </row>
    <row r="940" spans="2:9" x14ac:dyDescent="0.3">
      <c r="B940" s="2">
        <v>3164</v>
      </c>
      <c r="C940" s="41" t="s">
        <v>767</v>
      </c>
      <c r="D940" s="2">
        <v>6</v>
      </c>
      <c r="E940" s="2" t="s">
        <v>16</v>
      </c>
      <c r="F940" s="294">
        <v>106422.8</v>
      </c>
      <c r="G940" s="247">
        <v>125900</v>
      </c>
      <c r="H940" s="295">
        <f t="shared" si="28"/>
        <v>19477.199999999997</v>
      </c>
      <c r="I940" s="250">
        <f t="shared" si="29"/>
        <v>0.15470373312152499</v>
      </c>
    </row>
    <row r="941" spans="2:9" x14ac:dyDescent="0.3">
      <c r="B941" s="2">
        <v>3165</v>
      </c>
      <c r="C941" s="41" t="s">
        <v>768</v>
      </c>
      <c r="D941" s="2">
        <v>14</v>
      </c>
      <c r="E941" s="2" t="s">
        <v>746</v>
      </c>
      <c r="F941" s="294">
        <v>18900</v>
      </c>
      <c r="G941" s="247">
        <v>22800</v>
      </c>
      <c r="H941" s="295">
        <f t="shared" si="28"/>
        <v>3900</v>
      </c>
      <c r="I941" s="250">
        <f t="shared" si="29"/>
        <v>0.17105263157894737</v>
      </c>
    </row>
    <row r="942" spans="2:9" x14ac:dyDescent="0.3">
      <c r="B942" s="2">
        <v>3168</v>
      </c>
      <c r="C942" s="41" t="s">
        <v>769</v>
      </c>
      <c r="D942" s="2">
        <v>5</v>
      </c>
      <c r="E942" s="2" t="s">
        <v>23</v>
      </c>
      <c r="F942" s="294">
        <v>4950</v>
      </c>
      <c r="G942" s="247">
        <v>7000</v>
      </c>
      <c r="H942" s="295">
        <f t="shared" si="28"/>
        <v>2050</v>
      </c>
      <c r="I942" s="250">
        <f t="shared" si="29"/>
        <v>0.29285714285714287</v>
      </c>
    </row>
    <row r="943" spans="2:9" x14ac:dyDescent="0.3">
      <c r="B943" s="2">
        <v>3169</v>
      </c>
      <c r="C943" s="41" t="s">
        <v>770</v>
      </c>
      <c r="D943" s="2">
        <v>14</v>
      </c>
      <c r="E943" s="2" t="s">
        <v>32</v>
      </c>
      <c r="F943" s="294">
        <v>25462</v>
      </c>
      <c r="G943" s="247">
        <v>32666.666666666668</v>
      </c>
      <c r="H943" s="295">
        <f t="shared" si="28"/>
        <v>7204.6666666666679</v>
      </c>
      <c r="I943" s="250">
        <f t="shared" si="29"/>
        <v>0.2205510204081633</v>
      </c>
    </row>
    <row r="944" spans="2:9" x14ac:dyDescent="0.3">
      <c r="B944" s="2">
        <v>3170</v>
      </c>
      <c r="C944" s="41" t="s">
        <v>771</v>
      </c>
      <c r="D944" s="2">
        <v>14</v>
      </c>
      <c r="E944" s="2" t="s">
        <v>176</v>
      </c>
      <c r="F944" s="294">
        <v>18200</v>
      </c>
      <c r="G944" s="247">
        <v>21600</v>
      </c>
      <c r="H944" s="295">
        <f t="shared" si="28"/>
        <v>3400</v>
      </c>
      <c r="I944" s="250">
        <f t="shared" si="29"/>
        <v>0.15740740740740741</v>
      </c>
    </row>
    <row r="945" spans="2:9" x14ac:dyDescent="0.3">
      <c r="B945" s="2">
        <v>3174</v>
      </c>
      <c r="C945" s="41" t="s">
        <v>772</v>
      </c>
      <c r="D945" s="2">
        <v>14</v>
      </c>
      <c r="E945" s="2" t="s">
        <v>81</v>
      </c>
      <c r="F945" s="294">
        <v>128513</v>
      </c>
      <c r="G945" s="247">
        <v>153333.33333333334</v>
      </c>
      <c r="H945" s="295">
        <f t="shared" si="28"/>
        <v>24820.333333333343</v>
      </c>
      <c r="I945" s="250">
        <f t="shared" si="29"/>
        <v>0.16187173913043484</v>
      </c>
    </row>
    <row r="946" spans="2:9" x14ac:dyDescent="0.3">
      <c r="B946" s="2">
        <v>3176</v>
      </c>
      <c r="C946" s="41" t="s">
        <v>1819</v>
      </c>
      <c r="D946" s="2">
        <v>1</v>
      </c>
      <c r="E946" s="2" t="s">
        <v>243</v>
      </c>
      <c r="F946" s="294">
        <v>130000</v>
      </c>
      <c r="G946" s="247">
        <v>140000</v>
      </c>
      <c r="H946" s="295">
        <f t="shared" si="28"/>
        <v>10000</v>
      </c>
      <c r="I946" s="250">
        <f t="shared" si="29"/>
        <v>7.1428571428571425E-2</v>
      </c>
    </row>
    <row r="947" spans="2:9" x14ac:dyDescent="0.3">
      <c r="B947" s="2">
        <v>3178</v>
      </c>
      <c r="C947" s="41" t="s">
        <v>773</v>
      </c>
      <c r="D947" s="2">
        <v>2</v>
      </c>
      <c r="E947" s="2" t="s">
        <v>5</v>
      </c>
      <c r="F947" s="294">
        <v>17200</v>
      </c>
      <c r="G947" s="247">
        <v>18516.666666666668</v>
      </c>
      <c r="H947" s="295">
        <f t="shared" si="28"/>
        <v>1316.6666666666679</v>
      </c>
      <c r="I947" s="250">
        <f t="shared" si="29"/>
        <v>7.1107110711071161E-2</v>
      </c>
    </row>
    <row r="948" spans="2:9" x14ac:dyDescent="0.3">
      <c r="B948" s="2">
        <v>3179</v>
      </c>
      <c r="C948" s="41" t="s">
        <v>774</v>
      </c>
      <c r="D948" s="2">
        <v>2</v>
      </c>
      <c r="E948" s="2" t="s">
        <v>5</v>
      </c>
      <c r="F948" s="294">
        <v>13700</v>
      </c>
      <c r="G948" s="247">
        <v>15000</v>
      </c>
      <c r="H948" s="295">
        <f t="shared" si="28"/>
        <v>1300</v>
      </c>
      <c r="I948" s="250">
        <f t="shared" si="29"/>
        <v>8.666666666666667E-2</v>
      </c>
    </row>
    <row r="949" spans="2:9" x14ac:dyDescent="0.3">
      <c r="B949" s="2">
        <v>3181</v>
      </c>
      <c r="C949" s="41" t="s">
        <v>775</v>
      </c>
      <c r="D949" s="2">
        <v>5</v>
      </c>
      <c r="E949" s="2" t="s">
        <v>16</v>
      </c>
      <c r="F949" s="294">
        <v>18629.032299999999</v>
      </c>
      <c r="G949" s="247">
        <v>22500</v>
      </c>
      <c r="H949" s="295">
        <f t="shared" si="28"/>
        <v>3870.9677000000011</v>
      </c>
      <c r="I949" s="250">
        <f t="shared" si="29"/>
        <v>0.17204300888888893</v>
      </c>
    </row>
    <row r="950" spans="2:9" x14ac:dyDescent="0.3">
      <c r="B950" s="2">
        <v>3182</v>
      </c>
      <c r="C950" s="41" t="s">
        <v>776</v>
      </c>
      <c r="D950" s="2">
        <v>5</v>
      </c>
      <c r="E950" s="2" t="s">
        <v>16</v>
      </c>
      <c r="F950" s="294">
        <v>35900</v>
      </c>
      <c r="G950" s="247">
        <v>42000</v>
      </c>
      <c r="H950" s="295">
        <f t="shared" si="28"/>
        <v>6100</v>
      </c>
      <c r="I950" s="250">
        <f t="shared" si="29"/>
        <v>0.14523809523809525</v>
      </c>
    </row>
    <row r="951" spans="2:9" x14ac:dyDescent="0.3">
      <c r="B951" s="2">
        <v>3183</v>
      </c>
      <c r="C951" s="41" t="s">
        <v>777</v>
      </c>
      <c r="D951" s="2">
        <v>8</v>
      </c>
      <c r="E951" s="2" t="s">
        <v>757</v>
      </c>
      <c r="F951" s="294">
        <v>499950</v>
      </c>
      <c r="G951" s="247">
        <v>559666.66666666663</v>
      </c>
      <c r="H951" s="295">
        <f t="shared" si="28"/>
        <v>59716.666666666628</v>
      </c>
      <c r="I951" s="250">
        <f t="shared" si="29"/>
        <v>0.10670041691483019</v>
      </c>
    </row>
    <row r="952" spans="2:9" x14ac:dyDescent="0.3">
      <c r="B952" s="2">
        <v>3184</v>
      </c>
      <c r="C952" s="41" t="s">
        <v>778</v>
      </c>
      <c r="D952" s="2">
        <v>14</v>
      </c>
      <c r="E952" s="2" t="s">
        <v>16</v>
      </c>
      <c r="F952" s="294">
        <v>26500</v>
      </c>
      <c r="G952" s="247">
        <v>33000</v>
      </c>
      <c r="H952" s="295">
        <f t="shared" si="28"/>
        <v>6500</v>
      </c>
      <c r="I952" s="250">
        <f t="shared" si="29"/>
        <v>0.19696969696969696</v>
      </c>
    </row>
    <row r="953" spans="2:9" x14ac:dyDescent="0.3">
      <c r="B953" s="2">
        <v>3185</v>
      </c>
      <c r="C953" s="41" t="s">
        <v>779</v>
      </c>
      <c r="D953" s="2">
        <v>14</v>
      </c>
      <c r="E953" s="2" t="s">
        <v>12</v>
      </c>
      <c r="F953" s="294">
        <v>3164.625</v>
      </c>
      <c r="G953" s="247">
        <v>3800</v>
      </c>
      <c r="H953" s="295">
        <f t="shared" si="28"/>
        <v>635.375</v>
      </c>
      <c r="I953" s="250">
        <f t="shared" si="29"/>
        <v>0.16720394736842106</v>
      </c>
    </row>
    <row r="954" spans="2:9" x14ac:dyDescent="0.3">
      <c r="B954" s="2">
        <v>3188</v>
      </c>
      <c r="C954" s="41" t="s">
        <v>780</v>
      </c>
      <c r="D954" s="2">
        <v>5</v>
      </c>
      <c r="E954" s="2" t="s">
        <v>5</v>
      </c>
      <c r="F954" s="294">
        <v>110000</v>
      </c>
      <c r="G954" s="247">
        <v>138333</v>
      </c>
      <c r="H954" s="295">
        <f t="shared" si="28"/>
        <v>28333</v>
      </c>
      <c r="I954" s="250">
        <f t="shared" si="29"/>
        <v>0.20481736100568917</v>
      </c>
    </row>
    <row r="955" spans="2:9" x14ac:dyDescent="0.3">
      <c r="B955" s="2">
        <v>3190</v>
      </c>
      <c r="C955" s="41" t="s">
        <v>781</v>
      </c>
      <c r="D955" s="2">
        <v>9</v>
      </c>
      <c r="E955" s="2" t="s">
        <v>338</v>
      </c>
      <c r="F955" s="294">
        <v>434.50470000000001</v>
      </c>
      <c r="G955" s="247">
        <v>700</v>
      </c>
      <c r="H955" s="295">
        <f t="shared" si="28"/>
        <v>265.49529999999999</v>
      </c>
      <c r="I955" s="250">
        <f t="shared" si="29"/>
        <v>0.37927899999999998</v>
      </c>
    </row>
    <row r="956" spans="2:9" x14ac:dyDescent="0.3">
      <c r="B956" s="2">
        <v>3191</v>
      </c>
      <c r="C956" s="41" t="s">
        <v>782</v>
      </c>
      <c r="D956" s="2">
        <v>9</v>
      </c>
      <c r="E956" s="2" t="s">
        <v>12</v>
      </c>
      <c r="F956" s="294">
        <v>162792</v>
      </c>
      <c r="G956" s="247">
        <v>186200</v>
      </c>
      <c r="H956" s="295">
        <f t="shared" si="28"/>
        <v>23408</v>
      </c>
      <c r="I956" s="250">
        <f t="shared" si="29"/>
        <v>0.12571428571428572</v>
      </c>
    </row>
    <row r="957" spans="2:9" x14ac:dyDescent="0.3">
      <c r="B957" s="2">
        <v>3192</v>
      </c>
      <c r="C957" s="41" t="s">
        <v>783</v>
      </c>
      <c r="D957" s="2">
        <v>9</v>
      </c>
      <c r="E957" s="2" t="s">
        <v>12</v>
      </c>
      <c r="F957" s="294">
        <v>162792</v>
      </c>
      <c r="G957" s="247">
        <v>186200</v>
      </c>
      <c r="H957" s="295">
        <f t="shared" si="28"/>
        <v>23408</v>
      </c>
      <c r="I957" s="250">
        <f t="shared" si="29"/>
        <v>0.12571428571428572</v>
      </c>
    </row>
    <row r="958" spans="2:9" x14ac:dyDescent="0.3">
      <c r="B958" s="2">
        <v>3193</v>
      </c>
      <c r="C958" s="41" t="s">
        <v>784</v>
      </c>
      <c r="D958" s="2">
        <v>9</v>
      </c>
      <c r="E958" s="2" t="s">
        <v>765</v>
      </c>
      <c r="F958" s="294">
        <v>162792</v>
      </c>
      <c r="G958" s="247">
        <v>186200</v>
      </c>
      <c r="H958" s="295">
        <f t="shared" si="28"/>
        <v>23408</v>
      </c>
      <c r="I958" s="250">
        <f t="shared" si="29"/>
        <v>0.12571428571428572</v>
      </c>
    </row>
    <row r="959" spans="2:9" x14ac:dyDescent="0.3">
      <c r="B959" s="2">
        <v>3194</v>
      </c>
      <c r="C959" s="41" t="s">
        <v>785</v>
      </c>
      <c r="D959" s="2">
        <v>9</v>
      </c>
      <c r="E959" s="2" t="s">
        <v>765</v>
      </c>
      <c r="F959" s="294">
        <v>162792</v>
      </c>
      <c r="G959" s="247">
        <v>186200</v>
      </c>
      <c r="H959" s="295">
        <f t="shared" si="28"/>
        <v>23408</v>
      </c>
      <c r="I959" s="250">
        <f t="shared" si="29"/>
        <v>0.12571428571428572</v>
      </c>
    </row>
    <row r="960" spans="2:9" x14ac:dyDescent="0.3">
      <c r="B960" s="2">
        <v>3196</v>
      </c>
      <c r="C960" s="41" t="s">
        <v>786</v>
      </c>
      <c r="D960" s="2">
        <v>14</v>
      </c>
      <c r="E960" s="2" t="s">
        <v>81</v>
      </c>
      <c r="F960" s="294">
        <v>40900</v>
      </c>
      <c r="G960" s="247">
        <v>48500</v>
      </c>
      <c r="H960" s="295">
        <f t="shared" si="28"/>
        <v>7600</v>
      </c>
      <c r="I960" s="250">
        <f t="shared" si="29"/>
        <v>0.15670103092783505</v>
      </c>
    </row>
    <row r="961" spans="2:9" x14ac:dyDescent="0.3">
      <c r="B961" s="2">
        <v>3198</v>
      </c>
      <c r="C961" s="41" t="s">
        <v>1820</v>
      </c>
      <c r="D961" s="2">
        <v>14</v>
      </c>
      <c r="E961" s="2" t="s">
        <v>81</v>
      </c>
      <c r="F961" s="294">
        <v>47600</v>
      </c>
      <c r="G961" s="247">
        <v>53500</v>
      </c>
      <c r="H961" s="295">
        <f t="shared" si="28"/>
        <v>5900</v>
      </c>
      <c r="I961" s="250">
        <f t="shared" si="29"/>
        <v>0.1102803738317757</v>
      </c>
    </row>
    <row r="962" spans="2:9" x14ac:dyDescent="0.3">
      <c r="B962" s="2">
        <v>3200</v>
      </c>
      <c r="C962" s="41" t="s">
        <v>787</v>
      </c>
      <c r="D962" s="2">
        <v>9</v>
      </c>
      <c r="E962" s="2" t="s">
        <v>227</v>
      </c>
      <c r="F962" s="294">
        <v>162792</v>
      </c>
      <c r="G962" s="247">
        <v>186200</v>
      </c>
      <c r="H962" s="295">
        <f t="shared" si="28"/>
        <v>23408</v>
      </c>
      <c r="I962" s="250">
        <f t="shared" si="29"/>
        <v>0.12571428571428572</v>
      </c>
    </row>
    <row r="963" spans="2:9" x14ac:dyDescent="0.3">
      <c r="B963" s="2">
        <v>3201</v>
      </c>
      <c r="C963" s="41" t="s">
        <v>788</v>
      </c>
      <c r="D963" s="2">
        <v>9</v>
      </c>
      <c r="E963" s="2" t="s">
        <v>227</v>
      </c>
      <c r="F963" s="294">
        <v>162792</v>
      </c>
      <c r="G963" s="247">
        <v>186200</v>
      </c>
      <c r="H963" s="295">
        <f t="shared" si="28"/>
        <v>23408</v>
      </c>
      <c r="I963" s="250">
        <f t="shared" si="29"/>
        <v>0.12571428571428572</v>
      </c>
    </row>
    <row r="964" spans="2:9" x14ac:dyDescent="0.3">
      <c r="B964" s="2">
        <v>3202</v>
      </c>
      <c r="C964" s="41" t="s">
        <v>789</v>
      </c>
      <c r="D964" s="2">
        <v>2</v>
      </c>
      <c r="E964" s="2" t="s">
        <v>35</v>
      </c>
      <c r="F964" s="294">
        <v>3098.9007000000001</v>
      </c>
      <c r="G964" s="247">
        <v>3683.3333333333335</v>
      </c>
      <c r="H964" s="295">
        <f t="shared" si="28"/>
        <v>584.43263333333334</v>
      </c>
      <c r="I964" s="250">
        <f t="shared" si="29"/>
        <v>0.15866949321266968</v>
      </c>
    </row>
    <row r="965" spans="2:9" x14ac:dyDescent="0.3">
      <c r="B965" s="2">
        <v>3203</v>
      </c>
      <c r="C965" s="41" t="s">
        <v>790</v>
      </c>
      <c r="D965" s="2">
        <v>2</v>
      </c>
      <c r="E965" s="2" t="s">
        <v>5</v>
      </c>
      <c r="F965" s="294">
        <v>47578.754999999997</v>
      </c>
      <c r="G965" s="247">
        <v>50933.333333333336</v>
      </c>
      <c r="H965" s="295">
        <f t="shared" si="28"/>
        <v>3354.5783333333384</v>
      </c>
      <c r="I965" s="250">
        <f t="shared" si="29"/>
        <v>6.5862140052356119E-2</v>
      </c>
    </row>
    <row r="966" spans="2:9" x14ac:dyDescent="0.3">
      <c r="B966" s="2">
        <v>3204</v>
      </c>
      <c r="C966" s="41" t="s">
        <v>791</v>
      </c>
      <c r="D966" s="2">
        <v>5</v>
      </c>
      <c r="E966" s="2" t="s">
        <v>12</v>
      </c>
      <c r="F966" s="294">
        <v>65600</v>
      </c>
      <c r="G966" s="247">
        <v>72000</v>
      </c>
      <c r="H966" s="295">
        <f t="shared" ref="H966:H1029" si="30">G966-F966</f>
        <v>6400</v>
      </c>
      <c r="I966" s="250">
        <f t="shared" ref="I966:I1029" si="31">H966/G966</f>
        <v>8.8888888888888892E-2</v>
      </c>
    </row>
    <row r="967" spans="2:9" x14ac:dyDescent="0.3">
      <c r="B967" s="2">
        <v>3205</v>
      </c>
      <c r="C967" s="41" t="s">
        <v>792</v>
      </c>
      <c r="D967" s="2">
        <v>12</v>
      </c>
      <c r="E967" s="2" t="s">
        <v>12</v>
      </c>
      <c r="F967" s="294">
        <v>1400</v>
      </c>
      <c r="G967" s="247">
        <v>2250</v>
      </c>
      <c r="H967" s="295">
        <f t="shared" si="30"/>
        <v>850</v>
      </c>
      <c r="I967" s="250">
        <f t="shared" si="31"/>
        <v>0.37777777777777777</v>
      </c>
    </row>
    <row r="968" spans="2:9" x14ac:dyDescent="0.3">
      <c r="B968" s="2">
        <v>3206</v>
      </c>
      <c r="C968" s="41" t="s">
        <v>793</v>
      </c>
      <c r="D968" s="2">
        <v>12</v>
      </c>
      <c r="E968" s="2" t="s">
        <v>12</v>
      </c>
      <c r="F968" s="294">
        <v>1300</v>
      </c>
      <c r="G968" s="247">
        <v>1800</v>
      </c>
      <c r="H968" s="295">
        <f t="shared" si="30"/>
        <v>500</v>
      </c>
      <c r="I968" s="250">
        <f t="shared" si="31"/>
        <v>0.27777777777777779</v>
      </c>
    </row>
    <row r="969" spans="2:9" x14ac:dyDescent="0.3">
      <c r="B969" s="2">
        <v>3207</v>
      </c>
      <c r="C969" s="41" t="s">
        <v>794</v>
      </c>
      <c r="D969" s="2">
        <v>12</v>
      </c>
      <c r="E969" s="2" t="s">
        <v>12</v>
      </c>
      <c r="F969" s="294">
        <v>10900</v>
      </c>
      <c r="G969" s="247">
        <v>13000</v>
      </c>
      <c r="H969" s="295">
        <f t="shared" si="30"/>
        <v>2100</v>
      </c>
      <c r="I969" s="250">
        <f t="shared" si="31"/>
        <v>0.16153846153846155</v>
      </c>
    </row>
    <row r="970" spans="2:9" x14ac:dyDescent="0.3">
      <c r="B970" s="2">
        <v>3208</v>
      </c>
      <c r="C970" s="41" t="s">
        <v>796</v>
      </c>
      <c r="D970" s="2">
        <v>12</v>
      </c>
      <c r="E970" s="2" t="s">
        <v>12</v>
      </c>
      <c r="F970" s="294">
        <v>14545.37</v>
      </c>
      <c r="G970" s="247">
        <v>18866.666666666668</v>
      </c>
      <c r="H970" s="295">
        <f t="shared" si="30"/>
        <v>4321.2966666666671</v>
      </c>
      <c r="I970" s="250">
        <f t="shared" si="31"/>
        <v>0.22904399293286221</v>
      </c>
    </row>
    <row r="971" spans="2:9" x14ac:dyDescent="0.3">
      <c r="B971" s="2">
        <v>3209</v>
      </c>
      <c r="C971" s="41" t="s">
        <v>797</v>
      </c>
      <c r="D971" s="2">
        <v>12</v>
      </c>
      <c r="E971" s="2" t="s">
        <v>12</v>
      </c>
      <c r="F971" s="294">
        <v>23000</v>
      </c>
      <c r="G971" s="247">
        <v>28500</v>
      </c>
      <c r="H971" s="295">
        <f t="shared" si="30"/>
        <v>5500</v>
      </c>
      <c r="I971" s="250">
        <f t="shared" si="31"/>
        <v>0.19298245614035087</v>
      </c>
    </row>
    <row r="972" spans="2:9" x14ac:dyDescent="0.3">
      <c r="B972" s="2">
        <v>3210</v>
      </c>
      <c r="C972" s="41" t="s">
        <v>798</v>
      </c>
      <c r="D972" s="2">
        <v>12</v>
      </c>
      <c r="E972" s="2" t="s">
        <v>12</v>
      </c>
      <c r="F972" s="294">
        <v>10400</v>
      </c>
      <c r="G972" s="247">
        <v>11700</v>
      </c>
      <c r="H972" s="295">
        <f t="shared" si="30"/>
        <v>1300</v>
      </c>
      <c r="I972" s="250">
        <f t="shared" si="31"/>
        <v>0.1111111111111111</v>
      </c>
    </row>
    <row r="973" spans="2:9" x14ac:dyDescent="0.3">
      <c r="B973" s="2">
        <v>3211</v>
      </c>
      <c r="C973" s="41" t="s">
        <v>799</v>
      </c>
      <c r="D973" s="2">
        <v>12</v>
      </c>
      <c r="E973" s="2" t="s">
        <v>12</v>
      </c>
      <c r="F973" s="294">
        <v>4130.49</v>
      </c>
      <c r="G973" s="247">
        <v>6500</v>
      </c>
      <c r="H973" s="295">
        <f t="shared" si="30"/>
        <v>2369.5100000000002</v>
      </c>
      <c r="I973" s="250">
        <f t="shared" si="31"/>
        <v>0.36454000000000003</v>
      </c>
    </row>
    <row r="974" spans="2:9" x14ac:dyDescent="0.3">
      <c r="B974" s="2">
        <v>3212</v>
      </c>
      <c r="C974" s="41" t="s">
        <v>800</v>
      </c>
      <c r="D974" s="2">
        <v>12</v>
      </c>
      <c r="E974" s="2" t="s">
        <v>12</v>
      </c>
      <c r="F974" s="294">
        <v>4300</v>
      </c>
      <c r="G974" s="247">
        <v>5000</v>
      </c>
      <c r="H974" s="295">
        <f t="shared" si="30"/>
        <v>700</v>
      </c>
      <c r="I974" s="250">
        <f t="shared" si="31"/>
        <v>0.14000000000000001</v>
      </c>
    </row>
    <row r="975" spans="2:9" x14ac:dyDescent="0.3">
      <c r="B975" s="2">
        <v>3213</v>
      </c>
      <c r="C975" s="41" t="s">
        <v>801</v>
      </c>
      <c r="D975" s="2">
        <v>12</v>
      </c>
      <c r="E975" s="2" t="s">
        <v>12</v>
      </c>
      <c r="F975" s="294">
        <v>3500</v>
      </c>
      <c r="G975" s="247">
        <v>4200</v>
      </c>
      <c r="H975" s="295">
        <f t="shared" si="30"/>
        <v>700</v>
      </c>
      <c r="I975" s="250">
        <f t="shared" si="31"/>
        <v>0.16666666666666666</v>
      </c>
    </row>
    <row r="976" spans="2:9" x14ac:dyDescent="0.3">
      <c r="B976" s="2">
        <v>3215</v>
      </c>
      <c r="C976" s="41" t="s">
        <v>802</v>
      </c>
      <c r="D976" s="2">
        <v>12</v>
      </c>
      <c r="E976" s="2" t="s">
        <v>12</v>
      </c>
      <c r="F976" s="294">
        <v>21420</v>
      </c>
      <c r="G976" s="247">
        <v>25000</v>
      </c>
      <c r="H976" s="295">
        <f t="shared" si="30"/>
        <v>3580</v>
      </c>
      <c r="I976" s="250">
        <f t="shared" si="31"/>
        <v>0.14319999999999999</v>
      </c>
    </row>
    <row r="977" spans="2:9" x14ac:dyDescent="0.3">
      <c r="B977" s="2">
        <v>3218</v>
      </c>
      <c r="C977" s="41" t="s">
        <v>1821</v>
      </c>
      <c r="D977" s="2">
        <v>1</v>
      </c>
      <c r="E977" s="2" t="s">
        <v>12</v>
      </c>
      <c r="F977" s="294">
        <v>6857</v>
      </c>
      <c r="G977" s="247">
        <v>10833.333333333334</v>
      </c>
      <c r="H977" s="295">
        <f t="shared" si="30"/>
        <v>3976.3333333333339</v>
      </c>
      <c r="I977" s="250">
        <f t="shared" si="31"/>
        <v>0.36704615384615386</v>
      </c>
    </row>
    <row r="978" spans="2:9" x14ac:dyDescent="0.3">
      <c r="B978" s="2">
        <v>3219</v>
      </c>
      <c r="C978" s="41" t="s">
        <v>803</v>
      </c>
      <c r="D978" s="2">
        <v>14</v>
      </c>
      <c r="E978" s="2" t="s">
        <v>16</v>
      </c>
      <c r="F978" s="294">
        <v>70401.45</v>
      </c>
      <c r="G978" s="247">
        <v>83500</v>
      </c>
      <c r="H978" s="295">
        <f t="shared" si="30"/>
        <v>13098.550000000003</v>
      </c>
      <c r="I978" s="250">
        <f t="shared" si="31"/>
        <v>0.15686886227544913</v>
      </c>
    </row>
    <row r="979" spans="2:9" x14ac:dyDescent="0.3">
      <c r="B979" s="2">
        <v>3223</v>
      </c>
      <c r="C979" s="41" t="s">
        <v>1822</v>
      </c>
      <c r="D979" s="2">
        <v>14</v>
      </c>
      <c r="E979" s="2" t="s">
        <v>81</v>
      </c>
      <c r="F979" s="294">
        <v>19488</v>
      </c>
      <c r="G979" s="247">
        <v>24800</v>
      </c>
      <c r="H979" s="295">
        <f t="shared" si="30"/>
        <v>5312</v>
      </c>
      <c r="I979" s="250">
        <f t="shared" si="31"/>
        <v>0.21419354838709678</v>
      </c>
    </row>
    <row r="980" spans="2:9" x14ac:dyDescent="0.3">
      <c r="B980" s="2">
        <v>3227</v>
      </c>
      <c r="C980" s="41" t="s">
        <v>1823</v>
      </c>
      <c r="D980" s="2">
        <v>14</v>
      </c>
      <c r="E980" s="2" t="s">
        <v>81</v>
      </c>
      <c r="F980" s="294">
        <v>3877</v>
      </c>
      <c r="G980" s="247">
        <v>6200</v>
      </c>
      <c r="H980" s="295">
        <f t="shared" si="30"/>
        <v>2323</v>
      </c>
      <c r="I980" s="250">
        <f t="shared" si="31"/>
        <v>0.37467741935483873</v>
      </c>
    </row>
    <row r="981" spans="2:9" x14ac:dyDescent="0.3">
      <c r="B981" s="2">
        <v>3228</v>
      </c>
      <c r="C981" s="41" t="s">
        <v>804</v>
      </c>
      <c r="D981" s="2">
        <v>14</v>
      </c>
      <c r="E981" s="2" t="s">
        <v>81</v>
      </c>
      <c r="F981" s="294">
        <v>5997</v>
      </c>
      <c r="G981" s="247">
        <v>8500</v>
      </c>
      <c r="H981" s="295">
        <f t="shared" si="30"/>
        <v>2503</v>
      </c>
      <c r="I981" s="250">
        <f t="shared" si="31"/>
        <v>0.2944705882352941</v>
      </c>
    </row>
    <row r="982" spans="2:9" x14ac:dyDescent="0.3">
      <c r="B982" s="2">
        <v>3229</v>
      </c>
      <c r="C982" s="41" t="s">
        <v>805</v>
      </c>
      <c r="D982" s="2">
        <v>14</v>
      </c>
      <c r="E982" s="2" t="s">
        <v>81</v>
      </c>
      <c r="F982" s="294">
        <v>2812</v>
      </c>
      <c r="G982" s="247">
        <v>4800</v>
      </c>
      <c r="H982" s="295">
        <f t="shared" si="30"/>
        <v>1988</v>
      </c>
      <c r="I982" s="250">
        <f t="shared" si="31"/>
        <v>0.41416666666666668</v>
      </c>
    </row>
    <row r="983" spans="2:9" x14ac:dyDescent="0.3">
      <c r="B983" s="2">
        <v>3230</v>
      </c>
      <c r="C983" s="41" t="s">
        <v>806</v>
      </c>
      <c r="D983" s="2">
        <v>14</v>
      </c>
      <c r="E983" s="2" t="s">
        <v>81</v>
      </c>
      <c r="F983" s="294">
        <v>14415</v>
      </c>
      <c r="G983" s="247">
        <v>16583.333333333332</v>
      </c>
      <c r="H983" s="295">
        <f t="shared" si="30"/>
        <v>2168.3333333333321</v>
      </c>
      <c r="I983" s="250">
        <f t="shared" si="31"/>
        <v>0.13075376884422105</v>
      </c>
    </row>
    <row r="984" spans="2:9" x14ac:dyDescent="0.3">
      <c r="B984" s="2">
        <v>3231</v>
      </c>
      <c r="C984" s="41" t="s">
        <v>807</v>
      </c>
      <c r="D984" s="2">
        <v>14</v>
      </c>
      <c r="E984" s="2" t="s">
        <v>81</v>
      </c>
      <c r="F984" s="294">
        <v>5610</v>
      </c>
      <c r="G984" s="247">
        <v>7300</v>
      </c>
      <c r="H984" s="295">
        <f t="shared" si="30"/>
        <v>1690</v>
      </c>
      <c r="I984" s="250">
        <f t="shared" si="31"/>
        <v>0.23150684931506849</v>
      </c>
    </row>
    <row r="985" spans="2:9" x14ac:dyDescent="0.3">
      <c r="B985" s="2">
        <v>3232</v>
      </c>
      <c r="C985" s="41" t="s">
        <v>808</v>
      </c>
      <c r="D985" s="2">
        <v>14</v>
      </c>
      <c r="E985" s="2" t="s">
        <v>81</v>
      </c>
      <c r="F985" s="294">
        <v>37676</v>
      </c>
      <c r="G985" s="247">
        <v>42500</v>
      </c>
      <c r="H985" s="295">
        <f t="shared" si="30"/>
        <v>4824</v>
      </c>
      <c r="I985" s="250">
        <f t="shared" si="31"/>
        <v>0.11350588235294118</v>
      </c>
    </row>
    <row r="986" spans="2:9" x14ac:dyDescent="0.3">
      <c r="B986" s="2">
        <v>3233</v>
      </c>
      <c r="C986" s="41" t="s">
        <v>809</v>
      </c>
      <c r="D986" s="2">
        <v>14</v>
      </c>
      <c r="E986" s="2" t="s">
        <v>81</v>
      </c>
      <c r="F986" s="294">
        <v>31941</v>
      </c>
      <c r="G986" s="247">
        <v>37500</v>
      </c>
      <c r="H986" s="295">
        <f t="shared" si="30"/>
        <v>5559</v>
      </c>
      <c r="I986" s="250">
        <f t="shared" si="31"/>
        <v>0.14824000000000001</v>
      </c>
    </row>
    <row r="987" spans="2:9" x14ac:dyDescent="0.3">
      <c r="B987" s="2">
        <v>3234</v>
      </c>
      <c r="C987" s="41" t="s">
        <v>810</v>
      </c>
      <c r="D987" s="2">
        <v>14</v>
      </c>
      <c r="E987" s="2" t="s">
        <v>81</v>
      </c>
      <c r="F987" s="294">
        <v>8907</v>
      </c>
      <c r="G987" s="247">
        <v>12500</v>
      </c>
      <c r="H987" s="295">
        <f t="shared" si="30"/>
        <v>3593</v>
      </c>
      <c r="I987" s="250">
        <f t="shared" si="31"/>
        <v>0.28743999999999997</v>
      </c>
    </row>
    <row r="988" spans="2:9" x14ac:dyDescent="0.3">
      <c r="B988" s="2">
        <v>3237</v>
      </c>
      <c r="C988" s="41" t="s">
        <v>811</v>
      </c>
      <c r="D988" s="2">
        <v>14</v>
      </c>
      <c r="E988" s="2" t="s">
        <v>81</v>
      </c>
      <c r="F988" s="294">
        <v>11810</v>
      </c>
      <c r="G988" s="247">
        <v>15050</v>
      </c>
      <c r="H988" s="295">
        <f t="shared" si="30"/>
        <v>3240</v>
      </c>
      <c r="I988" s="250">
        <f t="shared" si="31"/>
        <v>0.21528239202657806</v>
      </c>
    </row>
    <row r="989" spans="2:9" x14ac:dyDescent="0.3">
      <c r="B989" s="2">
        <v>3238</v>
      </c>
      <c r="C989" s="41" t="s">
        <v>812</v>
      </c>
      <c r="D989" s="2">
        <v>14</v>
      </c>
      <c r="E989" s="2" t="s">
        <v>81</v>
      </c>
      <c r="F989" s="294">
        <v>18379</v>
      </c>
      <c r="G989" s="247">
        <v>23500</v>
      </c>
      <c r="H989" s="295">
        <f t="shared" si="30"/>
        <v>5121</v>
      </c>
      <c r="I989" s="250">
        <f t="shared" si="31"/>
        <v>0.21791489361702127</v>
      </c>
    </row>
    <row r="990" spans="2:9" x14ac:dyDescent="0.3">
      <c r="B990" s="2">
        <v>3242</v>
      </c>
      <c r="C990" s="41" t="s">
        <v>813</v>
      </c>
      <c r="D990" s="2">
        <v>2</v>
      </c>
      <c r="E990" s="2" t="s">
        <v>5</v>
      </c>
      <c r="F990" s="294">
        <v>135600</v>
      </c>
      <c r="G990" s="247">
        <v>148900</v>
      </c>
      <c r="H990" s="295">
        <f t="shared" si="30"/>
        <v>13300</v>
      </c>
      <c r="I990" s="250">
        <f t="shared" si="31"/>
        <v>8.9321692411014106E-2</v>
      </c>
    </row>
    <row r="991" spans="2:9" x14ac:dyDescent="0.3">
      <c r="B991" s="2">
        <v>3245</v>
      </c>
      <c r="C991" s="41" t="s">
        <v>814</v>
      </c>
      <c r="D991" s="2">
        <v>14</v>
      </c>
      <c r="E991" s="2" t="s">
        <v>12</v>
      </c>
      <c r="F991" s="294">
        <v>9900</v>
      </c>
      <c r="G991" s="247">
        <v>12800</v>
      </c>
      <c r="H991" s="295">
        <f t="shared" si="30"/>
        <v>2900</v>
      </c>
      <c r="I991" s="250">
        <f t="shared" si="31"/>
        <v>0.2265625</v>
      </c>
    </row>
    <row r="992" spans="2:9" x14ac:dyDescent="0.3">
      <c r="B992" s="2">
        <v>3246</v>
      </c>
      <c r="C992" s="41" t="s">
        <v>815</v>
      </c>
      <c r="D992" s="2">
        <v>2</v>
      </c>
      <c r="E992" s="2" t="s">
        <v>10</v>
      </c>
      <c r="F992" s="294">
        <v>75600</v>
      </c>
      <c r="G992" s="247">
        <v>88141.666666666672</v>
      </c>
      <c r="H992" s="295">
        <f t="shared" si="30"/>
        <v>12541.666666666672</v>
      </c>
      <c r="I992" s="250">
        <f t="shared" si="31"/>
        <v>0.14228987425546</v>
      </c>
    </row>
    <row r="993" spans="2:9" x14ac:dyDescent="0.3">
      <c r="B993" s="2">
        <v>3247</v>
      </c>
      <c r="C993" s="41" t="s">
        <v>816</v>
      </c>
      <c r="D993" s="2">
        <v>6</v>
      </c>
      <c r="E993" s="2" t="s">
        <v>23</v>
      </c>
      <c r="F993" s="294">
        <v>22700</v>
      </c>
      <c r="G993" s="247">
        <v>26000</v>
      </c>
      <c r="H993" s="295">
        <f t="shared" si="30"/>
        <v>3300</v>
      </c>
      <c r="I993" s="250">
        <f t="shared" si="31"/>
        <v>0.12692307692307692</v>
      </c>
    </row>
    <row r="994" spans="2:9" x14ac:dyDescent="0.3">
      <c r="B994" s="2">
        <v>3251</v>
      </c>
      <c r="C994" s="41" t="s">
        <v>817</v>
      </c>
      <c r="D994" s="2">
        <v>16</v>
      </c>
      <c r="E994" s="2" t="s">
        <v>795</v>
      </c>
      <c r="F994" s="294">
        <v>182.07</v>
      </c>
      <c r="G994" s="247">
        <v>300</v>
      </c>
      <c r="H994" s="295">
        <f t="shared" si="30"/>
        <v>117.93</v>
      </c>
      <c r="I994" s="250">
        <f t="shared" si="31"/>
        <v>0.3931</v>
      </c>
    </row>
    <row r="995" spans="2:9" x14ac:dyDescent="0.3">
      <c r="B995" s="2">
        <v>3252</v>
      </c>
      <c r="C995" s="41" t="s">
        <v>818</v>
      </c>
      <c r="D995" s="2">
        <v>16</v>
      </c>
      <c r="E995" s="2" t="s">
        <v>12</v>
      </c>
      <c r="F995" s="294">
        <v>291.66669999999999</v>
      </c>
      <c r="G995" s="247">
        <v>500</v>
      </c>
      <c r="H995" s="295">
        <f t="shared" si="30"/>
        <v>208.33330000000001</v>
      </c>
      <c r="I995" s="250">
        <f t="shared" si="31"/>
        <v>0.4166666</v>
      </c>
    </row>
    <row r="996" spans="2:9" x14ac:dyDescent="0.3">
      <c r="B996" s="2">
        <v>3253</v>
      </c>
      <c r="C996" s="41" t="s">
        <v>819</v>
      </c>
      <c r="D996" s="2">
        <v>16</v>
      </c>
      <c r="E996" s="2" t="s">
        <v>12</v>
      </c>
      <c r="F996" s="294">
        <v>182.07</v>
      </c>
      <c r="G996" s="247">
        <v>300</v>
      </c>
      <c r="H996" s="295">
        <f t="shared" si="30"/>
        <v>117.93</v>
      </c>
      <c r="I996" s="250">
        <f t="shared" si="31"/>
        <v>0.3931</v>
      </c>
    </row>
    <row r="997" spans="2:9" x14ac:dyDescent="0.3">
      <c r="B997" s="2">
        <v>3254</v>
      </c>
      <c r="C997" s="41" t="s">
        <v>820</v>
      </c>
      <c r="D997" s="2">
        <v>16</v>
      </c>
      <c r="E997" s="2" t="s">
        <v>12</v>
      </c>
      <c r="F997" s="294">
        <v>1606.5</v>
      </c>
      <c r="G997" s="247">
        <v>2000</v>
      </c>
      <c r="H997" s="295">
        <f t="shared" si="30"/>
        <v>393.5</v>
      </c>
      <c r="I997" s="250">
        <f t="shared" si="31"/>
        <v>0.19675000000000001</v>
      </c>
    </row>
    <row r="998" spans="2:9" x14ac:dyDescent="0.3">
      <c r="B998" s="2">
        <v>3255</v>
      </c>
      <c r="C998" s="41" t="s">
        <v>821</v>
      </c>
      <c r="D998" s="2">
        <v>16</v>
      </c>
      <c r="E998" s="2" t="s">
        <v>12</v>
      </c>
      <c r="F998" s="294">
        <v>8211</v>
      </c>
      <c r="G998" s="247">
        <v>10800</v>
      </c>
      <c r="H998" s="295">
        <f t="shared" si="30"/>
        <v>2589</v>
      </c>
      <c r="I998" s="250">
        <f t="shared" si="31"/>
        <v>0.23972222222222223</v>
      </c>
    </row>
    <row r="999" spans="2:9" x14ac:dyDescent="0.3">
      <c r="B999" s="2">
        <v>3257</v>
      </c>
      <c r="C999" s="41" t="s">
        <v>822</v>
      </c>
      <c r="D999" s="2">
        <v>16</v>
      </c>
      <c r="E999" s="2" t="s">
        <v>12</v>
      </c>
      <c r="F999" s="294">
        <v>4641</v>
      </c>
      <c r="G999" s="247">
        <v>5800</v>
      </c>
      <c r="H999" s="295">
        <f t="shared" si="30"/>
        <v>1159</v>
      </c>
      <c r="I999" s="250">
        <f t="shared" si="31"/>
        <v>0.19982758620689656</v>
      </c>
    </row>
    <row r="1000" spans="2:9" x14ac:dyDescent="0.3">
      <c r="B1000" s="2">
        <v>3258</v>
      </c>
      <c r="C1000" s="41" t="s">
        <v>823</v>
      </c>
      <c r="D1000" s="2">
        <v>5</v>
      </c>
      <c r="E1000" s="2" t="s">
        <v>41</v>
      </c>
      <c r="F1000" s="294">
        <v>205000</v>
      </c>
      <c r="G1000" s="247">
        <v>262166.66666666669</v>
      </c>
      <c r="H1000" s="295">
        <f t="shared" si="30"/>
        <v>57166.666666666686</v>
      </c>
      <c r="I1000" s="250">
        <f t="shared" si="31"/>
        <v>0.2180546726001272</v>
      </c>
    </row>
    <row r="1001" spans="2:9" x14ac:dyDescent="0.3">
      <c r="B1001" s="2">
        <v>3259</v>
      </c>
      <c r="C1001" s="41" t="s">
        <v>824</v>
      </c>
      <c r="D1001" s="2">
        <v>5</v>
      </c>
      <c r="E1001" s="2" t="s">
        <v>419</v>
      </c>
      <c r="F1001" s="294">
        <v>64350</v>
      </c>
      <c r="G1001" s="247">
        <v>83500</v>
      </c>
      <c r="H1001" s="295">
        <f t="shared" si="30"/>
        <v>19150</v>
      </c>
      <c r="I1001" s="250">
        <f t="shared" si="31"/>
        <v>0.22934131736526947</v>
      </c>
    </row>
    <row r="1002" spans="2:9" x14ac:dyDescent="0.3">
      <c r="B1002" s="2">
        <v>3260</v>
      </c>
      <c r="C1002" s="41" t="s">
        <v>825</v>
      </c>
      <c r="D1002" s="2">
        <v>14</v>
      </c>
      <c r="E1002" s="2" t="s">
        <v>12</v>
      </c>
      <c r="F1002" s="294">
        <v>45216</v>
      </c>
      <c r="G1002" s="247">
        <v>49600</v>
      </c>
      <c r="H1002" s="295">
        <f t="shared" si="30"/>
        <v>4384</v>
      </c>
      <c r="I1002" s="250">
        <f t="shared" si="31"/>
        <v>8.8387096774193555E-2</v>
      </c>
    </row>
    <row r="1003" spans="2:9" x14ac:dyDescent="0.3">
      <c r="B1003" s="2">
        <v>3262</v>
      </c>
      <c r="C1003" s="41" t="s">
        <v>826</v>
      </c>
      <c r="D1003" s="2">
        <v>14</v>
      </c>
      <c r="E1003" s="2" t="s">
        <v>81</v>
      </c>
      <c r="F1003" s="294">
        <v>5843</v>
      </c>
      <c r="G1003" s="247">
        <v>9800</v>
      </c>
      <c r="H1003" s="295">
        <f t="shared" si="30"/>
        <v>3957</v>
      </c>
      <c r="I1003" s="250">
        <f t="shared" si="31"/>
        <v>0.40377551020408164</v>
      </c>
    </row>
    <row r="1004" spans="2:9" x14ac:dyDescent="0.3">
      <c r="B1004" s="2">
        <v>3263</v>
      </c>
      <c r="C1004" s="41" t="s">
        <v>827</v>
      </c>
      <c r="D1004" s="2">
        <v>8</v>
      </c>
      <c r="E1004" s="2" t="s">
        <v>27</v>
      </c>
      <c r="F1004" s="294">
        <v>415300</v>
      </c>
      <c r="G1004" s="247">
        <v>470833.33333333331</v>
      </c>
      <c r="H1004" s="295">
        <f t="shared" si="30"/>
        <v>55533.333333333314</v>
      </c>
      <c r="I1004" s="250">
        <f t="shared" si="31"/>
        <v>0.11794690265486722</v>
      </c>
    </row>
    <row r="1005" spans="2:9" x14ac:dyDescent="0.3">
      <c r="B1005" s="2">
        <v>3264</v>
      </c>
      <c r="C1005" s="41" t="s">
        <v>828</v>
      </c>
      <c r="D1005" s="2">
        <v>4</v>
      </c>
      <c r="E1005" s="2" t="s">
        <v>16</v>
      </c>
      <c r="F1005" s="294">
        <v>98000</v>
      </c>
      <c r="G1005" s="247">
        <v>115000</v>
      </c>
      <c r="H1005" s="295">
        <f t="shared" si="30"/>
        <v>17000</v>
      </c>
      <c r="I1005" s="250">
        <f t="shared" si="31"/>
        <v>0.14782608695652175</v>
      </c>
    </row>
    <row r="1006" spans="2:9" x14ac:dyDescent="0.3">
      <c r="B1006" s="2">
        <v>3265</v>
      </c>
      <c r="C1006" s="41" t="s">
        <v>1824</v>
      </c>
      <c r="D1006" s="2">
        <v>14</v>
      </c>
      <c r="E1006" s="2" t="s">
        <v>1825</v>
      </c>
      <c r="F1006" s="294">
        <v>9372</v>
      </c>
      <c r="G1006" s="247">
        <v>12800</v>
      </c>
      <c r="H1006" s="295">
        <f t="shared" si="30"/>
        <v>3428</v>
      </c>
      <c r="I1006" s="250">
        <f t="shared" si="31"/>
        <v>0.26781250000000001</v>
      </c>
    </row>
    <row r="1007" spans="2:9" x14ac:dyDescent="0.3">
      <c r="B1007" s="2">
        <v>3266</v>
      </c>
      <c r="C1007" s="41" t="s">
        <v>829</v>
      </c>
      <c r="D1007" s="2">
        <v>14</v>
      </c>
      <c r="E1007" s="2" t="s">
        <v>489</v>
      </c>
      <c r="F1007" s="294">
        <v>32269</v>
      </c>
      <c r="G1007" s="247">
        <v>41000</v>
      </c>
      <c r="H1007" s="295">
        <f t="shared" si="30"/>
        <v>8731</v>
      </c>
      <c r="I1007" s="250">
        <f t="shared" si="31"/>
        <v>0.21295121951219512</v>
      </c>
    </row>
    <row r="1008" spans="2:9" x14ac:dyDescent="0.3">
      <c r="B1008" s="2">
        <v>3267</v>
      </c>
      <c r="C1008" s="41" t="s">
        <v>830</v>
      </c>
      <c r="D1008" s="2">
        <v>8</v>
      </c>
      <c r="E1008" s="2" t="s">
        <v>27</v>
      </c>
      <c r="F1008" s="294">
        <v>265000</v>
      </c>
      <c r="G1008" s="247">
        <v>346666.66666666669</v>
      </c>
      <c r="H1008" s="295">
        <f t="shared" si="30"/>
        <v>81666.666666666686</v>
      </c>
      <c r="I1008" s="250">
        <f t="shared" si="31"/>
        <v>0.23557692307692313</v>
      </c>
    </row>
    <row r="1009" spans="2:9" x14ac:dyDescent="0.3">
      <c r="B1009" s="2">
        <v>3268</v>
      </c>
      <c r="C1009" s="41" t="s">
        <v>831</v>
      </c>
      <c r="D1009" s="2">
        <v>6</v>
      </c>
      <c r="E1009" s="2" t="s">
        <v>16</v>
      </c>
      <c r="F1009" s="294">
        <v>42000</v>
      </c>
      <c r="G1009" s="247">
        <v>49000</v>
      </c>
      <c r="H1009" s="295">
        <f t="shared" si="30"/>
        <v>7000</v>
      </c>
      <c r="I1009" s="250">
        <f t="shared" si="31"/>
        <v>0.14285714285714285</v>
      </c>
    </row>
    <row r="1010" spans="2:9" x14ac:dyDescent="0.3">
      <c r="B1010" s="2">
        <v>3269</v>
      </c>
      <c r="C1010" s="41" t="s">
        <v>1826</v>
      </c>
      <c r="D1010" s="2">
        <v>4</v>
      </c>
      <c r="E1010" s="2" t="s">
        <v>176</v>
      </c>
      <c r="F1010" s="294">
        <v>55232</v>
      </c>
      <c r="G1010" s="247">
        <v>66800</v>
      </c>
      <c r="H1010" s="295">
        <f t="shared" si="30"/>
        <v>11568</v>
      </c>
      <c r="I1010" s="250">
        <f t="shared" si="31"/>
        <v>0.17317365269461077</v>
      </c>
    </row>
    <row r="1011" spans="2:9" x14ac:dyDescent="0.3">
      <c r="B1011" s="2">
        <v>3270</v>
      </c>
      <c r="C1011" s="41" t="s">
        <v>832</v>
      </c>
      <c r="D1011" s="2">
        <v>12</v>
      </c>
      <c r="E1011" s="2" t="s">
        <v>12</v>
      </c>
      <c r="F1011" s="294">
        <v>2500</v>
      </c>
      <c r="G1011" s="247">
        <v>3500</v>
      </c>
      <c r="H1011" s="295">
        <f t="shared" si="30"/>
        <v>1000</v>
      </c>
      <c r="I1011" s="250">
        <f t="shared" si="31"/>
        <v>0.2857142857142857</v>
      </c>
    </row>
    <row r="1012" spans="2:9" x14ac:dyDescent="0.3">
      <c r="B1012" s="2">
        <v>3271</v>
      </c>
      <c r="C1012" s="41" t="s">
        <v>833</v>
      </c>
      <c r="D1012" s="2">
        <v>12</v>
      </c>
      <c r="E1012" s="2" t="s">
        <v>12</v>
      </c>
      <c r="F1012" s="294">
        <v>3678.29</v>
      </c>
      <c r="G1012" s="247">
        <v>4800</v>
      </c>
      <c r="H1012" s="295">
        <f t="shared" si="30"/>
        <v>1121.71</v>
      </c>
      <c r="I1012" s="250">
        <f t="shared" si="31"/>
        <v>0.23368958333333334</v>
      </c>
    </row>
    <row r="1013" spans="2:9" x14ac:dyDescent="0.3">
      <c r="B1013" s="2">
        <v>3272</v>
      </c>
      <c r="C1013" s="41" t="s">
        <v>834</v>
      </c>
      <c r="D1013" s="2">
        <v>12</v>
      </c>
      <c r="E1013" s="2" t="s">
        <v>12</v>
      </c>
      <c r="F1013" s="294">
        <v>15500</v>
      </c>
      <c r="G1013" s="247">
        <v>17083.333333333332</v>
      </c>
      <c r="H1013" s="295">
        <f t="shared" si="30"/>
        <v>1583.3333333333321</v>
      </c>
      <c r="I1013" s="250">
        <f t="shared" si="31"/>
        <v>9.2682926829268222E-2</v>
      </c>
    </row>
    <row r="1014" spans="2:9" x14ac:dyDescent="0.3">
      <c r="B1014" s="2">
        <v>3273</v>
      </c>
      <c r="C1014" s="41" t="s">
        <v>835</v>
      </c>
      <c r="D1014" s="2">
        <v>12</v>
      </c>
      <c r="E1014" s="2" t="s">
        <v>12</v>
      </c>
      <c r="F1014" s="294">
        <v>11163.39</v>
      </c>
      <c r="G1014" s="247">
        <v>13800</v>
      </c>
      <c r="H1014" s="295">
        <f t="shared" si="30"/>
        <v>2636.6100000000006</v>
      </c>
      <c r="I1014" s="250">
        <f t="shared" si="31"/>
        <v>0.19105869565217395</v>
      </c>
    </row>
    <row r="1015" spans="2:9" x14ac:dyDescent="0.3">
      <c r="B1015" s="2">
        <v>3274</v>
      </c>
      <c r="C1015" s="41" t="s">
        <v>836</v>
      </c>
      <c r="D1015" s="2">
        <v>12</v>
      </c>
      <c r="E1015" s="2" t="s">
        <v>12</v>
      </c>
      <c r="F1015" s="294">
        <v>5057.5</v>
      </c>
      <c r="G1015" s="247">
        <v>7200</v>
      </c>
      <c r="H1015" s="295">
        <f t="shared" si="30"/>
        <v>2142.5</v>
      </c>
      <c r="I1015" s="250">
        <f t="shared" si="31"/>
        <v>0.29756944444444444</v>
      </c>
    </row>
    <row r="1016" spans="2:9" x14ac:dyDescent="0.3">
      <c r="B1016" s="2">
        <v>3275</v>
      </c>
      <c r="C1016" s="41" t="s">
        <v>837</v>
      </c>
      <c r="D1016" s="2">
        <v>12</v>
      </c>
      <c r="E1016" s="2" t="s">
        <v>12</v>
      </c>
      <c r="F1016" s="294">
        <v>11000</v>
      </c>
      <c r="G1016" s="247">
        <v>13500</v>
      </c>
      <c r="H1016" s="295">
        <f t="shared" si="30"/>
        <v>2500</v>
      </c>
      <c r="I1016" s="250">
        <f t="shared" si="31"/>
        <v>0.18518518518518517</v>
      </c>
    </row>
    <row r="1017" spans="2:9" x14ac:dyDescent="0.3">
      <c r="B1017" s="2">
        <v>3276</v>
      </c>
      <c r="C1017" s="41" t="s">
        <v>838</v>
      </c>
      <c r="D1017" s="2">
        <v>12</v>
      </c>
      <c r="E1017" s="2" t="s">
        <v>12</v>
      </c>
      <c r="F1017" s="294">
        <v>21899.999899999999</v>
      </c>
      <c r="G1017" s="247">
        <v>25000</v>
      </c>
      <c r="H1017" s="295">
        <f t="shared" si="30"/>
        <v>3100.0001000000011</v>
      </c>
      <c r="I1017" s="250">
        <f t="shared" si="31"/>
        <v>0.12400000400000004</v>
      </c>
    </row>
    <row r="1018" spans="2:9" x14ac:dyDescent="0.3">
      <c r="B1018" s="2">
        <v>3277</v>
      </c>
      <c r="C1018" s="41" t="s">
        <v>839</v>
      </c>
      <c r="D1018" s="2">
        <v>12</v>
      </c>
      <c r="E1018" s="2" t="s">
        <v>12</v>
      </c>
      <c r="F1018" s="294">
        <v>2587.06</v>
      </c>
      <c r="G1018" s="247">
        <v>4000</v>
      </c>
      <c r="H1018" s="295">
        <f t="shared" si="30"/>
        <v>1412.94</v>
      </c>
      <c r="I1018" s="250">
        <f t="shared" si="31"/>
        <v>0.35323500000000002</v>
      </c>
    </row>
    <row r="1019" spans="2:9" x14ac:dyDescent="0.3">
      <c r="B1019" s="2">
        <v>3278</v>
      </c>
      <c r="C1019" s="41" t="s">
        <v>840</v>
      </c>
      <c r="D1019" s="2">
        <v>12</v>
      </c>
      <c r="E1019" s="2" t="s">
        <v>12</v>
      </c>
      <c r="F1019" s="294">
        <v>2200</v>
      </c>
      <c r="G1019" s="247">
        <v>2500</v>
      </c>
      <c r="H1019" s="295">
        <f t="shared" si="30"/>
        <v>300</v>
      </c>
      <c r="I1019" s="250">
        <f t="shared" si="31"/>
        <v>0.12</v>
      </c>
    </row>
    <row r="1020" spans="2:9" x14ac:dyDescent="0.3">
      <c r="B1020" s="2">
        <v>3279</v>
      </c>
      <c r="C1020" s="41" t="s">
        <v>841</v>
      </c>
      <c r="D1020" s="2">
        <v>5</v>
      </c>
      <c r="E1020" s="2" t="s">
        <v>16</v>
      </c>
      <c r="F1020" s="294">
        <v>39009.839999999997</v>
      </c>
      <c r="G1020" s="247">
        <v>45200</v>
      </c>
      <c r="H1020" s="295">
        <f t="shared" si="30"/>
        <v>6190.1600000000035</v>
      </c>
      <c r="I1020" s="250">
        <f t="shared" si="31"/>
        <v>0.13695044247787619</v>
      </c>
    </row>
    <row r="1021" spans="2:9" x14ac:dyDescent="0.3">
      <c r="B1021" s="2">
        <v>3280</v>
      </c>
      <c r="C1021" s="41" t="s">
        <v>1827</v>
      </c>
      <c r="D1021" s="2">
        <v>4</v>
      </c>
      <c r="E1021" s="2" t="s">
        <v>16</v>
      </c>
      <c r="F1021" s="294">
        <v>198579</v>
      </c>
      <c r="G1021" s="247">
        <v>217166.66666666666</v>
      </c>
      <c r="H1021" s="295">
        <f t="shared" si="30"/>
        <v>18587.666666666657</v>
      </c>
      <c r="I1021" s="250">
        <f t="shared" si="31"/>
        <v>8.5591711435149612E-2</v>
      </c>
    </row>
    <row r="1022" spans="2:9" x14ac:dyDescent="0.3">
      <c r="B1022" s="2">
        <v>3281</v>
      </c>
      <c r="C1022" s="41" t="s">
        <v>842</v>
      </c>
      <c r="D1022" s="2">
        <v>14</v>
      </c>
      <c r="E1022" s="2" t="s">
        <v>16</v>
      </c>
      <c r="F1022" s="294">
        <v>49287</v>
      </c>
      <c r="G1022" s="247">
        <v>59000</v>
      </c>
      <c r="H1022" s="295">
        <f t="shared" si="30"/>
        <v>9713</v>
      </c>
      <c r="I1022" s="250">
        <f t="shared" si="31"/>
        <v>0.16462711864406779</v>
      </c>
    </row>
    <row r="1023" spans="2:9" x14ac:dyDescent="0.3">
      <c r="B1023" s="2">
        <v>3282</v>
      </c>
      <c r="C1023" s="41" t="s">
        <v>844</v>
      </c>
      <c r="D1023" s="2">
        <v>7</v>
      </c>
      <c r="E1023" s="2" t="s">
        <v>23</v>
      </c>
      <c r="F1023" s="294">
        <v>600</v>
      </c>
      <c r="G1023" s="247">
        <v>1600</v>
      </c>
      <c r="H1023" s="295">
        <f t="shared" si="30"/>
        <v>1000</v>
      </c>
      <c r="I1023" s="250">
        <f t="shared" si="31"/>
        <v>0.625</v>
      </c>
    </row>
    <row r="1024" spans="2:9" x14ac:dyDescent="0.3">
      <c r="B1024" s="2">
        <v>3308</v>
      </c>
      <c r="C1024" s="41" t="s">
        <v>845</v>
      </c>
      <c r="D1024" s="2">
        <v>4</v>
      </c>
      <c r="E1024" s="2" t="s">
        <v>489</v>
      </c>
      <c r="F1024" s="294">
        <v>31500</v>
      </c>
      <c r="G1024" s="247">
        <v>45000</v>
      </c>
      <c r="H1024" s="295">
        <f t="shared" si="30"/>
        <v>13500</v>
      </c>
      <c r="I1024" s="250">
        <f t="shared" si="31"/>
        <v>0.3</v>
      </c>
    </row>
    <row r="1025" spans="2:9" x14ac:dyDescent="0.3">
      <c r="B1025" s="2">
        <v>3309</v>
      </c>
      <c r="C1025" s="41" t="s">
        <v>1828</v>
      </c>
      <c r="D1025" s="2">
        <v>8</v>
      </c>
      <c r="E1025" s="2" t="s">
        <v>21</v>
      </c>
      <c r="F1025" s="294">
        <v>3000</v>
      </c>
      <c r="G1025" s="247">
        <v>3800</v>
      </c>
      <c r="H1025" s="295">
        <f t="shared" si="30"/>
        <v>800</v>
      </c>
      <c r="I1025" s="250">
        <f t="shared" si="31"/>
        <v>0.21052631578947367</v>
      </c>
    </row>
    <row r="1026" spans="2:9" x14ac:dyDescent="0.3">
      <c r="B1026" s="2">
        <v>3311</v>
      </c>
      <c r="C1026" s="41" t="s">
        <v>846</v>
      </c>
      <c r="D1026" s="2">
        <v>5</v>
      </c>
      <c r="E1026" s="2" t="s">
        <v>23</v>
      </c>
      <c r="F1026" s="294">
        <v>21100</v>
      </c>
      <c r="G1026" s="247">
        <v>24166.666666666668</v>
      </c>
      <c r="H1026" s="295">
        <f t="shared" si="30"/>
        <v>3066.6666666666679</v>
      </c>
      <c r="I1026" s="250">
        <f t="shared" si="31"/>
        <v>0.12689655172413797</v>
      </c>
    </row>
    <row r="1027" spans="2:9" x14ac:dyDescent="0.3">
      <c r="B1027" s="2">
        <v>3312</v>
      </c>
      <c r="C1027" s="41" t="s">
        <v>847</v>
      </c>
      <c r="D1027" s="2">
        <v>14</v>
      </c>
      <c r="E1027" s="2" t="s">
        <v>81</v>
      </c>
      <c r="F1027" s="294">
        <v>13000</v>
      </c>
      <c r="G1027" s="247">
        <v>16000</v>
      </c>
      <c r="H1027" s="295">
        <f t="shared" si="30"/>
        <v>3000</v>
      </c>
      <c r="I1027" s="250">
        <f t="shared" si="31"/>
        <v>0.1875</v>
      </c>
    </row>
    <row r="1028" spans="2:9" x14ac:dyDescent="0.3">
      <c r="B1028" s="2">
        <v>3313</v>
      </c>
      <c r="C1028" s="41" t="s">
        <v>1829</v>
      </c>
      <c r="D1028" s="2">
        <v>12</v>
      </c>
      <c r="E1028" s="2" t="s">
        <v>12</v>
      </c>
      <c r="F1028" s="294">
        <v>10710</v>
      </c>
      <c r="G1028" s="247">
        <v>14000</v>
      </c>
      <c r="H1028" s="295">
        <f t="shared" si="30"/>
        <v>3290</v>
      </c>
      <c r="I1028" s="250">
        <f t="shared" si="31"/>
        <v>0.23499999999999999</v>
      </c>
    </row>
    <row r="1029" spans="2:9" x14ac:dyDescent="0.3">
      <c r="B1029" s="2">
        <v>3314</v>
      </c>
      <c r="C1029" s="41" t="s">
        <v>1830</v>
      </c>
      <c r="D1029" s="2">
        <v>12</v>
      </c>
      <c r="E1029" s="2" t="s">
        <v>12</v>
      </c>
      <c r="F1029" s="294">
        <v>11999.96</v>
      </c>
      <c r="G1029" s="247">
        <v>14500</v>
      </c>
      <c r="H1029" s="295">
        <f t="shared" si="30"/>
        <v>2500.0400000000009</v>
      </c>
      <c r="I1029" s="250">
        <f t="shared" si="31"/>
        <v>0.172416551724138</v>
      </c>
    </row>
    <row r="1030" spans="2:9" x14ac:dyDescent="0.3">
      <c r="B1030" s="2">
        <v>3315</v>
      </c>
      <c r="C1030" s="41" t="s">
        <v>1831</v>
      </c>
      <c r="D1030" s="2">
        <v>12</v>
      </c>
      <c r="E1030" s="2" t="s">
        <v>12</v>
      </c>
      <c r="F1030" s="294">
        <v>3149.93</v>
      </c>
      <c r="G1030" s="247">
        <v>6000</v>
      </c>
      <c r="H1030" s="295">
        <f t="shared" ref="H1030:H1063" si="32">G1030-F1030</f>
        <v>2850.07</v>
      </c>
      <c r="I1030" s="250">
        <f t="shared" ref="I1030:I1063" si="33">H1030/G1030</f>
        <v>0.47501166666666672</v>
      </c>
    </row>
    <row r="1031" spans="2:9" x14ac:dyDescent="0.3">
      <c r="B1031" s="2">
        <v>3316</v>
      </c>
      <c r="C1031" s="41" t="s">
        <v>848</v>
      </c>
      <c r="D1031" s="2">
        <v>12</v>
      </c>
      <c r="E1031" s="2" t="s">
        <v>12</v>
      </c>
      <c r="F1031" s="294">
        <v>25499.32</v>
      </c>
      <c r="G1031" s="247">
        <v>28600</v>
      </c>
      <c r="H1031" s="295">
        <f t="shared" si="32"/>
        <v>3100.6800000000003</v>
      </c>
      <c r="I1031" s="250">
        <f t="shared" si="33"/>
        <v>0.10841538461538462</v>
      </c>
    </row>
    <row r="1032" spans="2:9" x14ac:dyDescent="0.3">
      <c r="B1032" s="2">
        <v>3317</v>
      </c>
      <c r="C1032" s="41" t="s">
        <v>849</v>
      </c>
      <c r="D1032" s="2">
        <v>12</v>
      </c>
      <c r="E1032" s="2" t="s">
        <v>12</v>
      </c>
      <c r="F1032" s="294">
        <v>599.76</v>
      </c>
      <c r="G1032" s="247">
        <v>933.33333333333337</v>
      </c>
      <c r="H1032" s="295">
        <f t="shared" si="32"/>
        <v>333.57333333333338</v>
      </c>
      <c r="I1032" s="250">
        <f t="shared" si="33"/>
        <v>0.35740000000000005</v>
      </c>
    </row>
    <row r="1033" spans="2:9" x14ac:dyDescent="0.3">
      <c r="B1033" s="2">
        <v>3318</v>
      </c>
      <c r="C1033" s="41" t="s">
        <v>850</v>
      </c>
      <c r="D1033" s="2">
        <v>13</v>
      </c>
      <c r="E1033" s="2" t="s">
        <v>12</v>
      </c>
      <c r="F1033" s="294">
        <v>587.86</v>
      </c>
      <c r="G1033" s="247">
        <v>800</v>
      </c>
      <c r="H1033" s="295">
        <f t="shared" si="32"/>
        <v>212.14</v>
      </c>
      <c r="I1033" s="250">
        <f t="shared" si="33"/>
        <v>0.26517499999999999</v>
      </c>
    </row>
    <row r="1034" spans="2:9" x14ac:dyDescent="0.3">
      <c r="B1034" s="2">
        <v>3319</v>
      </c>
      <c r="C1034" s="41" t="s">
        <v>851</v>
      </c>
      <c r="D1034" s="2">
        <v>13</v>
      </c>
      <c r="E1034" s="2" t="s">
        <v>12</v>
      </c>
      <c r="F1034" s="294">
        <v>2963.1</v>
      </c>
      <c r="G1034" s="247">
        <v>3500</v>
      </c>
      <c r="H1034" s="295">
        <f t="shared" si="32"/>
        <v>536.90000000000009</v>
      </c>
      <c r="I1034" s="250">
        <f t="shared" si="33"/>
        <v>0.15340000000000004</v>
      </c>
    </row>
    <row r="1035" spans="2:9" x14ac:dyDescent="0.3">
      <c r="B1035" s="2">
        <v>3320</v>
      </c>
      <c r="C1035" s="41" t="s">
        <v>853</v>
      </c>
      <c r="D1035" s="2">
        <v>13</v>
      </c>
      <c r="E1035" s="2" t="s">
        <v>12</v>
      </c>
      <c r="F1035" s="294">
        <v>841.33</v>
      </c>
      <c r="G1035" s="247">
        <v>1200</v>
      </c>
      <c r="H1035" s="295">
        <f t="shared" si="32"/>
        <v>358.66999999999996</v>
      </c>
      <c r="I1035" s="250">
        <f t="shared" si="33"/>
        <v>0.29889166666666661</v>
      </c>
    </row>
    <row r="1036" spans="2:9" x14ac:dyDescent="0.3">
      <c r="B1036" s="2">
        <v>3321</v>
      </c>
      <c r="C1036" s="41" t="s">
        <v>854</v>
      </c>
      <c r="D1036" s="2">
        <v>13</v>
      </c>
      <c r="E1036" s="2" t="s">
        <v>12</v>
      </c>
      <c r="F1036" s="294">
        <v>70210</v>
      </c>
      <c r="G1036" s="247">
        <v>87000</v>
      </c>
      <c r="H1036" s="295">
        <f t="shared" si="32"/>
        <v>16790</v>
      </c>
      <c r="I1036" s="250">
        <f t="shared" si="33"/>
        <v>0.19298850574712645</v>
      </c>
    </row>
    <row r="1037" spans="2:9" x14ac:dyDescent="0.3">
      <c r="B1037" s="2">
        <v>3322</v>
      </c>
      <c r="C1037" s="41" t="s">
        <v>855</v>
      </c>
      <c r="D1037" s="2">
        <v>13</v>
      </c>
      <c r="E1037" s="2" t="s">
        <v>12</v>
      </c>
      <c r="F1037" s="294">
        <v>47580.959999999999</v>
      </c>
      <c r="G1037" s="247">
        <v>62000</v>
      </c>
      <c r="H1037" s="295">
        <f t="shared" si="32"/>
        <v>14419.04</v>
      </c>
      <c r="I1037" s="250">
        <f t="shared" si="33"/>
        <v>0.23256516129032259</v>
      </c>
    </row>
    <row r="1038" spans="2:9" x14ac:dyDescent="0.3">
      <c r="B1038" s="2">
        <v>3323</v>
      </c>
      <c r="C1038" s="41" t="s">
        <v>856</v>
      </c>
      <c r="D1038" s="2">
        <v>13</v>
      </c>
      <c r="E1038" s="2" t="s">
        <v>12</v>
      </c>
      <c r="F1038" s="294">
        <v>4702.88</v>
      </c>
      <c r="G1038" s="247">
        <v>5383.333333333333</v>
      </c>
      <c r="H1038" s="295">
        <f t="shared" si="32"/>
        <v>680.45333333333292</v>
      </c>
      <c r="I1038" s="250">
        <f t="shared" si="33"/>
        <v>0.12639999999999993</v>
      </c>
    </row>
    <row r="1039" spans="2:9" x14ac:dyDescent="0.3">
      <c r="B1039" s="2">
        <v>3324</v>
      </c>
      <c r="C1039" s="41" t="s">
        <v>857</v>
      </c>
      <c r="D1039" s="2">
        <v>13</v>
      </c>
      <c r="E1039" s="2" t="s">
        <v>12</v>
      </c>
      <c r="F1039" s="294">
        <v>1468.46</v>
      </c>
      <c r="G1039" s="247">
        <v>1900</v>
      </c>
      <c r="H1039" s="295">
        <f t="shared" si="32"/>
        <v>431.53999999999996</v>
      </c>
      <c r="I1039" s="250">
        <f t="shared" si="33"/>
        <v>0.22712631578947368</v>
      </c>
    </row>
    <row r="1040" spans="2:9" x14ac:dyDescent="0.3">
      <c r="B1040" s="2">
        <v>3325</v>
      </c>
      <c r="C1040" s="41" t="s">
        <v>858</v>
      </c>
      <c r="D1040" s="2">
        <v>13</v>
      </c>
      <c r="E1040" s="2" t="s">
        <v>12</v>
      </c>
      <c r="F1040" s="294">
        <v>240.38</v>
      </c>
      <c r="G1040" s="247">
        <v>350</v>
      </c>
      <c r="H1040" s="295">
        <f t="shared" si="32"/>
        <v>109.62</v>
      </c>
      <c r="I1040" s="250">
        <f t="shared" si="33"/>
        <v>0.31320000000000003</v>
      </c>
    </row>
    <row r="1041" spans="2:9" x14ac:dyDescent="0.3">
      <c r="B1041" s="2">
        <v>3326</v>
      </c>
      <c r="C1041" s="41" t="s">
        <v>859</v>
      </c>
      <c r="D1041" s="2">
        <v>13</v>
      </c>
      <c r="E1041" s="2" t="s">
        <v>12</v>
      </c>
      <c r="F1041" s="294">
        <v>7049.56</v>
      </c>
      <c r="G1041" s="247">
        <v>8900</v>
      </c>
      <c r="H1041" s="295">
        <f t="shared" si="32"/>
        <v>1850.4399999999996</v>
      </c>
      <c r="I1041" s="250">
        <f t="shared" si="33"/>
        <v>0.207914606741573</v>
      </c>
    </row>
    <row r="1042" spans="2:9" x14ac:dyDescent="0.3">
      <c r="B1042" s="2">
        <v>3327</v>
      </c>
      <c r="C1042" s="41" t="s">
        <v>860</v>
      </c>
      <c r="D1042" s="2">
        <v>13</v>
      </c>
      <c r="E1042" s="2" t="s">
        <v>12</v>
      </c>
      <c r="F1042" s="294">
        <v>7049.56</v>
      </c>
      <c r="G1042" s="247">
        <v>9000</v>
      </c>
      <c r="H1042" s="295">
        <f t="shared" si="32"/>
        <v>1950.4399999999996</v>
      </c>
      <c r="I1042" s="250">
        <f t="shared" si="33"/>
        <v>0.21671555555555552</v>
      </c>
    </row>
    <row r="1043" spans="2:9" x14ac:dyDescent="0.3">
      <c r="B1043" s="2">
        <v>3328</v>
      </c>
      <c r="C1043" s="41" t="s">
        <v>861</v>
      </c>
      <c r="D1043" s="2">
        <v>13</v>
      </c>
      <c r="E1043" s="2" t="s">
        <v>12</v>
      </c>
      <c r="F1043" s="294">
        <v>146534.22</v>
      </c>
      <c r="G1043" s="247">
        <v>167833.33333333334</v>
      </c>
      <c r="H1043" s="295">
        <f t="shared" si="32"/>
        <v>21299.113333333342</v>
      </c>
      <c r="I1043" s="250">
        <f t="shared" si="33"/>
        <v>0.12690633565044693</v>
      </c>
    </row>
    <row r="1044" spans="2:9" x14ac:dyDescent="0.3">
      <c r="B1044" s="2">
        <v>3329</v>
      </c>
      <c r="C1044" s="41" t="s">
        <v>862</v>
      </c>
      <c r="D1044" s="2">
        <v>13</v>
      </c>
      <c r="E1044" s="2" t="s">
        <v>12</v>
      </c>
      <c r="F1044" s="294">
        <v>158415.4418</v>
      </c>
      <c r="G1044" s="247">
        <v>178250</v>
      </c>
      <c r="H1044" s="295">
        <f t="shared" si="32"/>
        <v>19834.558199999999</v>
      </c>
      <c r="I1044" s="250">
        <f t="shared" si="33"/>
        <v>0.11127381879382889</v>
      </c>
    </row>
    <row r="1045" spans="2:9" x14ac:dyDescent="0.3">
      <c r="B1045" s="2">
        <v>3330</v>
      </c>
      <c r="C1045" s="41" t="s">
        <v>1832</v>
      </c>
      <c r="D1045" s="2">
        <v>8</v>
      </c>
      <c r="E1045" s="2" t="s">
        <v>16</v>
      </c>
      <c r="F1045" s="294">
        <v>24000</v>
      </c>
      <c r="G1045" s="247">
        <v>30000</v>
      </c>
      <c r="H1045" s="295">
        <f t="shared" si="32"/>
        <v>6000</v>
      </c>
      <c r="I1045" s="250">
        <f t="shared" si="33"/>
        <v>0.2</v>
      </c>
    </row>
    <row r="1046" spans="2:9" x14ac:dyDescent="0.3">
      <c r="B1046" s="2">
        <v>3331</v>
      </c>
      <c r="C1046" s="41" t="s">
        <v>1833</v>
      </c>
      <c r="D1046" s="2">
        <v>8</v>
      </c>
      <c r="E1046" s="2" t="s">
        <v>419</v>
      </c>
      <c r="F1046" s="294">
        <v>56000</v>
      </c>
      <c r="G1046" s="247">
        <v>63000</v>
      </c>
      <c r="H1046" s="295">
        <f t="shared" si="32"/>
        <v>7000</v>
      </c>
      <c r="I1046" s="250">
        <f t="shared" si="33"/>
        <v>0.1111111111111111</v>
      </c>
    </row>
    <row r="1047" spans="2:9" x14ac:dyDescent="0.3">
      <c r="B1047" s="2">
        <v>3332</v>
      </c>
      <c r="C1047" s="41" t="s">
        <v>863</v>
      </c>
      <c r="D1047" s="2">
        <v>2</v>
      </c>
      <c r="E1047" s="2" t="s">
        <v>12</v>
      </c>
      <c r="F1047" s="294">
        <v>100595.25</v>
      </c>
      <c r="G1047" s="247">
        <v>107816.66666666667</v>
      </c>
      <c r="H1047" s="295">
        <f t="shared" si="32"/>
        <v>7221.4166666666715</v>
      </c>
      <c r="I1047" s="250">
        <f t="shared" si="33"/>
        <v>6.697866749111149E-2</v>
      </c>
    </row>
    <row r="1048" spans="2:9" x14ac:dyDescent="0.3">
      <c r="B1048" s="2">
        <v>3333</v>
      </c>
      <c r="C1048" s="41" t="s">
        <v>864</v>
      </c>
      <c r="D1048" s="2">
        <v>2</v>
      </c>
      <c r="E1048" s="2" t="s">
        <v>5</v>
      </c>
      <c r="F1048" s="294">
        <v>51200.000099999997</v>
      </c>
      <c r="G1048" s="247">
        <v>55283.333333333336</v>
      </c>
      <c r="H1048" s="295">
        <f t="shared" si="32"/>
        <v>4083.3332333333383</v>
      </c>
      <c r="I1048" s="250">
        <f t="shared" si="33"/>
        <v>7.3861921615918091E-2</v>
      </c>
    </row>
    <row r="1049" spans="2:9" x14ac:dyDescent="0.3">
      <c r="B1049" s="2">
        <v>3334</v>
      </c>
      <c r="C1049" s="41" t="s">
        <v>1834</v>
      </c>
      <c r="D1049" s="2">
        <v>14</v>
      </c>
      <c r="E1049" s="2" t="s">
        <v>81</v>
      </c>
      <c r="F1049" s="294">
        <v>19281</v>
      </c>
      <c r="G1049" s="247">
        <v>25500</v>
      </c>
      <c r="H1049" s="295">
        <f t="shared" si="32"/>
        <v>6219</v>
      </c>
      <c r="I1049" s="250">
        <f t="shared" si="33"/>
        <v>0.24388235294117647</v>
      </c>
    </row>
    <row r="1050" spans="2:9" x14ac:dyDescent="0.3">
      <c r="B1050" s="2">
        <v>3335</v>
      </c>
      <c r="C1050" s="41" t="s">
        <v>865</v>
      </c>
      <c r="D1050" s="2">
        <v>14</v>
      </c>
      <c r="E1050" s="2" t="s">
        <v>16</v>
      </c>
      <c r="F1050" s="294">
        <v>29680.142899999999</v>
      </c>
      <c r="G1050" s="247">
        <v>34000</v>
      </c>
      <c r="H1050" s="295">
        <f t="shared" si="32"/>
        <v>4319.8571000000011</v>
      </c>
      <c r="I1050" s="250">
        <f t="shared" si="33"/>
        <v>0.12705462058823533</v>
      </c>
    </row>
    <row r="1051" spans="2:9" x14ac:dyDescent="0.3">
      <c r="B1051" s="2">
        <v>3336</v>
      </c>
      <c r="C1051" s="41" t="s">
        <v>866</v>
      </c>
      <c r="D1051" s="2">
        <v>14</v>
      </c>
      <c r="E1051" s="2" t="s">
        <v>81</v>
      </c>
      <c r="F1051" s="294">
        <v>6132</v>
      </c>
      <c r="G1051" s="247">
        <v>8000</v>
      </c>
      <c r="H1051" s="295">
        <f t="shared" si="32"/>
        <v>1868</v>
      </c>
      <c r="I1051" s="250">
        <f t="shared" si="33"/>
        <v>0.23350000000000001</v>
      </c>
    </row>
    <row r="1052" spans="2:9" x14ac:dyDescent="0.3">
      <c r="B1052" s="2">
        <v>3337</v>
      </c>
      <c r="C1052" s="41" t="s">
        <v>1835</v>
      </c>
      <c r="D1052" s="2">
        <v>14</v>
      </c>
      <c r="E1052" s="2" t="s">
        <v>81</v>
      </c>
      <c r="F1052" s="294">
        <v>49738</v>
      </c>
      <c r="G1052" s="247">
        <v>59000</v>
      </c>
      <c r="H1052" s="295">
        <f t="shared" si="32"/>
        <v>9262</v>
      </c>
      <c r="I1052" s="250">
        <f t="shared" si="33"/>
        <v>0.15698305084745762</v>
      </c>
    </row>
    <row r="1053" spans="2:9" x14ac:dyDescent="0.3">
      <c r="B1053" s="2">
        <v>3338</v>
      </c>
      <c r="C1053" s="41" t="s">
        <v>867</v>
      </c>
      <c r="D1053" s="2">
        <v>14</v>
      </c>
      <c r="E1053" s="2" t="s">
        <v>81</v>
      </c>
      <c r="F1053" s="294">
        <v>6032</v>
      </c>
      <c r="G1053" s="247">
        <v>9600</v>
      </c>
      <c r="H1053" s="295">
        <f t="shared" si="32"/>
        <v>3568</v>
      </c>
      <c r="I1053" s="250">
        <f t="shared" si="33"/>
        <v>0.37166666666666665</v>
      </c>
    </row>
    <row r="1054" spans="2:9" x14ac:dyDescent="0.3">
      <c r="B1054" s="2">
        <v>3339</v>
      </c>
      <c r="C1054" s="41" t="s">
        <v>868</v>
      </c>
      <c r="D1054" s="2">
        <v>14</v>
      </c>
      <c r="E1054" s="2" t="s">
        <v>81</v>
      </c>
      <c r="F1054" s="294">
        <v>13919.5</v>
      </c>
      <c r="G1054" s="247">
        <v>17000</v>
      </c>
      <c r="H1054" s="295">
        <f t="shared" si="32"/>
        <v>3080.5</v>
      </c>
      <c r="I1054" s="250">
        <f t="shared" si="33"/>
        <v>0.18120588235294119</v>
      </c>
    </row>
    <row r="1055" spans="2:9" x14ac:dyDescent="0.3">
      <c r="B1055" s="2">
        <v>3341</v>
      </c>
      <c r="C1055" s="41" t="s">
        <v>869</v>
      </c>
      <c r="D1055" s="2">
        <v>9</v>
      </c>
      <c r="E1055" s="2" t="s">
        <v>843</v>
      </c>
      <c r="F1055" s="294">
        <v>3380.3600999999999</v>
      </c>
      <c r="G1055" s="247">
        <v>5500</v>
      </c>
      <c r="H1055" s="295">
        <f t="shared" si="32"/>
        <v>2119.6399000000001</v>
      </c>
      <c r="I1055" s="250">
        <f t="shared" si="33"/>
        <v>0.38538907272727274</v>
      </c>
    </row>
    <row r="1056" spans="2:9" x14ac:dyDescent="0.3">
      <c r="B1056" s="2">
        <v>3342</v>
      </c>
      <c r="C1056" s="41" t="s">
        <v>870</v>
      </c>
      <c r="D1056" s="2">
        <v>14</v>
      </c>
      <c r="E1056" s="2" t="s">
        <v>56</v>
      </c>
      <c r="F1056" s="294">
        <v>46095</v>
      </c>
      <c r="G1056" s="247">
        <v>41800</v>
      </c>
      <c r="H1056" s="295">
        <f t="shared" si="32"/>
        <v>-4295</v>
      </c>
      <c r="I1056" s="250">
        <f t="shared" si="33"/>
        <v>-0.1027511961722488</v>
      </c>
    </row>
    <row r="1057" spans="2:9" x14ac:dyDescent="0.3">
      <c r="B1057" s="2">
        <v>3343</v>
      </c>
      <c r="C1057" s="41" t="s">
        <v>871</v>
      </c>
      <c r="D1057" s="2">
        <v>14</v>
      </c>
      <c r="E1057" s="2" t="s">
        <v>12</v>
      </c>
      <c r="F1057" s="294">
        <v>443.58300000000003</v>
      </c>
      <c r="G1057" s="247">
        <v>650</v>
      </c>
      <c r="H1057" s="295">
        <f t="shared" si="32"/>
        <v>206.41699999999997</v>
      </c>
      <c r="I1057" s="250">
        <f t="shared" si="33"/>
        <v>0.31756461538461533</v>
      </c>
    </row>
    <row r="1058" spans="2:9" x14ac:dyDescent="0.3">
      <c r="B1058" s="2">
        <v>3344</v>
      </c>
      <c r="C1058" s="41" t="s">
        <v>872</v>
      </c>
      <c r="D1058" s="2">
        <v>9</v>
      </c>
      <c r="E1058" s="2" t="s">
        <v>12</v>
      </c>
      <c r="F1058" s="294">
        <v>1130.5</v>
      </c>
      <c r="G1058" s="247">
        <v>1350</v>
      </c>
      <c r="H1058" s="295">
        <f t="shared" si="32"/>
        <v>219.5</v>
      </c>
      <c r="I1058" s="250">
        <f t="shared" si="33"/>
        <v>0.16259259259259259</v>
      </c>
    </row>
    <row r="1059" spans="2:9" x14ac:dyDescent="0.3">
      <c r="B1059" s="2">
        <v>3345</v>
      </c>
      <c r="C1059" s="41" t="s">
        <v>873</v>
      </c>
      <c r="D1059" s="2">
        <v>9</v>
      </c>
      <c r="E1059" s="2" t="s">
        <v>12</v>
      </c>
      <c r="F1059" s="294">
        <v>1356.6</v>
      </c>
      <c r="G1059" s="247">
        <v>1633.3333333333333</v>
      </c>
      <c r="H1059" s="295">
        <f t="shared" si="32"/>
        <v>276.73333333333335</v>
      </c>
      <c r="I1059" s="250">
        <f t="shared" si="33"/>
        <v>0.16942857142857146</v>
      </c>
    </row>
    <row r="1060" spans="2:9" x14ac:dyDescent="0.3">
      <c r="B1060" s="2">
        <v>3346</v>
      </c>
      <c r="C1060" s="41" t="s">
        <v>874</v>
      </c>
      <c r="D1060" s="2">
        <v>9</v>
      </c>
      <c r="E1060" s="2" t="s">
        <v>12</v>
      </c>
      <c r="F1060" s="294">
        <v>1695.75</v>
      </c>
      <c r="G1060" s="247">
        <v>1950</v>
      </c>
      <c r="H1060" s="295">
        <f t="shared" si="32"/>
        <v>254.25</v>
      </c>
      <c r="I1060" s="250">
        <f t="shared" si="33"/>
        <v>0.13038461538461538</v>
      </c>
    </row>
    <row r="1061" spans="2:9" x14ac:dyDescent="0.3">
      <c r="B1061" s="2">
        <v>3347</v>
      </c>
      <c r="C1061" s="41" t="s">
        <v>875</v>
      </c>
      <c r="D1061" s="2">
        <v>9</v>
      </c>
      <c r="E1061" s="2" t="s">
        <v>12</v>
      </c>
      <c r="F1061" s="294">
        <v>2261</v>
      </c>
      <c r="G1061" s="247">
        <v>2700</v>
      </c>
      <c r="H1061" s="295">
        <f t="shared" si="32"/>
        <v>439</v>
      </c>
      <c r="I1061" s="250">
        <f t="shared" si="33"/>
        <v>0.16259259259259259</v>
      </c>
    </row>
    <row r="1062" spans="2:9" x14ac:dyDescent="0.3">
      <c r="B1062" s="2">
        <v>3348</v>
      </c>
      <c r="C1062" s="41" t="s">
        <v>876</v>
      </c>
      <c r="D1062" s="2">
        <v>9</v>
      </c>
      <c r="E1062" s="2" t="s">
        <v>12</v>
      </c>
      <c r="F1062" s="294">
        <v>2826.25</v>
      </c>
      <c r="G1062" s="247">
        <v>3500</v>
      </c>
      <c r="H1062" s="295">
        <f t="shared" si="32"/>
        <v>673.75</v>
      </c>
      <c r="I1062" s="250">
        <f t="shared" si="33"/>
        <v>0.1925</v>
      </c>
    </row>
    <row r="1063" spans="2:9" x14ac:dyDescent="0.3">
      <c r="B1063" s="2">
        <v>3349</v>
      </c>
      <c r="C1063" s="41" t="s">
        <v>877</v>
      </c>
      <c r="D1063" s="2">
        <v>7</v>
      </c>
      <c r="E1063" s="2" t="s">
        <v>852</v>
      </c>
      <c r="F1063" s="294">
        <v>1680</v>
      </c>
      <c r="G1063" s="247">
        <v>3000</v>
      </c>
      <c r="H1063" s="295">
        <f t="shared" si="32"/>
        <v>1320</v>
      </c>
      <c r="I1063" s="250">
        <f t="shared" si="33"/>
        <v>0.44</v>
      </c>
    </row>
    <row r="1064" spans="2:9" x14ac:dyDescent="0.3">
      <c r="B1064" s="2">
        <v>3350</v>
      </c>
      <c r="C1064" s="41" t="s">
        <v>878</v>
      </c>
      <c r="D1064" s="2">
        <v>7</v>
      </c>
      <c r="E1064" s="2" t="s">
        <v>21</v>
      </c>
      <c r="F1064" s="294">
        <v>2480</v>
      </c>
      <c r="G1064" s="247">
        <v>3200</v>
      </c>
      <c r="H1064" s="295">
        <f t="shared" ref="H1064:H1127" si="34">G1064-F1064</f>
        <v>720</v>
      </c>
      <c r="I1064" s="250">
        <f t="shared" ref="I1064:I1127" si="35">H1064/G1064</f>
        <v>0.22500000000000001</v>
      </c>
    </row>
    <row r="1065" spans="2:9" x14ac:dyDescent="0.3">
      <c r="B1065" s="2">
        <v>3351</v>
      </c>
      <c r="C1065" s="41" t="s">
        <v>879</v>
      </c>
      <c r="D1065" s="2">
        <v>7</v>
      </c>
      <c r="E1065" s="2" t="s">
        <v>21</v>
      </c>
      <c r="F1065" s="294">
        <v>2800</v>
      </c>
      <c r="G1065" s="247">
        <v>3366.6666666666665</v>
      </c>
      <c r="H1065" s="295">
        <f t="shared" si="34"/>
        <v>566.66666666666652</v>
      </c>
      <c r="I1065" s="250">
        <f t="shared" si="35"/>
        <v>0.16831683168316827</v>
      </c>
    </row>
    <row r="1066" spans="2:9" x14ac:dyDescent="0.3">
      <c r="B1066" s="2">
        <v>3352</v>
      </c>
      <c r="C1066" s="41" t="s">
        <v>1836</v>
      </c>
      <c r="D1066" s="2">
        <v>5</v>
      </c>
      <c r="E1066" s="2" t="s">
        <v>12</v>
      </c>
      <c r="F1066" s="294">
        <v>8910</v>
      </c>
      <c r="G1066" s="247">
        <v>12300</v>
      </c>
      <c r="H1066" s="295">
        <f t="shared" si="34"/>
        <v>3390</v>
      </c>
      <c r="I1066" s="250">
        <f t="shared" si="35"/>
        <v>0.275609756097561</v>
      </c>
    </row>
    <row r="1067" spans="2:9" x14ac:dyDescent="0.3">
      <c r="B1067" s="2">
        <v>3353</v>
      </c>
      <c r="C1067" s="41" t="s">
        <v>880</v>
      </c>
      <c r="D1067" s="2">
        <v>7</v>
      </c>
      <c r="E1067" s="2" t="s">
        <v>12</v>
      </c>
      <c r="F1067" s="294">
        <v>2480</v>
      </c>
      <c r="G1067" s="247">
        <v>4100</v>
      </c>
      <c r="H1067" s="295">
        <f t="shared" si="34"/>
        <v>1620</v>
      </c>
      <c r="I1067" s="250">
        <f t="shared" si="35"/>
        <v>0.39512195121951221</v>
      </c>
    </row>
    <row r="1068" spans="2:9" x14ac:dyDescent="0.3">
      <c r="B1068" s="2">
        <v>3354</v>
      </c>
      <c r="C1068" s="41" t="s">
        <v>881</v>
      </c>
      <c r="D1068" s="2">
        <v>7</v>
      </c>
      <c r="E1068" s="2" t="s">
        <v>21</v>
      </c>
      <c r="F1068" s="294">
        <v>2480</v>
      </c>
      <c r="G1068" s="247">
        <v>4100</v>
      </c>
      <c r="H1068" s="295">
        <f t="shared" si="34"/>
        <v>1620</v>
      </c>
      <c r="I1068" s="250">
        <f t="shared" si="35"/>
        <v>0.39512195121951221</v>
      </c>
    </row>
    <row r="1069" spans="2:9" x14ac:dyDescent="0.3">
      <c r="B1069" s="2">
        <v>3355</v>
      </c>
      <c r="C1069" s="41" t="s">
        <v>882</v>
      </c>
      <c r="D1069" s="2">
        <v>7</v>
      </c>
      <c r="E1069" s="2" t="s">
        <v>21</v>
      </c>
      <c r="F1069" s="294">
        <v>2800</v>
      </c>
      <c r="G1069" s="247">
        <v>3350</v>
      </c>
      <c r="H1069" s="295">
        <f t="shared" si="34"/>
        <v>550</v>
      </c>
      <c r="I1069" s="250">
        <f t="shared" si="35"/>
        <v>0.16417910447761194</v>
      </c>
    </row>
    <row r="1070" spans="2:9" x14ac:dyDescent="0.3">
      <c r="B1070" s="2">
        <v>3356</v>
      </c>
      <c r="C1070" s="41" t="s">
        <v>883</v>
      </c>
      <c r="D1070" s="2">
        <v>7</v>
      </c>
      <c r="E1070" s="2" t="s">
        <v>21</v>
      </c>
      <c r="F1070" s="294">
        <v>1680</v>
      </c>
      <c r="G1070" s="247">
        <v>3883.3333333333335</v>
      </c>
      <c r="H1070" s="295">
        <f t="shared" si="34"/>
        <v>2203.3333333333335</v>
      </c>
      <c r="I1070" s="250">
        <f t="shared" si="35"/>
        <v>0.567381974248927</v>
      </c>
    </row>
    <row r="1071" spans="2:9" x14ac:dyDescent="0.3">
      <c r="B1071" s="2">
        <v>3357</v>
      </c>
      <c r="C1071" s="41" t="s">
        <v>884</v>
      </c>
      <c r="D1071" s="2">
        <v>7</v>
      </c>
      <c r="E1071" s="2" t="s">
        <v>160</v>
      </c>
      <c r="F1071" s="294">
        <v>2800</v>
      </c>
      <c r="G1071" s="247">
        <v>3200</v>
      </c>
      <c r="H1071" s="295">
        <f t="shared" si="34"/>
        <v>400</v>
      </c>
      <c r="I1071" s="250">
        <f t="shared" si="35"/>
        <v>0.125</v>
      </c>
    </row>
    <row r="1072" spans="2:9" x14ac:dyDescent="0.3">
      <c r="B1072" s="2">
        <v>3358</v>
      </c>
      <c r="C1072" s="41" t="s">
        <v>885</v>
      </c>
      <c r="D1072" s="2">
        <v>7</v>
      </c>
      <c r="E1072" s="2" t="s">
        <v>160</v>
      </c>
      <c r="F1072" s="294">
        <v>2480</v>
      </c>
      <c r="G1072" s="247">
        <v>3350</v>
      </c>
      <c r="H1072" s="295">
        <f t="shared" si="34"/>
        <v>870</v>
      </c>
      <c r="I1072" s="250">
        <f t="shared" si="35"/>
        <v>0.25970149253731345</v>
      </c>
    </row>
    <row r="1073" spans="2:9" x14ac:dyDescent="0.3">
      <c r="B1073" s="2">
        <v>3359</v>
      </c>
      <c r="C1073" s="41" t="s">
        <v>886</v>
      </c>
      <c r="D1073" s="2">
        <v>7</v>
      </c>
      <c r="E1073" s="2" t="s">
        <v>160</v>
      </c>
      <c r="F1073" s="294">
        <v>2800</v>
      </c>
      <c r="G1073" s="247">
        <v>4100</v>
      </c>
      <c r="H1073" s="295">
        <f t="shared" si="34"/>
        <v>1300</v>
      </c>
      <c r="I1073" s="250">
        <f t="shared" si="35"/>
        <v>0.31707317073170732</v>
      </c>
    </row>
    <row r="1074" spans="2:9" x14ac:dyDescent="0.3">
      <c r="B1074" s="2">
        <v>3360</v>
      </c>
      <c r="C1074" s="41" t="s">
        <v>1837</v>
      </c>
      <c r="D1074" s="2">
        <v>7</v>
      </c>
      <c r="E1074" s="2" t="s">
        <v>795</v>
      </c>
      <c r="F1074" s="294">
        <v>1500</v>
      </c>
      <c r="G1074" s="247">
        <v>2000</v>
      </c>
      <c r="H1074" s="295">
        <f t="shared" si="34"/>
        <v>500</v>
      </c>
      <c r="I1074" s="250">
        <f t="shared" si="35"/>
        <v>0.25</v>
      </c>
    </row>
    <row r="1075" spans="2:9" x14ac:dyDescent="0.3">
      <c r="B1075" s="2">
        <v>3361</v>
      </c>
      <c r="C1075" s="41" t="s">
        <v>1838</v>
      </c>
      <c r="D1075" s="2">
        <v>7</v>
      </c>
      <c r="E1075" s="2" t="s">
        <v>12</v>
      </c>
      <c r="F1075" s="294">
        <v>2000</v>
      </c>
      <c r="G1075" s="247">
        <v>2500</v>
      </c>
      <c r="H1075" s="295">
        <f t="shared" si="34"/>
        <v>500</v>
      </c>
      <c r="I1075" s="250">
        <f t="shared" si="35"/>
        <v>0.2</v>
      </c>
    </row>
    <row r="1076" spans="2:9" x14ac:dyDescent="0.3">
      <c r="B1076" s="2">
        <v>3362</v>
      </c>
      <c r="C1076" s="41" t="s">
        <v>887</v>
      </c>
      <c r="D1076" s="2">
        <v>7</v>
      </c>
      <c r="E1076" s="2" t="s">
        <v>12</v>
      </c>
      <c r="F1076" s="294">
        <v>1500</v>
      </c>
      <c r="G1076" s="247">
        <v>2200</v>
      </c>
      <c r="H1076" s="295">
        <f t="shared" si="34"/>
        <v>700</v>
      </c>
      <c r="I1076" s="250">
        <f t="shared" si="35"/>
        <v>0.31818181818181818</v>
      </c>
    </row>
    <row r="1077" spans="2:9" x14ac:dyDescent="0.3">
      <c r="B1077" s="2">
        <v>3363</v>
      </c>
      <c r="C1077" s="41" t="s">
        <v>888</v>
      </c>
      <c r="D1077" s="2">
        <v>7</v>
      </c>
      <c r="E1077" s="2" t="s">
        <v>12</v>
      </c>
      <c r="F1077" s="294">
        <v>1400</v>
      </c>
      <c r="G1077" s="247">
        <v>1800</v>
      </c>
      <c r="H1077" s="295">
        <f t="shared" si="34"/>
        <v>400</v>
      </c>
      <c r="I1077" s="250">
        <f t="shared" si="35"/>
        <v>0.22222222222222221</v>
      </c>
    </row>
    <row r="1078" spans="2:9" x14ac:dyDescent="0.3">
      <c r="B1078" s="2">
        <v>3364</v>
      </c>
      <c r="C1078" s="41" t="s">
        <v>889</v>
      </c>
      <c r="D1078" s="2">
        <v>14</v>
      </c>
      <c r="E1078" s="2" t="s">
        <v>12</v>
      </c>
      <c r="F1078" s="294">
        <v>1121.3</v>
      </c>
      <c r="G1078" s="247">
        <v>1600</v>
      </c>
      <c r="H1078" s="295">
        <f t="shared" si="34"/>
        <v>478.70000000000005</v>
      </c>
      <c r="I1078" s="250">
        <f t="shared" si="35"/>
        <v>0.29918750000000005</v>
      </c>
    </row>
    <row r="1079" spans="2:9" x14ac:dyDescent="0.3">
      <c r="B1079" s="2">
        <v>3365</v>
      </c>
      <c r="C1079" s="41" t="s">
        <v>890</v>
      </c>
      <c r="D1079" s="2">
        <v>14</v>
      </c>
      <c r="E1079" s="2" t="s">
        <v>181</v>
      </c>
      <c r="F1079" s="294">
        <v>7802</v>
      </c>
      <c r="G1079" s="247">
        <v>9600</v>
      </c>
      <c r="H1079" s="295">
        <f t="shared" si="34"/>
        <v>1798</v>
      </c>
      <c r="I1079" s="250">
        <f t="shared" si="35"/>
        <v>0.18729166666666666</v>
      </c>
    </row>
    <row r="1080" spans="2:9" x14ac:dyDescent="0.3">
      <c r="B1080" s="2">
        <v>3366</v>
      </c>
      <c r="C1080" s="41" t="s">
        <v>891</v>
      </c>
      <c r="D1080" s="2">
        <v>14</v>
      </c>
      <c r="E1080" s="2" t="s">
        <v>12</v>
      </c>
      <c r="F1080" s="294">
        <v>13351.142900000001</v>
      </c>
      <c r="G1080" s="247">
        <v>16000</v>
      </c>
      <c r="H1080" s="295">
        <f t="shared" si="34"/>
        <v>2648.8570999999993</v>
      </c>
      <c r="I1080" s="250">
        <f t="shared" si="35"/>
        <v>0.16555356874999996</v>
      </c>
    </row>
    <row r="1081" spans="2:9" x14ac:dyDescent="0.3">
      <c r="B1081" s="2">
        <v>3367</v>
      </c>
      <c r="C1081" s="41" t="s">
        <v>1839</v>
      </c>
      <c r="D1081" s="2">
        <v>14</v>
      </c>
      <c r="E1081" s="2" t="s">
        <v>12</v>
      </c>
      <c r="F1081" s="294">
        <v>14391.178599999999</v>
      </c>
      <c r="G1081" s="247">
        <v>17866.666666666668</v>
      </c>
      <c r="H1081" s="295">
        <f t="shared" si="34"/>
        <v>3475.4880666666686</v>
      </c>
      <c r="I1081" s="250">
        <f t="shared" si="35"/>
        <v>0.19452358582089563</v>
      </c>
    </row>
    <row r="1082" spans="2:9" x14ac:dyDescent="0.3">
      <c r="B1082" s="2">
        <v>3368</v>
      </c>
      <c r="C1082" s="41" t="s">
        <v>892</v>
      </c>
      <c r="D1082" s="2">
        <v>8</v>
      </c>
      <c r="E1082" s="2" t="s">
        <v>16</v>
      </c>
      <c r="F1082" s="294">
        <v>22208.15</v>
      </c>
      <c r="G1082" s="247">
        <v>27416.666666666668</v>
      </c>
      <c r="H1082" s="295">
        <f t="shared" si="34"/>
        <v>5208.5166666666664</v>
      </c>
      <c r="I1082" s="250">
        <f t="shared" si="35"/>
        <v>0.18997629179331305</v>
      </c>
    </row>
    <row r="1083" spans="2:9" x14ac:dyDescent="0.3">
      <c r="B1083" s="2">
        <v>3369</v>
      </c>
      <c r="C1083" s="41" t="s">
        <v>1840</v>
      </c>
      <c r="D1083" s="2">
        <v>8</v>
      </c>
      <c r="E1083" s="2" t="s">
        <v>419</v>
      </c>
      <c r="F1083" s="294">
        <v>84196.6</v>
      </c>
      <c r="G1083" s="247">
        <v>96366.666666666672</v>
      </c>
      <c r="H1083" s="295">
        <f t="shared" si="34"/>
        <v>12170.066666666666</v>
      </c>
      <c r="I1083" s="250">
        <f t="shared" si="35"/>
        <v>0.12628917329643721</v>
      </c>
    </row>
    <row r="1084" spans="2:9" x14ac:dyDescent="0.3">
      <c r="B1084" s="2">
        <v>3370</v>
      </c>
      <c r="C1084" s="41" t="s">
        <v>893</v>
      </c>
      <c r="D1084" s="2">
        <v>12</v>
      </c>
      <c r="E1084" s="2" t="s">
        <v>12</v>
      </c>
      <c r="F1084" s="294">
        <v>795375</v>
      </c>
      <c r="G1084" s="247">
        <v>875000</v>
      </c>
      <c r="H1084" s="295">
        <f t="shared" si="34"/>
        <v>79625</v>
      </c>
      <c r="I1084" s="250">
        <f t="shared" si="35"/>
        <v>9.0999999999999998E-2</v>
      </c>
    </row>
    <row r="1085" spans="2:9" x14ac:dyDescent="0.3">
      <c r="B1085" s="2">
        <v>3371</v>
      </c>
      <c r="C1085" s="41" t="s">
        <v>1841</v>
      </c>
      <c r="D1085" s="2">
        <v>12</v>
      </c>
      <c r="E1085" s="2" t="s">
        <v>12</v>
      </c>
      <c r="F1085" s="294">
        <v>1419500</v>
      </c>
      <c r="G1085" s="247">
        <v>1580000</v>
      </c>
      <c r="H1085" s="295">
        <f t="shared" si="34"/>
        <v>160500</v>
      </c>
      <c r="I1085" s="250">
        <f t="shared" si="35"/>
        <v>0.10158227848101266</v>
      </c>
    </row>
    <row r="1086" spans="2:9" x14ac:dyDescent="0.3">
      <c r="B1086" s="2">
        <v>3372</v>
      </c>
      <c r="C1086" s="41" t="s">
        <v>1842</v>
      </c>
      <c r="D1086" s="2">
        <v>12</v>
      </c>
      <c r="E1086" s="2" t="s">
        <v>12</v>
      </c>
      <c r="F1086" s="294">
        <v>1323402</v>
      </c>
      <c r="G1086" s="247">
        <v>1525000</v>
      </c>
      <c r="H1086" s="295">
        <f t="shared" si="34"/>
        <v>201598</v>
      </c>
      <c r="I1086" s="250">
        <f t="shared" si="35"/>
        <v>0.13219540983606556</v>
      </c>
    </row>
    <row r="1087" spans="2:9" x14ac:dyDescent="0.3">
      <c r="B1087" s="2">
        <v>3373</v>
      </c>
      <c r="C1087" s="41" t="s">
        <v>1843</v>
      </c>
      <c r="D1087" s="2">
        <v>12</v>
      </c>
      <c r="E1087" s="2" t="s">
        <v>12</v>
      </c>
      <c r="F1087" s="294">
        <v>1232437.5</v>
      </c>
      <c r="G1087" s="247">
        <v>1480000</v>
      </c>
      <c r="H1087" s="295">
        <f t="shared" si="34"/>
        <v>247562.5</v>
      </c>
      <c r="I1087" s="250">
        <f t="shared" si="35"/>
        <v>0.16727195945945947</v>
      </c>
    </row>
    <row r="1088" spans="2:9" x14ac:dyDescent="0.3">
      <c r="B1088" s="2">
        <v>3374</v>
      </c>
      <c r="C1088" s="41" t="s">
        <v>894</v>
      </c>
      <c r="D1088" s="2">
        <v>8</v>
      </c>
      <c r="E1088" s="2" t="s">
        <v>16</v>
      </c>
      <c r="F1088" s="294">
        <v>25740</v>
      </c>
      <c r="G1088" s="247">
        <v>31000</v>
      </c>
      <c r="H1088" s="295">
        <f t="shared" si="34"/>
        <v>5260</v>
      </c>
      <c r="I1088" s="250">
        <f t="shared" si="35"/>
        <v>0.16967741935483871</v>
      </c>
    </row>
    <row r="1089" spans="2:9" x14ac:dyDescent="0.3">
      <c r="B1089" s="2">
        <v>3375</v>
      </c>
      <c r="C1089" s="41" t="s">
        <v>1844</v>
      </c>
      <c r="D1089" s="2">
        <v>8</v>
      </c>
      <c r="E1089" s="2" t="s">
        <v>1845</v>
      </c>
      <c r="F1089" s="294">
        <v>363023.5</v>
      </c>
      <c r="G1089" s="247">
        <v>421666.66666666669</v>
      </c>
      <c r="H1089" s="295">
        <f t="shared" si="34"/>
        <v>58643.166666666686</v>
      </c>
      <c r="I1089" s="250">
        <f t="shared" si="35"/>
        <v>0.1390747035573123</v>
      </c>
    </row>
    <row r="1090" spans="2:9" x14ac:dyDescent="0.3">
      <c r="B1090" s="2">
        <v>3376</v>
      </c>
      <c r="C1090" s="41" t="s">
        <v>895</v>
      </c>
      <c r="D1090" s="2">
        <v>4</v>
      </c>
      <c r="E1090" s="2" t="s">
        <v>16</v>
      </c>
      <c r="F1090" s="294">
        <v>110000</v>
      </c>
      <c r="G1090" s="247">
        <v>133400</v>
      </c>
      <c r="H1090" s="295">
        <f t="shared" si="34"/>
        <v>23400</v>
      </c>
      <c r="I1090" s="250">
        <f t="shared" si="35"/>
        <v>0.17541229385307347</v>
      </c>
    </row>
    <row r="1091" spans="2:9" x14ac:dyDescent="0.3">
      <c r="B1091" s="2">
        <v>3378</v>
      </c>
      <c r="C1091" s="41" t="s">
        <v>896</v>
      </c>
      <c r="D1091" s="2">
        <v>14</v>
      </c>
      <c r="E1091" s="2" t="s">
        <v>12</v>
      </c>
      <c r="F1091" s="294">
        <v>21851</v>
      </c>
      <c r="G1091" s="247">
        <v>28600</v>
      </c>
      <c r="H1091" s="295">
        <f t="shared" si="34"/>
        <v>6749</v>
      </c>
      <c r="I1091" s="250">
        <f t="shared" si="35"/>
        <v>0.23597902097902099</v>
      </c>
    </row>
    <row r="1092" spans="2:9" x14ac:dyDescent="0.3">
      <c r="B1092" s="2">
        <v>3379</v>
      </c>
      <c r="C1092" s="41" t="s">
        <v>897</v>
      </c>
      <c r="D1092" s="2">
        <v>14</v>
      </c>
      <c r="E1092" s="2" t="s">
        <v>81</v>
      </c>
      <c r="F1092" s="294">
        <v>7930</v>
      </c>
      <c r="G1092" s="247">
        <v>10500</v>
      </c>
      <c r="H1092" s="295">
        <f t="shared" si="34"/>
        <v>2570</v>
      </c>
      <c r="I1092" s="250">
        <f t="shared" si="35"/>
        <v>0.24476190476190476</v>
      </c>
    </row>
    <row r="1093" spans="2:9" x14ac:dyDescent="0.3">
      <c r="B1093" s="2">
        <v>3380</v>
      </c>
      <c r="C1093" s="41" t="s">
        <v>898</v>
      </c>
      <c r="D1093" s="2">
        <v>14</v>
      </c>
      <c r="E1093" s="2" t="s">
        <v>81</v>
      </c>
      <c r="F1093" s="294">
        <v>37811</v>
      </c>
      <c r="G1093" s="247">
        <v>45000</v>
      </c>
      <c r="H1093" s="295">
        <f t="shared" si="34"/>
        <v>7189</v>
      </c>
      <c r="I1093" s="250">
        <f t="shared" si="35"/>
        <v>0.15975555555555557</v>
      </c>
    </row>
    <row r="1094" spans="2:9" x14ac:dyDescent="0.3">
      <c r="B1094" s="2">
        <v>3381</v>
      </c>
      <c r="C1094" s="41" t="s">
        <v>899</v>
      </c>
      <c r="D1094" s="2">
        <v>14</v>
      </c>
      <c r="E1094" s="2" t="s">
        <v>81</v>
      </c>
      <c r="F1094" s="294">
        <v>10987.2857</v>
      </c>
      <c r="G1094" s="247">
        <v>14500</v>
      </c>
      <c r="H1094" s="295">
        <f t="shared" si="34"/>
        <v>3512.7142999999996</v>
      </c>
      <c r="I1094" s="250">
        <f t="shared" si="35"/>
        <v>0.24225615862068964</v>
      </c>
    </row>
    <row r="1095" spans="2:9" x14ac:dyDescent="0.3">
      <c r="B1095" s="2">
        <v>3382</v>
      </c>
      <c r="C1095" s="41" t="s">
        <v>900</v>
      </c>
      <c r="D1095" s="2">
        <v>12</v>
      </c>
      <c r="E1095" s="2" t="s">
        <v>12</v>
      </c>
      <c r="F1095" s="294">
        <v>2050</v>
      </c>
      <c r="G1095" s="247">
        <v>2500</v>
      </c>
      <c r="H1095" s="295">
        <f t="shared" si="34"/>
        <v>450</v>
      </c>
      <c r="I1095" s="250">
        <f t="shared" si="35"/>
        <v>0.18</v>
      </c>
    </row>
    <row r="1096" spans="2:9" x14ac:dyDescent="0.3">
      <c r="B1096" s="2">
        <v>3383</v>
      </c>
      <c r="C1096" s="41" t="s">
        <v>901</v>
      </c>
      <c r="D1096" s="2">
        <v>12</v>
      </c>
      <c r="E1096" s="2" t="s">
        <v>12</v>
      </c>
      <c r="F1096" s="294">
        <v>1231.6500000000001</v>
      </c>
      <c r="G1096" s="247">
        <v>1800</v>
      </c>
      <c r="H1096" s="295">
        <f t="shared" si="34"/>
        <v>568.34999999999991</v>
      </c>
      <c r="I1096" s="250">
        <f t="shared" si="35"/>
        <v>0.31574999999999998</v>
      </c>
    </row>
    <row r="1097" spans="2:9" x14ac:dyDescent="0.3">
      <c r="B1097" s="2">
        <v>3384</v>
      </c>
      <c r="C1097" s="41" t="s">
        <v>902</v>
      </c>
      <c r="D1097" s="2">
        <v>12</v>
      </c>
      <c r="E1097" s="2" t="s">
        <v>12</v>
      </c>
      <c r="F1097" s="294">
        <v>4289.95</v>
      </c>
      <c r="G1097" s="247">
        <v>5800</v>
      </c>
      <c r="H1097" s="295">
        <f t="shared" si="34"/>
        <v>1510.0500000000002</v>
      </c>
      <c r="I1097" s="250">
        <f t="shared" si="35"/>
        <v>0.2603534482758621</v>
      </c>
    </row>
    <row r="1098" spans="2:9" x14ac:dyDescent="0.3">
      <c r="B1098" s="2">
        <v>3385</v>
      </c>
      <c r="C1098" s="41" t="s">
        <v>903</v>
      </c>
      <c r="D1098" s="2">
        <v>12</v>
      </c>
      <c r="E1098" s="2" t="s">
        <v>12</v>
      </c>
      <c r="F1098" s="294">
        <v>3117.8</v>
      </c>
      <c r="G1098" s="247">
        <v>4000</v>
      </c>
      <c r="H1098" s="295">
        <f t="shared" si="34"/>
        <v>882.19999999999982</v>
      </c>
      <c r="I1098" s="250">
        <f t="shared" si="35"/>
        <v>0.22054999999999997</v>
      </c>
    </row>
    <row r="1099" spans="2:9" x14ac:dyDescent="0.3">
      <c r="B1099" s="2">
        <v>3386</v>
      </c>
      <c r="C1099" s="41" t="s">
        <v>904</v>
      </c>
      <c r="D1099" s="2">
        <v>12</v>
      </c>
      <c r="E1099" s="2" t="s">
        <v>12</v>
      </c>
      <c r="F1099" s="294">
        <v>3628.31</v>
      </c>
      <c r="G1099" s="247">
        <v>5200</v>
      </c>
      <c r="H1099" s="295">
        <f t="shared" si="34"/>
        <v>1571.69</v>
      </c>
      <c r="I1099" s="250">
        <f t="shared" si="35"/>
        <v>0.30224807692307692</v>
      </c>
    </row>
    <row r="1100" spans="2:9" x14ac:dyDescent="0.3">
      <c r="B1100" s="2">
        <v>3387</v>
      </c>
      <c r="C1100" s="41" t="s">
        <v>905</v>
      </c>
      <c r="D1100" s="2">
        <v>12</v>
      </c>
      <c r="E1100" s="2" t="s">
        <v>12</v>
      </c>
      <c r="F1100" s="294">
        <v>6534.29</v>
      </c>
      <c r="G1100" s="247">
        <v>8200</v>
      </c>
      <c r="H1100" s="295">
        <f t="shared" si="34"/>
        <v>1665.71</v>
      </c>
      <c r="I1100" s="250">
        <f t="shared" si="35"/>
        <v>0.20313536585365854</v>
      </c>
    </row>
    <row r="1101" spans="2:9" x14ac:dyDescent="0.3">
      <c r="B1101" s="2">
        <v>3388</v>
      </c>
      <c r="C1101" s="41" t="s">
        <v>906</v>
      </c>
      <c r="D1101" s="2">
        <v>12</v>
      </c>
      <c r="E1101" s="2" t="s">
        <v>12</v>
      </c>
      <c r="F1101" s="294">
        <v>2097.9699999999998</v>
      </c>
      <c r="G1101" s="247">
        <v>2600</v>
      </c>
      <c r="H1101" s="295">
        <f t="shared" si="34"/>
        <v>502.0300000000002</v>
      </c>
      <c r="I1101" s="250">
        <f t="shared" si="35"/>
        <v>0.19308846153846163</v>
      </c>
    </row>
    <row r="1102" spans="2:9" x14ac:dyDescent="0.3">
      <c r="B1102" s="2">
        <v>3389</v>
      </c>
      <c r="C1102" s="41" t="s">
        <v>907</v>
      </c>
      <c r="D1102" s="2">
        <v>12</v>
      </c>
      <c r="E1102" s="2" t="s">
        <v>12</v>
      </c>
      <c r="F1102" s="294">
        <v>9800</v>
      </c>
      <c r="G1102" s="247">
        <v>12000</v>
      </c>
      <c r="H1102" s="295">
        <f t="shared" si="34"/>
        <v>2200</v>
      </c>
      <c r="I1102" s="250">
        <f t="shared" si="35"/>
        <v>0.18333333333333332</v>
      </c>
    </row>
    <row r="1103" spans="2:9" x14ac:dyDescent="0.3">
      <c r="B1103" s="2">
        <v>3390</v>
      </c>
      <c r="C1103" s="41" t="s">
        <v>908</v>
      </c>
      <c r="D1103" s="2">
        <v>12</v>
      </c>
      <c r="E1103" s="2" t="s">
        <v>12</v>
      </c>
      <c r="F1103" s="294">
        <v>13779.01</v>
      </c>
      <c r="G1103" s="247">
        <v>16800</v>
      </c>
      <c r="H1103" s="295">
        <f t="shared" si="34"/>
        <v>3020.99</v>
      </c>
      <c r="I1103" s="250">
        <f t="shared" si="35"/>
        <v>0.17982083333333332</v>
      </c>
    </row>
    <row r="1104" spans="2:9" x14ac:dyDescent="0.3">
      <c r="B1104" s="2">
        <v>3391</v>
      </c>
      <c r="C1104" s="41" t="s">
        <v>909</v>
      </c>
      <c r="D1104" s="2">
        <v>12</v>
      </c>
      <c r="E1104" s="2" t="s">
        <v>12</v>
      </c>
      <c r="F1104" s="294">
        <v>1625.54</v>
      </c>
      <c r="G1104" s="247">
        <v>2200</v>
      </c>
      <c r="H1104" s="295">
        <f t="shared" si="34"/>
        <v>574.46</v>
      </c>
      <c r="I1104" s="250">
        <f t="shared" si="35"/>
        <v>0.26111818181818186</v>
      </c>
    </row>
    <row r="1105" spans="2:9" x14ac:dyDescent="0.3">
      <c r="B1105" s="2">
        <v>3392</v>
      </c>
      <c r="C1105" s="41" t="s">
        <v>910</v>
      </c>
      <c r="D1105" s="2">
        <v>12</v>
      </c>
      <c r="E1105" s="2" t="s">
        <v>12</v>
      </c>
      <c r="F1105" s="294">
        <v>1625.54</v>
      </c>
      <c r="G1105" s="247">
        <v>2500</v>
      </c>
      <c r="H1105" s="295">
        <f t="shared" si="34"/>
        <v>874.46</v>
      </c>
      <c r="I1105" s="250">
        <f t="shared" si="35"/>
        <v>0.34978400000000004</v>
      </c>
    </row>
    <row r="1106" spans="2:9" x14ac:dyDescent="0.3">
      <c r="B1106" s="2">
        <v>3393</v>
      </c>
      <c r="C1106" s="41" t="s">
        <v>911</v>
      </c>
      <c r="D1106" s="2">
        <v>12</v>
      </c>
      <c r="E1106" s="2" t="s">
        <v>12</v>
      </c>
      <c r="F1106" s="294">
        <v>11163.39</v>
      </c>
      <c r="G1106" s="247">
        <v>13400</v>
      </c>
      <c r="H1106" s="295">
        <f t="shared" si="34"/>
        <v>2236.6100000000006</v>
      </c>
      <c r="I1106" s="250">
        <f t="shared" si="35"/>
        <v>0.1669111940298508</v>
      </c>
    </row>
    <row r="1107" spans="2:9" x14ac:dyDescent="0.3">
      <c r="B1107" s="2">
        <v>3394</v>
      </c>
      <c r="C1107" s="41" t="s">
        <v>912</v>
      </c>
      <c r="D1107" s="2">
        <v>12</v>
      </c>
      <c r="E1107" s="2" t="s">
        <v>12</v>
      </c>
      <c r="F1107" s="294">
        <v>2381.19</v>
      </c>
      <c r="G1107" s="247">
        <v>3000</v>
      </c>
      <c r="H1107" s="295">
        <f t="shared" si="34"/>
        <v>618.80999999999995</v>
      </c>
      <c r="I1107" s="250">
        <f t="shared" si="35"/>
        <v>0.20626999999999998</v>
      </c>
    </row>
    <row r="1108" spans="2:9" x14ac:dyDescent="0.3">
      <c r="B1108" s="2">
        <v>3395</v>
      </c>
      <c r="C1108" s="41" t="s">
        <v>914</v>
      </c>
      <c r="D1108" s="2">
        <v>12</v>
      </c>
      <c r="E1108" s="2" t="s">
        <v>12</v>
      </c>
      <c r="F1108" s="294">
        <v>821.1</v>
      </c>
      <c r="G1108" s="247">
        <v>1200</v>
      </c>
      <c r="H1108" s="295">
        <f t="shared" si="34"/>
        <v>378.9</v>
      </c>
      <c r="I1108" s="250">
        <f t="shared" si="35"/>
        <v>0.31574999999999998</v>
      </c>
    </row>
    <row r="1109" spans="2:9" x14ac:dyDescent="0.3">
      <c r="B1109" s="2">
        <v>3396</v>
      </c>
      <c r="C1109" s="41" t="s">
        <v>915</v>
      </c>
      <c r="D1109" s="2">
        <v>12</v>
      </c>
      <c r="E1109" s="2" t="s">
        <v>12</v>
      </c>
      <c r="F1109" s="294">
        <v>7652.89</v>
      </c>
      <c r="G1109" s="247">
        <v>10500</v>
      </c>
      <c r="H1109" s="295">
        <f t="shared" si="34"/>
        <v>2847.1099999999997</v>
      </c>
      <c r="I1109" s="250">
        <f t="shared" si="35"/>
        <v>0.2711533333333333</v>
      </c>
    </row>
    <row r="1110" spans="2:9" x14ac:dyDescent="0.3">
      <c r="B1110" s="2">
        <v>3397</v>
      </c>
      <c r="C1110" s="41" t="s">
        <v>916</v>
      </c>
      <c r="D1110" s="2">
        <v>12</v>
      </c>
      <c r="E1110" s="2" t="s">
        <v>12</v>
      </c>
      <c r="F1110" s="294">
        <v>70388.5</v>
      </c>
      <c r="G1110" s="247">
        <v>85500</v>
      </c>
      <c r="H1110" s="295">
        <f t="shared" si="34"/>
        <v>15111.5</v>
      </c>
      <c r="I1110" s="250">
        <f t="shared" si="35"/>
        <v>0.17674269005847953</v>
      </c>
    </row>
    <row r="1111" spans="2:9" x14ac:dyDescent="0.3">
      <c r="B1111" s="2">
        <v>3398</v>
      </c>
      <c r="C1111" s="41" t="s">
        <v>917</v>
      </c>
      <c r="D1111" s="2">
        <v>12</v>
      </c>
      <c r="E1111" s="2" t="s">
        <v>12</v>
      </c>
      <c r="F1111" s="294">
        <v>15522.36</v>
      </c>
      <c r="G1111" s="247">
        <v>18000</v>
      </c>
      <c r="H1111" s="295">
        <f t="shared" si="34"/>
        <v>2477.6399999999994</v>
      </c>
      <c r="I1111" s="250">
        <f t="shared" si="35"/>
        <v>0.13764666666666664</v>
      </c>
    </row>
    <row r="1112" spans="2:9" x14ac:dyDescent="0.3">
      <c r="B1112" s="2">
        <v>3399</v>
      </c>
      <c r="C1112" s="41" t="s">
        <v>918</v>
      </c>
      <c r="D1112" s="2">
        <v>12</v>
      </c>
      <c r="E1112" s="2" t="s">
        <v>12</v>
      </c>
      <c r="F1112" s="294">
        <v>1774.29</v>
      </c>
      <c r="G1112" s="247">
        <v>2500</v>
      </c>
      <c r="H1112" s="295">
        <f t="shared" si="34"/>
        <v>725.71</v>
      </c>
      <c r="I1112" s="250">
        <f t="shared" si="35"/>
        <v>0.29028400000000004</v>
      </c>
    </row>
    <row r="1113" spans="2:9" x14ac:dyDescent="0.3">
      <c r="B1113" s="2">
        <v>3400</v>
      </c>
      <c r="C1113" s="41" t="s">
        <v>919</v>
      </c>
      <c r="D1113" s="2">
        <v>12</v>
      </c>
      <c r="E1113" s="2" t="s">
        <v>12</v>
      </c>
      <c r="F1113" s="294">
        <v>1579.13</v>
      </c>
      <c r="G1113" s="247">
        <v>2500</v>
      </c>
      <c r="H1113" s="295">
        <f t="shared" si="34"/>
        <v>920.86999999999989</v>
      </c>
      <c r="I1113" s="250">
        <f t="shared" si="35"/>
        <v>0.36834799999999995</v>
      </c>
    </row>
    <row r="1114" spans="2:9" x14ac:dyDescent="0.3">
      <c r="B1114" s="2">
        <v>3401</v>
      </c>
      <c r="C1114" s="41" t="s">
        <v>1846</v>
      </c>
      <c r="D1114" s="2">
        <v>12</v>
      </c>
      <c r="E1114" s="2" t="s">
        <v>12</v>
      </c>
      <c r="F1114" s="294">
        <v>38600</v>
      </c>
      <c r="G1114" s="247">
        <v>46000</v>
      </c>
      <c r="H1114" s="295">
        <f t="shared" si="34"/>
        <v>7400</v>
      </c>
      <c r="I1114" s="250">
        <f t="shared" si="35"/>
        <v>0.16086956521739129</v>
      </c>
    </row>
    <row r="1115" spans="2:9" x14ac:dyDescent="0.3">
      <c r="B1115" s="2">
        <v>3402</v>
      </c>
      <c r="C1115" s="41" t="s">
        <v>920</v>
      </c>
      <c r="D1115" s="2">
        <v>12</v>
      </c>
      <c r="E1115" s="2" t="s">
        <v>12</v>
      </c>
      <c r="F1115" s="294">
        <v>9892.1299999999992</v>
      </c>
      <c r="G1115" s="247">
        <v>10500</v>
      </c>
      <c r="H1115" s="295">
        <f t="shared" si="34"/>
        <v>607.8700000000008</v>
      </c>
      <c r="I1115" s="250">
        <f t="shared" si="35"/>
        <v>5.7892380952381028E-2</v>
      </c>
    </row>
    <row r="1116" spans="2:9" x14ac:dyDescent="0.3">
      <c r="B1116" s="2">
        <v>3403</v>
      </c>
      <c r="C1116" s="41" t="s">
        <v>1847</v>
      </c>
      <c r="D1116" s="2">
        <v>12</v>
      </c>
      <c r="E1116" s="2" t="s">
        <v>12</v>
      </c>
      <c r="F1116" s="294">
        <v>1880.5967000000001</v>
      </c>
      <c r="G1116" s="247">
        <v>2500</v>
      </c>
      <c r="H1116" s="295">
        <f t="shared" si="34"/>
        <v>619.40329999999994</v>
      </c>
      <c r="I1116" s="250">
        <f t="shared" si="35"/>
        <v>0.24776131999999998</v>
      </c>
    </row>
    <row r="1117" spans="2:9" x14ac:dyDescent="0.3">
      <c r="B1117" s="2">
        <v>3404</v>
      </c>
      <c r="C1117" s="41" t="s">
        <v>921</v>
      </c>
      <c r="D1117" s="2">
        <v>12</v>
      </c>
      <c r="E1117" s="2" t="s">
        <v>12</v>
      </c>
      <c r="F1117" s="294">
        <v>3332</v>
      </c>
      <c r="G1117" s="247">
        <v>3916.6666666666665</v>
      </c>
      <c r="H1117" s="295">
        <f t="shared" si="34"/>
        <v>584.66666666666652</v>
      </c>
      <c r="I1117" s="250">
        <f t="shared" si="35"/>
        <v>0.14927659574468083</v>
      </c>
    </row>
    <row r="1118" spans="2:9" x14ac:dyDescent="0.3">
      <c r="B1118" s="2">
        <v>3405</v>
      </c>
      <c r="C1118" s="41" t="s">
        <v>1848</v>
      </c>
      <c r="D1118" s="2">
        <v>12</v>
      </c>
      <c r="E1118" s="2" t="s">
        <v>12</v>
      </c>
      <c r="F1118" s="294">
        <v>2894.08</v>
      </c>
      <c r="G1118" s="247">
        <v>3500</v>
      </c>
      <c r="H1118" s="295">
        <f t="shared" si="34"/>
        <v>605.92000000000007</v>
      </c>
      <c r="I1118" s="250">
        <f t="shared" si="35"/>
        <v>0.17312000000000002</v>
      </c>
    </row>
    <row r="1119" spans="2:9" x14ac:dyDescent="0.3">
      <c r="B1119" s="2">
        <v>3406</v>
      </c>
      <c r="C1119" s="41" t="s">
        <v>922</v>
      </c>
      <c r="D1119" s="2">
        <v>12</v>
      </c>
      <c r="E1119" s="2" t="s">
        <v>12</v>
      </c>
      <c r="F1119" s="294">
        <v>4194.75</v>
      </c>
      <c r="G1119" s="247">
        <v>6500</v>
      </c>
      <c r="H1119" s="295">
        <f t="shared" si="34"/>
        <v>2305.25</v>
      </c>
      <c r="I1119" s="250">
        <f t="shared" si="35"/>
        <v>0.35465384615384615</v>
      </c>
    </row>
    <row r="1120" spans="2:9" x14ac:dyDescent="0.3">
      <c r="B1120" s="2">
        <v>3407</v>
      </c>
      <c r="C1120" s="41" t="s">
        <v>923</v>
      </c>
      <c r="D1120" s="2">
        <v>12</v>
      </c>
      <c r="E1120" s="2" t="s">
        <v>12</v>
      </c>
      <c r="F1120" s="294">
        <v>5087.25</v>
      </c>
      <c r="G1120" s="247">
        <v>6800</v>
      </c>
      <c r="H1120" s="295">
        <f t="shared" si="34"/>
        <v>1712.75</v>
      </c>
      <c r="I1120" s="250">
        <f t="shared" si="35"/>
        <v>0.25187500000000002</v>
      </c>
    </row>
    <row r="1121" spans="2:9" x14ac:dyDescent="0.3">
      <c r="B1121" s="2">
        <v>3408</v>
      </c>
      <c r="C1121" s="41" t="s">
        <v>924</v>
      </c>
      <c r="D1121" s="2">
        <v>12</v>
      </c>
      <c r="E1121" s="2" t="s">
        <v>12</v>
      </c>
      <c r="F1121" s="294">
        <v>6158.25</v>
      </c>
      <c r="G1121" s="247">
        <v>7500</v>
      </c>
      <c r="H1121" s="295">
        <f t="shared" si="34"/>
        <v>1341.75</v>
      </c>
      <c r="I1121" s="250">
        <f t="shared" si="35"/>
        <v>0.1789</v>
      </c>
    </row>
    <row r="1122" spans="2:9" x14ac:dyDescent="0.3">
      <c r="B1122" s="2">
        <v>3409</v>
      </c>
      <c r="C1122" s="41" t="s">
        <v>925</v>
      </c>
      <c r="D1122" s="2">
        <v>12</v>
      </c>
      <c r="E1122" s="2" t="s">
        <v>12</v>
      </c>
      <c r="F1122" s="294">
        <v>6426</v>
      </c>
      <c r="G1122" s="247">
        <v>7000</v>
      </c>
      <c r="H1122" s="295">
        <f t="shared" si="34"/>
        <v>574</v>
      </c>
      <c r="I1122" s="250">
        <f t="shared" si="35"/>
        <v>8.2000000000000003E-2</v>
      </c>
    </row>
    <row r="1123" spans="2:9" x14ac:dyDescent="0.3">
      <c r="B1123" s="2">
        <v>3410</v>
      </c>
      <c r="C1123" s="41" t="s">
        <v>926</v>
      </c>
      <c r="D1123" s="2">
        <v>12</v>
      </c>
      <c r="E1123" s="2" t="s">
        <v>12</v>
      </c>
      <c r="F1123" s="294">
        <v>18117.75</v>
      </c>
      <c r="G1123" s="247">
        <v>19600</v>
      </c>
      <c r="H1123" s="295">
        <f t="shared" si="34"/>
        <v>1482.25</v>
      </c>
      <c r="I1123" s="250">
        <f t="shared" si="35"/>
        <v>7.5624999999999998E-2</v>
      </c>
    </row>
    <row r="1124" spans="2:9" x14ac:dyDescent="0.3">
      <c r="B1124" s="2">
        <v>3411</v>
      </c>
      <c r="C1124" s="41" t="s">
        <v>927</v>
      </c>
      <c r="D1124" s="2">
        <v>12</v>
      </c>
      <c r="E1124" s="2" t="s">
        <v>12</v>
      </c>
      <c r="F1124" s="294">
        <v>3900</v>
      </c>
      <c r="G1124" s="247">
        <v>4500</v>
      </c>
      <c r="H1124" s="295">
        <f t="shared" si="34"/>
        <v>600</v>
      </c>
      <c r="I1124" s="250">
        <f t="shared" si="35"/>
        <v>0.13333333333333333</v>
      </c>
    </row>
    <row r="1125" spans="2:9" x14ac:dyDescent="0.3">
      <c r="B1125" s="2">
        <v>3412</v>
      </c>
      <c r="C1125" s="41" t="s">
        <v>928</v>
      </c>
      <c r="D1125" s="2">
        <v>12</v>
      </c>
      <c r="E1125" s="2" t="s">
        <v>12</v>
      </c>
      <c r="F1125" s="294">
        <v>1500</v>
      </c>
      <c r="G1125" s="247">
        <v>2500</v>
      </c>
      <c r="H1125" s="295">
        <f t="shared" si="34"/>
        <v>1000</v>
      </c>
      <c r="I1125" s="250">
        <f t="shared" si="35"/>
        <v>0.4</v>
      </c>
    </row>
    <row r="1126" spans="2:9" x14ac:dyDescent="0.3">
      <c r="B1126" s="2">
        <v>3413</v>
      </c>
      <c r="C1126" s="41" t="s">
        <v>929</v>
      </c>
      <c r="D1126" s="2">
        <v>12</v>
      </c>
      <c r="E1126" s="2" t="s">
        <v>12</v>
      </c>
      <c r="F1126" s="294">
        <v>615.23</v>
      </c>
      <c r="G1126" s="247">
        <v>1200</v>
      </c>
      <c r="H1126" s="295">
        <f t="shared" si="34"/>
        <v>584.77</v>
      </c>
      <c r="I1126" s="250">
        <f t="shared" si="35"/>
        <v>0.48730833333333334</v>
      </c>
    </row>
    <row r="1127" spans="2:9" x14ac:dyDescent="0.3">
      <c r="B1127" s="2">
        <v>3414</v>
      </c>
      <c r="C1127" s="41" t="s">
        <v>930</v>
      </c>
      <c r="D1127" s="2">
        <v>12</v>
      </c>
      <c r="E1127" s="2" t="s">
        <v>12</v>
      </c>
      <c r="F1127" s="294">
        <v>6564.04</v>
      </c>
      <c r="G1127" s="247">
        <v>6800</v>
      </c>
      <c r="H1127" s="295">
        <f t="shared" si="34"/>
        <v>235.96000000000004</v>
      </c>
      <c r="I1127" s="250">
        <f t="shared" si="35"/>
        <v>3.4700000000000009E-2</v>
      </c>
    </row>
    <row r="1128" spans="2:9" x14ac:dyDescent="0.3">
      <c r="B1128" s="2">
        <v>3415</v>
      </c>
      <c r="C1128" s="41" t="s">
        <v>931</v>
      </c>
      <c r="D1128" s="2">
        <v>2</v>
      </c>
      <c r="E1128" s="2" t="s">
        <v>10</v>
      </c>
      <c r="F1128" s="294">
        <v>103335.75</v>
      </c>
      <c r="G1128" s="247">
        <v>116250</v>
      </c>
      <c r="H1128" s="295">
        <f t="shared" ref="H1128:H1191" si="36">G1128-F1128</f>
        <v>12914.25</v>
      </c>
      <c r="I1128" s="250">
        <f t="shared" ref="I1128:I1191" si="37">H1128/G1128</f>
        <v>0.11109032258064516</v>
      </c>
    </row>
    <row r="1129" spans="2:9" x14ac:dyDescent="0.3">
      <c r="B1129" s="2">
        <v>3416</v>
      </c>
      <c r="C1129" s="41" t="s">
        <v>932</v>
      </c>
      <c r="D1129" s="2">
        <v>2</v>
      </c>
      <c r="E1129" s="2" t="s">
        <v>10</v>
      </c>
      <c r="F1129" s="294">
        <v>80514</v>
      </c>
      <c r="G1129" s="247">
        <v>90250</v>
      </c>
      <c r="H1129" s="295">
        <f t="shared" si="36"/>
        <v>9736</v>
      </c>
      <c r="I1129" s="250">
        <f t="shared" si="37"/>
        <v>0.1078781163434903</v>
      </c>
    </row>
    <row r="1130" spans="2:9" x14ac:dyDescent="0.3">
      <c r="B1130" s="2">
        <v>3417</v>
      </c>
      <c r="C1130" s="41" t="s">
        <v>1849</v>
      </c>
      <c r="D1130" s="2">
        <v>2</v>
      </c>
      <c r="E1130" s="2" t="s">
        <v>12</v>
      </c>
      <c r="F1130" s="294">
        <v>16350</v>
      </c>
      <c r="G1130" s="247">
        <v>19500</v>
      </c>
      <c r="H1130" s="295">
        <f t="shared" si="36"/>
        <v>3150</v>
      </c>
      <c r="I1130" s="250">
        <f t="shared" si="37"/>
        <v>0.16153846153846155</v>
      </c>
    </row>
    <row r="1131" spans="2:9" x14ac:dyDescent="0.3">
      <c r="B1131" s="2">
        <v>3419</v>
      </c>
      <c r="C1131" s="41" t="s">
        <v>1850</v>
      </c>
      <c r="D1131" s="2">
        <v>12</v>
      </c>
      <c r="E1131" s="2" t="s">
        <v>12</v>
      </c>
      <c r="F1131" s="294">
        <v>10900</v>
      </c>
      <c r="G1131" s="247">
        <v>13933.333333333334</v>
      </c>
      <c r="H1131" s="295">
        <f t="shared" si="36"/>
        <v>3033.3333333333339</v>
      </c>
      <c r="I1131" s="250">
        <f t="shared" si="37"/>
        <v>0.21770334928229668</v>
      </c>
    </row>
    <row r="1132" spans="2:9" x14ac:dyDescent="0.3">
      <c r="B1132" s="2">
        <v>3420</v>
      </c>
      <c r="C1132" s="41" t="s">
        <v>1851</v>
      </c>
      <c r="D1132" s="2">
        <v>12</v>
      </c>
      <c r="E1132" s="2" t="s">
        <v>12</v>
      </c>
      <c r="F1132" s="294">
        <v>40499.999900000003</v>
      </c>
      <c r="G1132" s="247">
        <v>45200</v>
      </c>
      <c r="H1132" s="295">
        <f t="shared" si="36"/>
        <v>4700.0000999999975</v>
      </c>
      <c r="I1132" s="250">
        <f t="shared" si="37"/>
        <v>0.10398230309734507</v>
      </c>
    </row>
    <row r="1133" spans="2:9" x14ac:dyDescent="0.3">
      <c r="B1133" s="2">
        <v>3421</v>
      </c>
      <c r="C1133" s="41" t="s">
        <v>933</v>
      </c>
      <c r="D1133" s="2">
        <v>12</v>
      </c>
      <c r="E1133" s="2" t="s">
        <v>12</v>
      </c>
      <c r="F1133" s="294">
        <v>6299.9998999999998</v>
      </c>
      <c r="G1133" s="247">
        <v>8500</v>
      </c>
      <c r="H1133" s="295">
        <f t="shared" si="36"/>
        <v>2200.0001000000002</v>
      </c>
      <c r="I1133" s="250">
        <f t="shared" si="37"/>
        <v>0.25882354117647061</v>
      </c>
    </row>
    <row r="1134" spans="2:9" x14ac:dyDescent="0.3">
      <c r="B1134" s="2">
        <v>3422</v>
      </c>
      <c r="C1134" s="41" t="s">
        <v>934</v>
      </c>
      <c r="D1134" s="2">
        <v>12</v>
      </c>
      <c r="E1134" s="2" t="s">
        <v>12</v>
      </c>
      <c r="F1134" s="294">
        <v>32700</v>
      </c>
      <c r="G1134" s="247">
        <v>38600</v>
      </c>
      <c r="H1134" s="295">
        <f t="shared" si="36"/>
        <v>5900</v>
      </c>
      <c r="I1134" s="250">
        <f t="shared" si="37"/>
        <v>0.15284974093264247</v>
      </c>
    </row>
    <row r="1135" spans="2:9" x14ac:dyDescent="0.3">
      <c r="B1135" s="2">
        <v>3423</v>
      </c>
      <c r="C1135" s="41" t="s">
        <v>1852</v>
      </c>
      <c r="D1135" s="2">
        <v>12</v>
      </c>
      <c r="E1135" s="2" t="s">
        <v>12</v>
      </c>
      <c r="F1135" s="294">
        <v>38700</v>
      </c>
      <c r="G1135" s="247">
        <v>45200</v>
      </c>
      <c r="H1135" s="295">
        <f t="shared" si="36"/>
        <v>6500</v>
      </c>
      <c r="I1135" s="250">
        <f t="shared" si="37"/>
        <v>0.14380530973451328</v>
      </c>
    </row>
    <row r="1136" spans="2:9" x14ac:dyDescent="0.3">
      <c r="B1136" s="2">
        <v>3424</v>
      </c>
      <c r="C1136" s="41" t="s">
        <v>1853</v>
      </c>
      <c r="D1136" s="2">
        <v>4</v>
      </c>
      <c r="E1136" s="2" t="s">
        <v>12</v>
      </c>
      <c r="F1136" s="294">
        <v>34500</v>
      </c>
      <c r="G1136" s="247">
        <v>42500</v>
      </c>
      <c r="H1136" s="295">
        <f t="shared" si="36"/>
        <v>8000</v>
      </c>
      <c r="I1136" s="250">
        <f t="shared" si="37"/>
        <v>0.18823529411764706</v>
      </c>
    </row>
    <row r="1137" spans="2:9" x14ac:dyDescent="0.3">
      <c r="B1137" s="2">
        <v>3425</v>
      </c>
      <c r="C1137" s="41" t="s">
        <v>935</v>
      </c>
      <c r="D1137" s="2">
        <v>4</v>
      </c>
      <c r="E1137" s="2" t="s">
        <v>12</v>
      </c>
      <c r="F1137" s="294">
        <v>16800</v>
      </c>
      <c r="G1137" s="247">
        <v>20500</v>
      </c>
      <c r="H1137" s="295">
        <f t="shared" si="36"/>
        <v>3700</v>
      </c>
      <c r="I1137" s="250">
        <f t="shared" si="37"/>
        <v>0.18048780487804877</v>
      </c>
    </row>
    <row r="1138" spans="2:9" x14ac:dyDescent="0.3">
      <c r="B1138" s="2">
        <v>3426</v>
      </c>
      <c r="C1138" s="41" t="s">
        <v>936</v>
      </c>
      <c r="D1138" s="2">
        <v>5</v>
      </c>
      <c r="E1138" s="2" t="s">
        <v>12</v>
      </c>
      <c r="F1138" s="294">
        <v>981</v>
      </c>
      <c r="G1138" s="247">
        <v>1300</v>
      </c>
      <c r="H1138" s="295">
        <f t="shared" si="36"/>
        <v>319</v>
      </c>
      <c r="I1138" s="250">
        <f t="shared" si="37"/>
        <v>0.2453846153846154</v>
      </c>
    </row>
    <row r="1139" spans="2:9" x14ac:dyDescent="0.3">
      <c r="B1139" s="2">
        <v>3427</v>
      </c>
      <c r="C1139" s="41" t="s">
        <v>937</v>
      </c>
      <c r="D1139" s="2">
        <v>5</v>
      </c>
      <c r="E1139" s="2" t="s">
        <v>81</v>
      </c>
      <c r="F1139" s="294">
        <v>67000</v>
      </c>
      <c r="G1139" s="247">
        <v>80333.333333333328</v>
      </c>
      <c r="H1139" s="295">
        <f t="shared" si="36"/>
        <v>13333.333333333328</v>
      </c>
      <c r="I1139" s="250">
        <f t="shared" si="37"/>
        <v>0.16597510373443977</v>
      </c>
    </row>
    <row r="1140" spans="2:9" x14ac:dyDescent="0.3">
      <c r="B1140" s="2">
        <v>3428</v>
      </c>
      <c r="C1140" s="41" t="s">
        <v>938</v>
      </c>
      <c r="D1140" s="2">
        <v>5</v>
      </c>
      <c r="E1140" s="2" t="s">
        <v>913</v>
      </c>
      <c r="F1140" s="294">
        <v>278000</v>
      </c>
      <c r="G1140" s="247">
        <v>317000</v>
      </c>
      <c r="H1140" s="295">
        <f t="shared" si="36"/>
        <v>39000</v>
      </c>
      <c r="I1140" s="250">
        <f t="shared" si="37"/>
        <v>0.12302839116719243</v>
      </c>
    </row>
    <row r="1141" spans="2:9" x14ac:dyDescent="0.3">
      <c r="B1141" s="2">
        <v>3429</v>
      </c>
      <c r="C1141" s="41" t="s">
        <v>1854</v>
      </c>
      <c r="D1141" s="2">
        <v>4</v>
      </c>
      <c r="E1141" s="2" t="s">
        <v>35</v>
      </c>
      <c r="F1141" s="294">
        <v>13000</v>
      </c>
      <c r="G1141" s="247">
        <v>19750</v>
      </c>
      <c r="H1141" s="295">
        <f t="shared" si="36"/>
        <v>6750</v>
      </c>
      <c r="I1141" s="250">
        <f t="shared" si="37"/>
        <v>0.34177215189873417</v>
      </c>
    </row>
    <row r="1142" spans="2:9" x14ac:dyDescent="0.3">
      <c r="B1142" s="2">
        <v>3430</v>
      </c>
      <c r="C1142" s="41" t="s">
        <v>1855</v>
      </c>
      <c r="D1142" s="2">
        <v>6</v>
      </c>
      <c r="E1142" s="2" t="s">
        <v>81</v>
      </c>
      <c r="F1142" s="294">
        <v>184000</v>
      </c>
      <c r="G1142" s="247">
        <v>218000</v>
      </c>
      <c r="H1142" s="295">
        <f t="shared" si="36"/>
        <v>34000</v>
      </c>
      <c r="I1142" s="250">
        <f t="shared" si="37"/>
        <v>0.15596330275229359</v>
      </c>
    </row>
    <row r="1143" spans="2:9" x14ac:dyDescent="0.3">
      <c r="B1143" s="2">
        <v>3431</v>
      </c>
      <c r="C1143" s="41" t="s">
        <v>939</v>
      </c>
      <c r="D1143" s="2">
        <v>8</v>
      </c>
      <c r="E1143" s="2" t="s">
        <v>16</v>
      </c>
      <c r="F1143" s="294">
        <v>110891</v>
      </c>
      <c r="G1143" s="247">
        <v>128400</v>
      </c>
      <c r="H1143" s="295">
        <f t="shared" si="36"/>
        <v>17509</v>
      </c>
      <c r="I1143" s="250">
        <f t="shared" si="37"/>
        <v>0.13636292834890965</v>
      </c>
    </row>
    <row r="1144" spans="2:9" x14ac:dyDescent="0.3">
      <c r="B1144" s="2">
        <v>3432</v>
      </c>
      <c r="C1144" s="41" t="s">
        <v>940</v>
      </c>
      <c r="D1144" s="2">
        <v>6</v>
      </c>
      <c r="E1144" s="2" t="s">
        <v>12</v>
      </c>
      <c r="F1144" s="294">
        <v>275375.24</v>
      </c>
      <c r="G1144" s="247">
        <v>318333.33333333331</v>
      </c>
      <c r="H1144" s="295">
        <f t="shared" si="36"/>
        <v>42958.093333333323</v>
      </c>
      <c r="I1144" s="250">
        <f t="shared" si="37"/>
        <v>0.13494689005235599</v>
      </c>
    </row>
    <row r="1145" spans="2:9" x14ac:dyDescent="0.3">
      <c r="B1145" s="2">
        <v>3433</v>
      </c>
      <c r="C1145" s="41" t="s">
        <v>941</v>
      </c>
      <c r="D1145" s="2">
        <v>6</v>
      </c>
      <c r="E1145" s="2" t="s">
        <v>176</v>
      </c>
      <c r="F1145" s="294">
        <v>44816</v>
      </c>
      <c r="G1145" s="247">
        <v>52600</v>
      </c>
      <c r="H1145" s="295">
        <f t="shared" si="36"/>
        <v>7784</v>
      </c>
      <c r="I1145" s="250">
        <f t="shared" si="37"/>
        <v>0.14798479087452471</v>
      </c>
    </row>
    <row r="1146" spans="2:9" x14ac:dyDescent="0.3">
      <c r="B1146" s="2">
        <v>3434</v>
      </c>
      <c r="C1146" s="41" t="s">
        <v>1856</v>
      </c>
      <c r="D1146" s="2">
        <v>14</v>
      </c>
      <c r="E1146" s="2" t="s">
        <v>1857</v>
      </c>
      <c r="F1146" s="294">
        <v>17554.88</v>
      </c>
      <c r="G1146" s="247">
        <v>22000</v>
      </c>
      <c r="H1146" s="295">
        <f t="shared" si="36"/>
        <v>4445.119999999999</v>
      </c>
      <c r="I1146" s="250">
        <f t="shared" si="37"/>
        <v>0.20205090909090903</v>
      </c>
    </row>
    <row r="1147" spans="2:9" x14ac:dyDescent="0.3">
      <c r="B1147" s="2">
        <v>3435</v>
      </c>
      <c r="C1147" s="41" t="s">
        <v>942</v>
      </c>
      <c r="D1147" s="2">
        <v>8</v>
      </c>
      <c r="E1147" s="2" t="s">
        <v>5</v>
      </c>
      <c r="F1147" s="294">
        <v>64750</v>
      </c>
      <c r="G1147" s="247">
        <v>73983.333333333328</v>
      </c>
      <c r="H1147" s="295">
        <f t="shared" si="36"/>
        <v>9233.3333333333285</v>
      </c>
      <c r="I1147" s="250">
        <f t="shared" si="37"/>
        <v>0.12480288353232705</v>
      </c>
    </row>
    <row r="1148" spans="2:9" x14ac:dyDescent="0.3">
      <c r="B1148" s="2">
        <v>3436</v>
      </c>
      <c r="C1148" s="41" t="s">
        <v>1858</v>
      </c>
      <c r="D1148" s="2">
        <v>2</v>
      </c>
      <c r="E1148" s="2" t="s">
        <v>12</v>
      </c>
      <c r="F1148" s="294">
        <v>1880.0039999999999</v>
      </c>
      <c r="G1148" s="247">
        <v>2200</v>
      </c>
      <c r="H1148" s="295">
        <f t="shared" si="36"/>
        <v>319.99600000000009</v>
      </c>
      <c r="I1148" s="250">
        <f t="shared" si="37"/>
        <v>0.14545272727272732</v>
      </c>
    </row>
    <row r="1149" spans="2:9" x14ac:dyDescent="0.3">
      <c r="B1149" s="2">
        <v>3437</v>
      </c>
      <c r="C1149" s="41" t="s">
        <v>943</v>
      </c>
      <c r="D1149" s="2">
        <v>10</v>
      </c>
      <c r="E1149" s="2" t="s">
        <v>12</v>
      </c>
      <c r="F1149" s="294">
        <v>4708.3333000000002</v>
      </c>
      <c r="G1149" s="247">
        <v>5700</v>
      </c>
      <c r="H1149" s="295">
        <f t="shared" si="36"/>
        <v>991.66669999999976</v>
      </c>
      <c r="I1149" s="250">
        <f t="shared" si="37"/>
        <v>0.17397661403508768</v>
      </c>
    </row>
    <row r="1150" spans="2:9" x14ac:dyDescent="0.3">
      <c r="B1150" s="2">
        <v>3438</v>
      </c>
      <c r="C1150" s="41" t="s">
        <v>944</v>
      </c>
      <c r="D1150" s="2">
        <v>5</v>
      </c>
      <c r="E1150" s="2" t="s">
        <v>16</v>
      </c>
      <c r="F1150" s="294">
        <v>24702</v>
      </c>
      <c r="G1150" s="247">
        <v>32000</v>
      </c>
      <c r="H1150" s="295">
        <f t="shared" si="36"/>
        <v>7298</v>
      </c>
      <c r="I1150" s="250">
        <f t="shared" si="37"/>
        <v>0.2280625</v>
      </c>
    </row>
    <row r="1151" spans="2:9" x14ac:dyDescent="0.3">
      <c r="B1151" s="2">
        <v>3440</v>
      </c>
      <c r="C1151" s="41" t="s">
        <v>945</v>
      </c>
      <c r="D1151" s="2">
        <v>12</v>
      </c>
      <c r="E1151" s="2" t="s">
        <v>12</v>
      </c>
      <c r="F1151" s="294">
        <v>6200</v>
      </c>
      <c r="G1151" s="247">
        <v>9000</v>
      </c>
      <c r="H1151" s="295">
        <f t="shared" si="36"/>
        <v>2800</v>
      </c>
      <c r="I1151" s="250">
        <f t="shared" si="37"/>
        <v>0.31111111111111112</v>
      </c>
    </row>
    <row r="1152" spans="2:9" x14ac:dyDescent="0.3">
      <c r="B1152" s="2">
        <v>3441</v>
      </c>
      <c r="C1152" s="41" t="s">
        <v>946</v>
      </c>
      <c r="D1152" s="2">
        <v>12</v>
      </c>
      <c r="E1152" s="2" t="s">
        <v>500</v>
      </c>
      <c r="F1152" s="294">
        <v>7500</v>
      </c>
      <c r="G1152" s="247">
        <v>9000</v>
      </c>
      <c r="H1152" s="295">
        <f t="shared" si="36"/>
        <v>1500</v>
      </c>
      <c r="I1152" s="250">
        <f t="shared" si="37"/>
        <v>0.16666666666666666</v>
      </c>
    </row>
    <row r="1153" spans="2:9" x14ac:dyDescent="0.3">
      <c r="B1153" s="2">
        <v>3443</v>
      </c>
      <c r="C1153" s="41" t="s">
        <v>1859</v>
      </c>
      <c r="D1153" s="2">
        <v>2</v>
      </c>
      <c r="E1153" s="2" t="s">
        <v>12</v>
      </c>
      <c r="F1153" s="294">
        <v>188600</v>
      </c>
      <c r="G1153" s="247">
        <v>198500</v>
      </c>
      <c r="H1153" s="295">
        <f t="shared" si="36"/>
        <v>9900</v>
      </c>
      <c r="I1153" s="250">
        <f t="shared" si="37"/>
        <v>4.9874055415617131E-2</v>
      </c>
    </row>
    <row r="1154" spans="2:9" x14ac:dyDescent="0.3">
      <c r="B1154" s="2">
        <v>3444</v>
      </c>
      <c r="C1154" s="41" t="s">
        <v>1860</v>
      </c>
      <c r="D1154" s="2">
        <v>2</v>
      </c>
      <c r="E1154" s="2" t="s">
        <v>10</v>
      </c>
      <c r="F1154" s="294">
        <v>168945</v>
      </c>
      <c r="G1154" s="247">
        <v>176500</v>
      </c>
      <c r="H1154" s="295">
        <f t="shared" si="36"/>
        <v>7555</v>
      </c>
      <c r="I1154" s="250">
        <f t="shared" si="37"/>
        <v>4.2804532577903683E-2</v>
      </c>
    </row>
    <row r="1155" spans="2:9" x14ac:dyDescent="0.3">
      <c r="B1155" s="2">
        <v>3445</v>
      </c>
      <c r="C1155" s="41" t="s">
        <v>1861</v>
      </c>
      <c r="D1155" s="2">
        <v>2</v>
      </c>
      <c r="E1155" s="2" t="s">
        <v>12</v>
      </c>
      <c r="F1155" s="294">
        <v>152700</v>
      </c>
      <c r="G1155" s="247">
        <v>165000</v>
      </c>
      <c r="H1155" s="295">
        <f t="shared" si="36"/>
        <v>12300</v>
      </c>
      <c r="I1155" s="250">
        <f t="shared" si="37"/>
        <v>7.454545454545454E-2</v>
      </c>
    </row>
    <row r="1156" spans="2:9" x14ac:dyDescent="0.3">
      <c r="B1156" s="2">
        <v>3446</v>
      </c>
      <c r="C1156" s="41" t="s">
        <v>1862</v>
      </c>
      <c r="D1156" s="2">
        <v>7</v>
      </c>
      <c r="E1156" s="2" t="s">
        <v>12</v>
      </c>
      <c r="F1156" s="294">
        <v>1200</v>
      </c>
      <c r="G1156" s="247">
        <v>1500</v>
      </c>
      <c r="H1156" s="295">
        <f t="shared" si="36"/>
        <v>300</v>
      </c>
      <c r="I1156" s="250">
        <f t="shared" si="37"/>
        <v>0.2</v>
      </c>
    </row>
    <row r="1157" spans="2:9" x14ac:dyDescent="0.3">
      <c r="B1157" s="2">
        <v>3448</v>
      </c>
      <c r="C1157" s="41" t="s">
        <v>1863</v>
      </c>
      <c r="D1157" s="2">
        <v>1</v>
      </c>
      <c r="E1157" s="2" t="s">
        <v>237</v>
      </c>
      <c r="F1157" s="294">
        <v>92000</v>
      </c>
      <c r="G1157" s="247">
        <v>102000</v>
      </c>
      <c r="H1157" s="295">
        <f t="shared" si="36"/>
        <v>10000</v>
      </c>
      <c r="I1157" s="250">
        <f t="shared" si="37"/>
        <v>9.8039215686274508E-2</v>
      </c>
    </row>
    <row r="1158" spans="2:9" x14ac:dyDescent="0.3">
      <c r="B1158" s="2">
        <v>3449</v>
      </c>
      <c r="C1158" s="41" t="s">
        <v>947</v>
      </c>
      <c r="D1158" s="2">
        <v>12</v>
      </c>
      <c r="E1158" s="2" t="s">
        <v>12</v>
      </c>
      <c r="F1158" s="294">
        <v>27700</v>
      </c>
      <c r="G1158" s="247">
        <v>33000</v>
      </c>
      <c r="H1158" s="295">
        <f t="shared" si="36"/>
        <v>5300</v>
      </c>
      <c r="I1158" s="250">
        <f t="shared" si="37"/>
        <v>0.16060606060606061</v>
      </c>
    </row>
    <row r="1159" spans="2:9" x14ac:dyDescent="0.3">
      <c r="B1159" s="2">
        <v>3450</v>
      </c>
      <c r="C1159" s="41" t="s">
        <v>948</v>
      </c>
      <c r="D1159" s="2">
        <v>12</v>
      </c>
      <c r="E1159" s="2" t="s">
        <v>12</v>
      </c>
      <c r="F1159" s="294">
        <v>24000</v>
      </c>
      <c r="G1159" s="247">
        <v>32000</v>
      </c>
      <c r="H1159" s="295">
        <f t="shared" si="36"/>
        <v>8000</v>
      </c>
      <c r="I1159" s="250">
        <f t="shared" si="37"/>
        <v>0.25</v>
      </c>
    </row>
    <row r="1160" spans="2:9" x14ac:dyDescent="0.3">
      <c r="B1160" s="2">
        <v>3454</v>
      </c>
      <c r="C1160" s="41" t="s">
        <v>1864</v>
      </c>
      <c r="D1160" s="2">
        <v>14</v>
      </c>
      <c r="E1160" s="2" t="s">
        <v>12</v>
      </c>
      <c r="F1160" s="294">
        <v>32204</v>
      </c>
      <c r="G1160" s="247">
        <v>42000</v>
      </c>
      <c r="H1160" s="295">
        <f t="shared" si="36"/>
        <v>9796</v>
      </c>
      <c r="I1160" s="250">
        <f t="shared" si="37"/>
        <v>0.23323809523809524</v>
      </c>
    </row>
    <row r="1161" spans="2:9" x14ac:dyDescent="0.3">
      <c r="B1161" s="2">
        <v>3455</v>
      </c>
      <c r="C1161" s="41" t="s">
        <v>1865</v>
      </c>
      <c r="D1161" s="2">
        <v>14</v>
      </c>
      <c r="E1161" s="2" t="s">
        <v>12</v>
      </c>
      <c r="F1161" s="294">
        <v>24000</v>
      </c>
      <c r="G1161" s="247">
        <v>28000</v>
      </c>
      <c r="H1161" s="295">
        <f t="shared" si="36"/>
        <v>4000</v>
      </c>
      <c r="I1161" s="250">
        <f t="shared" si="37"/>
        <v>0.14285714285714285</v>
      </c>
    </row>
    <row r="1162" spans="2:9" x14ac:dyDescent="0.3">
      <c r="B1162" s="2">
        <v>3456</v>
      </c>
      <c r="C1162" s="41" t="s">
        <v>1866</v>
      </c>
      <c r="D1162" s="2">
        <v>6</v>
      </c>
      <c r="E1162" s="2" t="s">
        <v>12</v>
      </c>
      <c r="F1162" s="294">
        <v>41300</v>
      </c>
      <c r="G1162" s="247">
        <v>45000</v>
      </c>
      <c r="H1162" s="295">
        <f t="shared" si="36"/>
        <v>3700</v>
      </c>
      <c r="I1162" s="250">
        <f t="shared" si="37"/>
        <v>8.2222222222222224E-2</v>
      </c>
    </row>
    <row r="1163" spans="2:9" x14ac:dyDescent="0.3">
      <c r="B1163" s="2">
        <v>3457</v>
      </c>
      <c r="C1163" s="41" t="s">
        <v>1867</v>
      </c>
      <c r="D1163" s="2">
        <v>5</v>
      </c>
      <c r="E1163" s="2" t="s">
        <v>12</v>
      </c>
      <c r="F1163" s="294">
        <v>25750</v>
      </c>
      <c r="G1163" s="247">
        <v>32000</v>
      </c>
      <c r="H1163" s="295">
        <f t="shared" si="36"/>
        <v>6250</v>
      </c>
      <c r="I1163" s="250">
        <f t="shared" si="37"/>
        <v>0.1953125</v>
      </c>
    </row>
    <row r="1164" spans="2:9" x14ac:dyDescent="0.3">
      <c r="B1164" s="2">
        <v>3459</v>
      </c>
      <c r="C1164" s="41" t="s">
        <v>1868</v>
      </c>
      <c r="D1164" s="2">
        <v>7</v>
      </c>
      <c r="E1164" s="2" t="s">
        <v>12</v>
      </c>
      <c r="F1164" s="294">
        <v>12000</v>
      </c>
      <c r="G1164" s="247">
        <v>16500</v>
      </c>
      <c r="H1164" s="295">
        <f t="shared" si="36"/>
        <v>4500</v>
      </c>
      <c r="I1164" s="250">
        <f t="shared" si="37"/>
        <v>0.27272727272727271</v>
      </c>
    </row>
    <row r="1165" spans="2:9" x14ac:dyDescent="0.3">
      <c r="B1165" s="2">
        <v>3460</v>
      </c>
      <c r="C1165" s="41" t="s">
        <v>1869</v>
      </c>
      <c r="D1165" s="2">
        <v>9</v>
      </c>
      <c r="E1165" s="2" t="s">
        <v>12</v>
      </c>
      <c r="F1165" s="294">
        <v>35000</v>
      </c>
      <c r="G1165" s="247">
        <v>52000</v>
      </c>
      <c r="H1165" s="295">
        <f t="shared" si="36"/>
        <v>17000</v>
      </c>
      <c r="I1165" s="250">
        <f t="shared" si="37"/>
        <v>0.32692307692307693</v>
      </c>
    </row>
    <row r="1166" spans="2:9" x14ac:dyDescent="0.3">
      <c r="B1166" s="2">
        <v>3461</v>
      </c>
      <c r="C1166" s="41" t="s">
        <v>949</v>
      </c>
      <c r="D1166" s="2">
        <v>5</v>
      </c>
      <c r="E1166" s="2" t="s">
        <v>12</v>
      </c>
      <c r="F1166" s="294">
        <v>205000</v>
      </c>
      <c r="G1166" s="247">
        <v>258250</v>
      </c>
      <c r="H1166" s="295">
        <f t="shared" si="36"/>
        <v>53250</v>
      </c>
      <c r="I1166" s="250">
        <f t="shared" si="37"/>
        <v>0.20619554695062922</v>
      </c>
    </row>
    <row r="1167" spans="2:9" x14ac:dyDescent="0.3">
      <c r="B1167" s="2">
        <v>3462</v>
      </c>
      <c r="C1167" s="41" t="s">
        <v>1870</v>
      </c>
      <c r="D1167" s="2">
        <v>5</v>
      </c>
      <c r="E1167" s="2" t="s">
        <v>12</v>
      </c>
      <c r="F1167" s="294">
        <v>67800</v>
      </c>
      <c r="G1167" s="247">
        <v>76000</v>
      </c>
      <c r="H1167" s="295">
        <f t="shared" si="36"/>
        <v>8200</v>
      </c>
      <c r="I1167" s="250">
        <f t="shared" si="37"/>
        <v>0.10789473684210527</v>
      </c>
    </row>
    <row r="1168" spans="2:9" x14ac:dyDescent="0.3">
      <c r="B1168" s="2">
        <v>3466</v>
      </c>
      <c r="C1168" s="41" t="s">
        <v>1871</v>
      </c>
      <c r="D1168" s="2">
        <v>5</v>
      </c>
      <c r="E1168" s="2" t="s">
        <v>81</v>
      </c>
      <c r="F1168" s="294">
        <v>22799.9954</v>
      </c>
      <c r="G1168" s="247">
        <v>28000</v>
      </c>
      <c r="H1168" s="295">
        <f t="shared" si="36"/>
        <v>5200.0046000000002</v>
      </c>
      <c r="I1168" s="250">
        <f t="shared" si="37"/>
        <v>0.18571445</v>
      </c>
    </row>
    <row r="1169" spans="2:9" x14ac:dyDescent="0.3">
      <c r="B1169" s="2">
        <v>3468</v>
      </c>
      <c r="C1169" s="41" t="s">
        <v>950</v>
      </c>
      <c r="D1169" s="2">
        <v>5</v>
      </c>
      <c r="E1169" s="2" t="s">
        <v>16</v>
      </c>
      <c r="F1169" s="294">
        <v>108975</v>
      </c>
      <c r="G1169" s="247">
        <v>127000</v>
      </c>
      <c r="H1169" s="295">
        <f t="shared" si="36"/>
        <v>18025</v>
      </c>
      <c r="I1169" s="250">
        <f t="shared" si="37"/>
        <v>0.14192913385826772</v>
      </c>
    </row>
    <row r="1170" spans="2:9" x14ac:dyDescent="0.3">
      <c r="B1170" s="2">
        <v>3469</v>
      </c>
      <c r="C1170" s="41" t="s">
        <v>951</v>
      </c>
      <c r="D1170" s="2">
        <v>5</v>
      </c>
      <c r="E1170" s="2" t="s">
        <v>16</v>
      </c>
      <c r="F1170" s="294">
        <v>42112</v>
      </c>
      <c r="G1170" s="247">
        <v>49700</v>
      </c>
      <c r="H1170" s="295">
        <f t="shared" si="36"/>
        <v>7588</v>
      </c>
      <c r="I1170" s="250">
        <f t="shared" si="37"/>
        <v>0.15267605633802817</v>
      </c>
    </row>
    <row r="1171" spans="2:9" x14ac:dyDescent="0.3">
      <c r="B1171" s="2">
        <v>3470</v>
      </c>
      <c r="C1171" s="41" t="s">
        <v>952</v>
      </c>
      <c r="D1171" s="2">
        <v>6</v>
      </c>
      <c r="E1171" s="2" t="s">
        <v>16</v>
      </c>
      <c r="F1171" s="294">
        <v>133417.01999999999</v>
      </c>
      <c r="G1171" s="247">
        <v>158500</v>
      </c>
      <c r="H1171" s="295">
        <f t="shared" si="36"/>
        <v>25082.98000000001</v>
      </c>
      <c r="I1171" s="250">
        <f t="shared" si="37"/>
        <v>0.15825223974763414</v>
      </c>
    </row>
    <row r="1172" spans="2:9" x14ac:dyDescent="0.3">
      <c r="B1172" s="2">
        <v>3471</v>
      </c>
      <c r="C1172" s="41" t="s">
        <v>953</v>
      </c>
      <c r="D1172" s="2">
        <v>5</v>
      </c>
      <c r="E1172" s="2" t="s">
        <v>12</v>
      </c>
      <c r="F1172" s="294">
        <v>272800</v>
      </c>
      <c r="G1172" s="247">
        <v>272166.66666666669</v>
      </c>
      <c r="H1172" s="295">
        <f t="shared" si="36"/>
        <v>-633.33333333331393</v>
      </c>
      <c r="I1172" s="250">
        <f t="shared" si="37"/>
        <v>-2.327005511328771E-3</v>
      </c>
    </row>
    <row r="1173" spans="2:9" x14ac:dyDescent="0.3">
      <c r="B1173" s="2">
        <v>3472</v>
      </c>
      <c r="C1173" s="41" t="s">
        <v>954</v>
      </c>
      <c r="D1173" s="2">
        <v>13</v>
      </c>
      <c r="E1173" s="2" t="s">
        <v>12</v>
      </c>
      <c r="F1173" s="294">
        <v>23372.79</v>
      </c>
      <c r="G1173" s="247">
        <v>28000</v>
      </c>
      <c r="H1173" s="295">
        <f t="shared" si="36"/>
        <v>4627.2099999999991</v>
      </c>
      <c r="I1173" s="250">
        <f t="shared" si="37"/>
        <v>0.16525749999999997</v>
      </c>
    </row>
    <row r="1174" spans="2:9" x14ac:dyDescent="0.3">
      <c r="B1174" s="2">
        <v>3473</v>
      </c>
      <c r="C1174" s="41" t="s">
        <v>1872</v>
      </c>
      <c r="D1174" s="2">
        <v>2</v>
      </c>
      <c r="E1174" s="2" t="s">
        <v>12</v>
      </c>
      <c r="F1174" s="294">
        <v>3700.0005000000001</v>
      </c>
      <c r="G1174" s="247">
        <v>4200</v>
      </c>
      <c r="H1174" s="295">
        <f t="shared" si="36"/>
        <v>499.9994999999999</v>
      </c>
      <c r="I1174" s="250">
        <f t="shared" si="37"/>
        <v>0.11904749999999997</v>
      </c>
    </row>
    <row r="1175" spans="2:9" x14ac:dyDescent="0.3">
      <c r="B1175" s="2">
        <v>3474</v>
      </c>
      <c r="C1175" s="41" t="s">
        <v>1873</v>
      </c>
      <c r="D1175" s="2">
        <v>2</v>
      </c>
      <c r="E1175" s="2" t="s">
        <v>12</v>
      </c>
      <c r="F1175" s="294">
        <v>2949.9960000000001</v>
      </c>
      <c r="G1175" s="247">
        <v>3200</v>
      </c>
      <c r="H1175" s="295">
        <f t="shared" si="36"/>
        <v>250.00399999999991</v>
      </c>
      <c r="I1175" s="250">
        <f t="shared" si="37"/>
        <v>7.8126249999999967E-2</v>
      </c>
    </row>
    <row r="1176" spans="2:9" x14ac:dyDescent="0.3">
      <c r="B1176" s="2">
        <v>3475</v>
      </c>
      <c r="C1176" s="41" t="s">
        <v>955</v>
      </c>
      <c r="D1176" s="2">
        <v>2</v>
      </c>
      <c r="E1176" s="2" t="s">
        <v>12</v>
      </c>
      <c r="F1176" s="294">
        <v>4200</v>
      </c>
      <c r="G1176" s="247">
        <v>4900</v>
      </c>
      <c r="H1176" s="295">
        <f t="shared" si="36"/>
        <v>700</v>
      </c>
      <c r="I1176" s="250">
        <f t="shared" si="37"/>
        <v>0.14285714285714285</v>
      </c>
    </row>
    <row r="1177" spans="2:9" x14ac:dyDescent="0.3">
      <c r="B1177" s="2">
        <v>3476</v>
      </c>
      <c r="C1177" s="41" t="s">
        <v>956</v>
      </c>
      <c r="D1177" s="2">
        <v>1</v>
      </c>
      <c r="E1177" s="2" t="s">
        <v>12</v>
      </c>
      <c r="F1177" s="294">
        <v>67070</v>
      </c>
      <c r="G1177" s="247">
        <v>86166.666666666672</v>
      </c>
      <c r="H1177" s="295">
        <f t="shared" si="36"/>
        <v>19096.666666666672</v>
      </c>
      <c r="I1177" s="250">
        <f t="shared" si="37"/>
        <v>0.22162475822050295</v>
      </c>
    </row>
    <row r="1178" spans="2:9" x14ac:dyDescent="0.3">
      <c r="B1178" s="2">
        <v>3477</v>
      </c>
      <c r="C1178" s="41" t="s">
        <v>957</v>
      </c>
      <c r="D1178" s="2">
        <v>1</v>
      </c>
      <c r="E1178" s="2" t="s">
        <v>12</v>
      </c>
      <c r="F1178" s="294">
        <v>7055</v>
      </c>
      <c r="G1178" s="247">
        <v>9966.6666666666661</v>
      </c>
      <c r="H1178" s="295">
        <f t="shared" si="36"/>
        <v>2911.6666666666661</v>
      </c>
      <c r="I1178" s="250">
        <f t="shared" si="37"/>
        <v>0.29214046822742473</v>
      </c>
    </row>
    <row r="1179" spans="2:9" x14ac:dyDescent="0.3">
      <c r="B1179" s="2">
        <v>3478</v>
      </c>
      <c r="C1179" s="41" t="s">
        <v>1874</v>
      </c>
      <c r="D1179" s="2">
        <v>1</v>
      </c>
      <c r="E1179" s="2" t="s">
        <v>12</v>
      </c>
      <c r="F1179" s="294">
        <v>53125</v>
      </c>
      <c r="G1179" s="247">
        <v>85600</v>
      </c>
      <c r="H1179" s="295">
        <f t="shared" si="36"/>
        <v>32475</v>
      </c>
      <c r="I1179" s="250">
        <f t="shared" si="37"/>
        <v>0.37938084112149534</v>
      </c>
    </row>
    <row r="1180" spans="2:9" x14ac:dyDescent="0.3">
      <c r="B1180" s="2">
        <v>3479</v>
      </c>
      <c r="C1180" s="41" t="s">
        <v>958</v>
      </c>
      <c r="D1180" s="2">
        <v>9</v>
      </c>
      <c r="E1180" s="2" t="s">
        <v>16</v>
      </c>
      <c r="F1180" s="294">
        <v>130662</v>
      </c>
      <c r="G1180" s="247">
        <v>158000</v>
      </c>
      <c r="H1180" s="295">
        <f t="shared" si="36"/>
        <v>27338</v>
      </c>
      <c r="I1180" s="250">
        <f t="shared" si="37"/>
        <v>0.17302531645569622</v>
      </c>
    </row>
    <row r="1181" spans="2:9" x14ac:dyDescent="0.3">
      <c r="B1181" s="2">
        <v>3480</v>
      </c>
      <c r="C1181" s="41" t="s">
        <v>959</v>
      </c>
      <c r="D1181" s="2">
        <v>5</v>
      </c>
      <c r="E1181" s="2" t="s">
        <v>419</v>
      </c>
      <c r="F1181" s="294">
        <v>414105</v>
      </c>
      <c r="G1181" s="247">
        <v>457000</v>
      </c>
      <c r="H1181" s="295">
        <f t="shared" si="36"/>
        <v>42895</v>
      </c>
      <c r="I1181" s="250">
        <f t="shared" si="37"/>
        <v>9.3862144420131285E-2</v>
      </c>
    </row>
    <row r="1182" spans="2:9" x14ac:dyDescent="0.3">
      <c r="B1182" s="2">
        <v>3481</v>
      </c>
      <c r="C1182" s="41" t="s">
        <v>1875</v>
      </c>
      <c r="D1182" s="2">
        <v>6</v>
      </c>
      <c r="E1182" s="2" t="s">
        <v>12</v>
      </c>
      <c r="F1182" s="294">
        <v>13800</v>
      </c>
      <c r="G1182" s="247">
        <v>16500</v>
      </c>
      <c r="H1182" s="295">
        <f t="shared" si="36"/>
        <v>2700</v>
      </c>
      <c r="I1182" s="250">
        <f t="shared" si="37"/>
        <v>0.16363636363636364</v>
      </c>
    </row>
    <row r="1183" spans="2:9" x14ac:dyDescent="0.3">
      <c r="B1183" s="2">
        <v>3482</v>
      </c>
      <c r="C1183" s="41" t="s">
        <v>1876</v>
      </c>
      <c r="D1183" s="2">
        <v>1</v>
      </c>
      <c r="E1183" s="2" t="s">
        <v>12</v>
      </c>
      <c r="F1183" s="294">
        <v>59042.5</v>
      </c>
      <c r="G1183" s="247">
        <v>82000</v>
      </c>
      <c r="H1183" s="295">
        <f t="shared" si="36"/>
        <v>22957.5</v>
      </c>
      <c r="I1183" s="250">
        <f t="shared" si="37"/>
        <v>0.27996951219512195</v>
      </c>
    </row>
    <row r="1184" spans="2:9" x14ac:dyDescent="0.3">
      <c r="B1184" s="2">
        <v>3483</v>
      </c>
      <c r="C1184" s="41" t="s">
        <v>1877</v>
      </c>
      <c r="D1184" s="2">
        <v>12</v>
      </c>
      <c r="E1184" s="2" t="s">
        <v>12</v>
      </c>
      <c r="F1184" s="294">
        <v>17999.939999999999</v>
      </c>
      <c r="G1184" s="247">
        <v>21000</v>
      </c>
      <c r="H1184" s="295">
        <f t="shared" si="36"/>
        <v>3000.0600000000013</v>
      </c>
      <c r="I1184" s="250">
        <f t="shared" si="37"/>
        <v>0.14286000000000007</v>
      </c>
    </row>
    <row r="1185" spans="2:9" x14ac:dyDescent="0.3">
      <c r="B1185" s="2">
        <v>3484</v>
      </c>
      <c r="C1185" s="41" t="s">
        <v>960</v>
      </c>
      <c r="D1185" s="2">
        <v>12</v>
      </c>
      <c r="E1185" s="2" t="s">
        <v>12</v>
      </c>
      <c r="F1185" s="294">
        <v>32999.89</v>
      </c>
      <c r="G1185" s="247">
        <v>37833.333333333336</v>
      </c>
      <c r="H1185" s="295">
        <f t="shared" si="36"/>
        <v>4833.4433333333363</v>
      </c>
      <c r="I1185" s="250">
        <f t="shared" si="37"/>
        <v>0.12775621145374458</v>
      </c>
    </row>
    <row r="1186" spans="2:9" x14ac:dyDescent="0.3">
      <c r="B1186" s="2">
        <v>3485</v>
      </c>
      <c r="C1186" s="41" t="s">
        <v>962</v>
      </c>
      <c r="D1186" s="2">
        <v>12</v>
      </c>
      <c r="E1186" s="2" t="s">
        <v>12</v>
      </c>
      <c r="F1186" s="294">
        <v>43999.06</v>
      </c>
      <c r="G1186" s="247">
        <v>51666.666666666664</v>
      </c>
      <c r="H1186" s="295">
        <f t="shared" si="36"/>
        <v>7667.6066666666666</v>
      </c>
      <c r="I1186" s="250">
        <f t="shared" si="37"/>
        <v>0.14840529032258065</v>
      </c>
    </row>
    <row r="1187" spans="2:9" x14ac:dyDescent="0.3">
      <c r="B1187" s="2">
        <v>3486</v>
      </c>
      <c r="C1187" s="41" t="s">
        <v>963</v>
      </c>
      <c r="D1187" s="2">
        <v>12</v>
      </c>
      <c r="E1187" s="2" t="s">
        <v>12</v>
      </c>
      <c r="F1187" s="294">
        <v>2499</v>
      </c>
      <c r="G1187" s="247">
        <v>3200</v>
      </c>
      <c r="H1187" s="295">
        <f t="shared" si="36"/>
        <v>701</v>
      </c>
      <c r="I1187" s="250">
        <f t="shared" si="37"/>
        <v>0.21906249999999999</v>
      </c>
    </row>
    <row r="1188" spans="2:9" x14ac:dyDescent="0.3">
      <c r="B1188" s="2">
        <v>3487</v>
      </c>
      <c r="C1188" s="41" t="s">
        <v>964</v>
      </c>
      <c r="D1188" s="2">
        <v>12</v>
      </c>
      <c r="E1188" s="2" t="s">
        <v>12</v>
      </c>
      <c r="F1188" s="294">
        <v>20999.93</v>
      </c>
      <c r="G1188" s="247">
        <v>25083.333333333332</v>
      </c>
      <c r="H1188" s="295">
        <f t="shared" si="36"/>
        <v>4083.4033333333318</v>
      </c>
      <c r="I1188" s="250">
        <f t="shared" si="37"/>
        <v>0.16279348837209298</v>
      </c>
    </row>
    <row r="1189" spans="2:9" x14ac:dyDescent="0.3">
      <c r="B1189" s="2">
        <v>3488</v>
      </c>
      <c r="C1189" s="41" t="s">
        <v>965</v>
      </c>
      <c r="D1189" s="2">
        <v>12</v>
      </c>
      <c r="E1189" s="2" t="s">
        <v>12</v>
      </c>
      <c r="F1189" s="294">
        <v>5950</v>
      </c>
      <c r="G1189" s="247">
        <v>7300</v>
      </c>
      <c r="H1189" s="295">
        <f t="shared" si="36"/>
        <v>1350</v>
      </c>
      <c r="I1189" s="250">
        <f t="shared" si="37"/>
        <v>0.18493150684931506</v>
      </c>
    </row>
    <row r="1190" spans="2:9" x14ac:dyDescent="0.3">
      <c r="B1190" s="2">
        <v>3489</v>
      </c>
      <c r="C1190" s="41" t="s">
        <v>966</v>
      </c>
      <c r="D1190" s="2">
        <v>12</v>
      </c>
      <c r="E1190" s="2" t="s">
        <v>12</v>
      </c>
      <c r="F1190" s="294">
        <v>2618</v>
      </c>
      <c r="G1190" s="247">
        <v>6000</v>
      </c>
      <c r="H1190" s="295">
        <f t="shared" si="36"/>
        <v>3382</v>
      </c>
      <c r="I1190" s="250">
        <f t="shared" si="37"/>
        <v>0.56366666666666665</v>
      </c>
    </row>
    <row r="1191" spans="2:9" x14ac:dyDescent="0.3">
      <c r="B1191" s="2">
        <v>3490</v>
      </c>
      <c r="C1191" s="41" t="s">
        <v>967</v>
      </c>
      <c r="D1191" s="2">
        <v>5</v>
      </c>
      <c r="E1191" s="2" t="s">
        <v>12</v>
      </c>
      <c r="F1191" s="294">
        <v>39690</v>
      </c>
      <c r="G1191" s="247">
        <v>48000</v>
      </c>
      <c r="H1191" s="295">
        <f t="shared" si="36"/>
        <v>8310</v>
      </c>
      <c r="I1191" s="250">
        <f t="shared" si="37"/>
        <v>0.173125</v>
      </c>
    </row>
    <row r="1192" spans="2:9" x14ac:dyDescent="0.3">
      <c r="B1192" s="2">
        <v>3491</v>
      </c>
      <c r="C1192" s="41" t="s">
        <v>968</v>
      </c>
      <c r="D1192" s="2">
        <v>5</v>
      </c>
      <c r="E1192" s="2" t="s">
        <v>419</v>
      </c>
      <c r="F1192" s="294">
        <v>156627</v>
      </c>
      <c r="G1192" s="247">
        <v>175000</v>
      </c>
      <c r="H1192" s="295">
        <f t="shared" ref="H1192:H1255" si="38">G1192-F1192</f>
        <v>18373</v>
      </c>
      <c r="I1192" s="250">
        <f t="shared" ref="I1192:I1255" si="39">H1192/G1192</f>
        <v>0.10498857142857143</v>
      </c>
    </row>
    <row r="1193" spans="2:9" x14ac:dyDescent="0.3">
      <c r="B1193" s="2">
        <v>3492</v>
      </c>
      <c r="C1193" s="41" t="s">
        <v>969</v>
      </c>
      <c r="D1193" s="2">
        <v>8</v>
      </c>
      <c r="E1193" s="2" t="s">
        <v>23</v>
      </c>
      <c r="F1193" s="294">
        <v>23100</v>
      </c>
      <c r="G1193" s="247">
        <v>27500</v>
      </c>
      <c r="H1193" s="295">
        <f t="shared" si="38"/>
        <v>4400</v>
      </c>
      <c r="I1193" s="250">
        <f t="shared" si="39"/>
        <v>0.16</v>
      </c>
    </row>
    <row r="1194" spans="2:9" x14ac:dyDescent="0.3">
      <c r="B1194" s="2">
        <v>3493</v>
      </c>
      <c r="C1194" s="41" t="s">
        <v>970</v>
      </c>
      <c r="D1194" s="2">
        <v>6</v>
      </c>
      <c r="E1194" s="2" t="s">
        <v>23</v>
      </c>
      <c r="F1194" s="294">
        <v>45700</v>
      </c>
      <c r="G1194" s="247">
        <v>49066.666666666664</v>
      </c>
      <c r="H1194" s="295">
        <f t="shared" si="38"/>
        <v>3366.6666666666642</v>
      </c>
      <c r="I1194" s="250">
        <f t="shared" si="39"/>
        <v>6.8614130434782566E-2</v>
      </c>
    </row>
    <row r="1195" spans="2:9" x14ac:dyDescent="0.3">
      <c r="B1195" s="2">
        <v>3494</v>
      </c>
      <c r="C1195" s="41" t="s">
        <v>971</v>
      </c>
      <c r="D1195" s="2">
        <v>9</v>
      </c>
      <c r="E1195" s="2" t="s">
        <v>419</v>
      </c>
      <c r="F1195" s="294">
        <v>28000</v>
      </c>
      <c r="G1195" s="247">
        <v>34000</v>
      </c>
      <c r="H1195" s="295">
        <f t="shared" si="38"/>
        <v>6000</v>
      </c>
      <c r="I1195" s="250">
        <f t="shared" si="39"/>
        <v>0.17647058823529413</v>
      </c>
    </row>
    <row r="1196" spans="2:9" x14ac:dyDescent="0.3">
      <c r="B1196" s="2">
        <v>3495</v>
      </c>
      <c r="C1196" s="41" t="s">
        <v>972</v>
      </c>
      <c r="D1196" s="2">
        <v>12</v>
      </c>
      <c r="E1196" s="2" t="s">
        <v>12</v>
      </c>
      <c r="F1196" s="294">
        <v>3600</v>
      </c>
      <c r="G1196" s="247">
        <v>4200</v>
      </c>
      <c r="H1196" s="295">
        <f t="shared" si="38"/>
        <v>600</v>
      </c>
      <c r="I1196" s="250">
        <f t="shared" si="39"/>
        <v>0.14285714285714285</v>
      </c>
    </row>
    <row r="1197" spans="2:9" x14ac:dyDescent="0.3">
      <c r="B1197" s="2">
        <v>3496</v>
      </c>
      <c r="C1197" s="41" t="s">
        <v>973</v>
      </c>
      <c r="D1197" s="2">
        <v>13</v>
      </c>
      <c r="E1197" s="2" t="s">
        <v>12</v>
      </c>
      <c r="F1197" s="294">
        <v>243395.46</v>
      </c>
      <c r="G1197" s="247">
        <v>268200</v>
      </c>
      <c r="H1197" s="295">
        <f t="shared" si="38"/>
        <v>24804.540000000008</v>
      </c>
      <c r="I1197" s="250">
        <f t="shared" si="39"/>
        <v>9.2485234899328889E-2</v>
      </c>
    </row>
    <row r="1198" spans="2:9" x14ac:dyDescent="0.3">
      <c r="B1198" s="2">
        <v>3497</v>
      </c>
      <c r="C1198" s="41" t="s">
        <v>974</v>
      </c>
      <c r="D1198" s="2">
        <v>14</v>
      </c>
      <c r="E1198" s="2" t="s">
        <v>795</v>
      </c>
      <c r="F1198" s="294">
        <v>14486</v>
      </c>
      <c r="G1198" s="247">
        <v>18600</v>
      </c>
      <c r="H1198" s="295">
        <f t="shared" si="38"/>
        <v>4114</v>
      </c>
      <c r="I1198" s="250">
        <f t="shared" si="39"/>
        <v>0.22118279569892474</v>
      </c>
    </row>
    <row r="1199" spans="2:9" x14ac:dyDescent="0.3">
      <c r="B1199" s="2">
        <v>3498</v>
      </c>
      <c r="C1199" s="41" t="s">
        <v>975</v>
      </c>
      <c r="D1199" s="2">
        <v>14</v>
      </c>
      <c r="E1199" s="2" t="s">
        <v>12</v>
      </c>
      <c r="F1199" s="294">
        <v>70000</v>
      </c>
      <c r="G1199" s="247">
        <v>81000</v>
      </c>
      <c r="H1199" s="295">
        <f t="shared" si="38"/>
        <v>11000</v>
      </c>
      <c r="I1199" s="250">
        <f t="shared" si="39"/>
        <v>0.13580246913580246</v>
      </c>
    </row>
    <row r="1200" spans="2:9" x14ac:dyDescent="0.3">
      <c r="B1200" s="2">
        <v>3499</v>
      </c>
      <c r="C1200" s="41" t="s">
        <v>976</v>
      </c>
      <c r="D1200" s="2">
        <v>14</v>
      </c>
      <c r="E1200" s="2" t="s">
        <v>12</v>
      </c>
      <c r="F1200" s="294">
        <v>49287</v>
      </c>
      <c r="G1200" s="247">
        <v>225000</v>
      </c>
      <c r="H1200" s="295">
        <f t="shared" si="38"/>
        <v>175713</v>
      </c>
      <c r="I1200" s="250">
        <f t="shared" si="39"/>
        <v>0.78094666666666668</v>
      </c>
    </row>
    <row r="1201" spans="2:9" x14ac:dyDescent="0.3">
      <c r="B1201" s="2">
        <v>3500</v>
      </c>
      <c r="C1201" s="41" t="s">
        <v>1878</v>
      </c>
      <c r="D1201" s="2">
        <v>14</v>
      </c>
      <c r="E1201" s="2" t="s">
        <v>12</v>
      </c>
      <c r="F1201" s="294">
        <v>19962</v>
      </c>
      <c r="G1201" s="247">
        <v>45000</v>
      </c>
      <c r="H1201" s="295">
        <f t="shared" si="38"/>
        <v>25038</v>
      </c>
      <c r="I1201" s="250">
        <f t="shared" si="39"/>
        <v>0.55640000000000001</v>
      </c>
    </row>
    <row r="1202" spans="2:9" x14ac:dyDescent="0.3">
      <c r="B1202" s="2">
        <v>3501</v>
      </c>
      <c r="C1202" s="41" t="s">
        <v>977</v>
      </c>
      <c r="D1202" s="2">
        <v>14</v>
      </c>
      <c r="E1202" s="2" t="s">
        <v>12</v>
      </c>
      <c r="F1202" s="294">
        <v>39456</v>
      </c>
      <c r="G1202" s="247">
        <v>45000</v>
      </c>
      <c r="H1202" s="295">
        <f t="shared" si="38"/>
        <v>5544</v>
      </c>
      <c r="I1202" s="250">
        <f t="shared" si="39"/>
        <v>0.1232</v>
      </c>
    </row>
    <row r="1203" spans="2:9" x14ac:dyDescent="0.3">
      <c r="B1203" s="2">
        <v>3502</v>
      </c>
      <c r="C1203" s="41" t="s">
        <v>978</v>
      </c>
      <c r="D1203" s="2">
        <v>14</v>
      </c>
      <c r="E1203" s="2" t="s">
        <v>12</v>
      </c>
      <c r="F1203" s="294">
        <v>22826</v>
      </c>
      <c r="G1203" s="247">
        <v>32500</v>
      </c>
      <c r="H1203" s="295">
        <f t="shared" si="38"/>
        <v>9674</v>
      </c>
      <c r="I1203" s="250">
        <f t="shared" si="39"/>
        <v>0.29766153846153848</v>
      </c>
    </row>
    <row r="1204" spans="2:9" x14ac:dyDescent="0.3">
      <c r="B1204" s="2">
        <v>3503</v>
      </c>
      <c r="C1204" s="41" t="s">
        <v>1879</v>
      </c>
      <c r="D1204" s="2">
        <v>14</v>
      </c>
      <c r="E1204" s="2" t="s">
        <v>12</v>
      </c>
      <c r="F1204" s="294">
        <v>30061</v>
      </c>
      <c r="G1204" s="247">
        <v>45000</v>
      </c>
      <c r="H1204" s="295">
        <f t="shared" si="38"/>
        <v>14939</v>
      </c>
      <c r="I1204" s="250">
        <f t="shared" si="39"/>
        <v>0.33197777777777776</v>
      </c>
    </row>
    <row r="1205" spans="2:9" x14ac:dyDescent="0.3">
      <c r="B1205" s="2">
        <v>3504</v>
      </c>
      <c r="C1205" s="41" t="s">
        <v>979</v>
      </c>
      <c r="D1205" s="2">
        <v>14</v>
      </c>
      <c r="E1205" s="2" t="s">
        <v>12</v>
      </c>
      <c r="F1205" s="294">
        <v>62262</v>
      </c>
      <c r="G1205" s="247">
        <v>95000</v>
      </c>
      <c r="H1205" s="295">
        <f t="shared" si="38"/>
        <v>32738</v>
      </c>
      <c r="I1205" s="250">
        <f t="shared" si="39"/>
        <v>0.34461052631578948</v>
      </c>
    </row>
    <row r="1206" spans="2:9" x14ac:dyDescent="0.3">
      <c r="B1206" s="2">
        <v>3505</v>
      </c>
      <c r="C1206" s="41" t="s">
        <v>980</v>
      </c>
      <c r="D1206" s="2">
        <v>14</v>
      </c>
      <c r="E1206" s="2" t="s">
        <v>12</v>
      </c>
      <c r="F1206" s="294">
        <v>19314</v>
      </c>
      <c r="G1206" s="247">
        <v>29500</v>
      </c>
      <c r="H1206" s="295">
        <f t="shared" si="38"/>
        <v>10186</v>
      </c>
      <c r="I1206" s="250">
        <f t="shared" si="39"/>
        <v>0.34528813559322036</v>
      </c>
    </row>
    <row r="1207" spans="2:9" x14ac:dyDescent="0.3">
      <c r="B1207" s="2">
        <v>3506</v>
      </c>
      <c r="C1207" s="41" t="s">
        <v>1880</v>
      </c>
      <c r="D1207" s="2">
        <v>14</v>
      </c>
      <c r="E1207" s="2" t="s">
        <v>12</v>
      </c>
      <c r="F1207" s="294">
        <v>25828</v>
      </c>
      <c r="G1207" s="247">
        <v>32500</v>
      </c>
      <c r="H1207" s="295">
        <f t="shared" si="38"/>
        <v>6672</v>
      </c>
      <c r="I1207" s="250">
        <f t="shared" si="39"/>
        <v>0.20529230769230769</v>
      </c>
    </row>
    <row r="1208" spans="2:9" x14ac:dyDescent="0.3">
      <c r="B1208" s="2">
        <v>3507</v>
      </c>
      <c r="C1208" s="41" t="s">
        <v>1881</v>
      </c>
      <c r="D1208" s="2">
        <v>14</v>
      </c>
      <c r="E1208" s="2" t="s">
        <v>12</v>
      </c>
      <c r="F1208" s="294">
        <v>75000</v>
      </c>
      <c r="G1208" s="247">
        <v>97000</v>
      </c>
      <c r="H1208" s="295">
        <f t="shared" si="38"/>
        <v>22000</v>
      </c>
      <c r="I1208" s="250">
        <f t="shared" si="39"/>
        <v>0.22680412371134021</v>
      </c>
    </row>
    <row r="1209" spans="2:9" x14ac:dyDescent="0.3">
      <c r="B1209" s="2">
        <v>3508</v>
      </c>
      <c r="C1209" s="41" t="s">
        <v>981</v>
      </c>
      <c r="D1209" s="2">
        <v>14</v>
      </c>
      <c r="E1209" s="2" t="s">
        <v>12</v>
      </c>
      <c r="F1209" s="294">
        <v>23038</v>
      </c>
      <c r="G1209" s="247">
        <v>35000</v>
      </c>
      <c r="H1209" s="295">
        <f t="shared" si="38"/>
        <v>11962</v>
      </c>
      <c r="I1209" s="250">
        <f t="shared" si="39"/>
        <v>0.34177142857142856</v>
      </c>
    </row>
    <row r="1210" spans="2:9" x14ac:dyDescent="0.3">
      <c r="B1210" s="2">
        <v>3509</v>
      </c>
      <c r="C1210" s="41" t="s">
        <v>982</v>
      </c>
      <c r="D1210" s="2">
        <v>14</v>
      </c>
      <c r="E1210" s="2" t="s">
        <v>12</v>
      </c>
      <c r="F1210" s="294">
        <v>6982</v>
      </c>
      <c r="G1210" s="247">
        <v>8500</v>
      </c>
      <c r="H1210" s="295">
        <f t="shared" si="38"/>
        <v>1518</v>
      </c>
      <c r="I1210" s="250">
        <f t="shared" si="39"/>
        <v>0.17858823529411766</v>
      </c>
    </row>
    <row r="1211" spans="2:9" x14ac:dyDescent="0.3">
      <c r="B1211" s="2">
        <v>3510</v>
      </c>
      <c r="C1211" s="41" t="s">
        <v>983</v>
      </c>
      <c r="D1211" s="2">
        <v>14</v>
      </c>
      <c r="E1211" s="2" t="s">
        <v>12</v>
      </c>
      <c r="F1211" s="294">
        <v>5806</v>
      </c>
      <c r="G1211" s="247">
        <v>8500</v>
      </c>
      <c r="H1211" s="295">
        <f t="shared" si="38"/>
        <v>2694</v>
      </c>
      <c r="I1211" s="250">
        <f t="shared" si="39"/>
        <v>0.31694117647058823</v>
      </c>
    </row>
    <row r="1212" spans="2:9" x14ac:dyDescent="0.3">
      <c r="B1212" s="2">
        <v>3511</v>
      </c>
      <c r="C1212" s="41" t="s">
        <v>984</v>
      </c>
      <c r="D1212" s="2">
        <v>14</v>
      </c>
      <c r="E1212" s="2" t="s">
        <v>12</v>
      </c>
      <c r="F1212" s="294">
        <v>45535</v>
      </c>
      <c r="G1212" s="247">
        <v>55200</v>
      </c>
      <c r="H1212" s="295">
        <f t="shared" si="38"/>
        <v>9665</v>
      </c>
      <c r="I1212" s="250">
        <f t="shared" si="39"/>
        <v>0.17509057971014494</v>
      </c>
    </row>
    <row r="1213" spans="2:9" x14ac:dyDescent="0.3">
      <c r="B1213" s="2">
        <v>3512</v>
      </c>
      <c r="C1213" s="41" t="s">
        <v>985</v>
      </c>
      <c r="D1213" s="2">
        <v>14</v>
      </c>
      <c r="E1213" s="2" t="s">
        <v>12</v>
      </c>
      <c r="F1213" s="294">
        <v>6428</v>
      </c>
      <c r="G1213" s="247">
        <v>8500</v>
      </c>
      <c r="H1213" s="295">
        <f t="shared" si="38"/>
        <v>2072</v>
      </c>
      <c r="I1213" s="250">
        <f t="shared" si="39"/>
        <v>0.24376470588235294</v>
      </c>
    </row>
    <row r="1214" spans="2:9" x14ac:dyDescent="0.3">
      <c r="B1214" s="2">
        <v>3513</v>
      </c>
      <c r="C1214" s="41" t="s">
        <v>986</v>
      </c>
      <c r="D1214" s="2">
        <v>14</v>
      </c>
      <c r="E1214" s="2" t="s">
        <v>12</v>
      </c>
      <c r="F1214" s="294">
        <v>25110</v>
      </c>
      <c r="G1214" s="247">
        <v>32500</v>
      </c>
      <c r="H1214" s="295">
        <f t="shared" si="38"/>
        <v>7390</v>
      </c>
      <c r="I1214" s="250">
        <f t="shared" si="39"/>
        <v>0.22738461538461538</v>
      </c>
    </row>
    <row r="1215" spans="2:9" x14ac:dyDescent="0.3">
      <c r="B1215" s="2">
        <v>3514</v>
      </c>
      <c r="C1215" s="41" t="s">
        <v>987</v>
      </c>
      <c r="D1215" s="2">
        <v>14</v>
      </c>
      <c r="E1215" s="2" t="s">
        <v>12</v>
      </c>
      <c r="F1215" s="294">
        <v>52092</v>
      </c>
      <c r="G1215" s="247">
        <v>63000</v>
      </c>
      <c r="H1215" s="295">
        <f t="shared" si="38"/>
        <v>10908</v>
      </c>
      <c r="I1215" s="250">
        <f t="shared" si="39"/>
        <v>0.17314285714285715</v>
      </c>
    </row>
    <row r="1216" spans="2:9" x14ac:dyDescent="0.3">
      <c r="B1216" s="2">
        <v>3515</v>
      </c>
      <c r="C1216" s="41" t="s">
        <v>1882</v>
      </c>
      <c r="D1216" s="2">
        <v>14</v>
      </c>
      <c r="E1216" s="2" t="s">
        <v>12</v>
      </c>
      <c r="F1216" s="294">
        <v>12615</v>
      </c>
      <c r="G1216" s="247">
        <v>14200</v>
      </c>
      <c r="H1216" s="295">
        <f t="shared" si="38"/>
        <v>1585</v>
      </c>
      <c r="I1216" s="250">
        <f t="shared" si="39"/>
        <v>0.11161971830985916</v>
      </c>
    </row>
    <row r="1217" spans="2:9" x14ac:dyDescent="0.3">
      <c r="B1217" s="2">
        <v>3516</v>
      </c>
      <c r="C1217" s="41" t="s">
        <v>988</v>
      </c>
      <c r="D1217" s="2">
        <v>14</v>
      </c>
      <c r="E1217" s="2" t="s">
        <v>12</v>
      </c>
      <c r="F1217" s="294">
        <v>11157</v>
      </c>
      <c r="G1217" s="247">
        <v>15000</v>
      </c>
      <c r="H1217" s="295">
        <f t="shared" si="38"/>
        <v>3843</v>
      </c>
      <c r="I1217" s="250">
        <f t="shared" si="39"/>
        <v>0.25619999999999998</v>
      </c>
    </row>
    <row r="1218" spans="2:9" x14ac:dyDescent="0.3">
      <c r="B1218" s="2">
        <v>3517</v>
      </c>
      <c r="C1218" s="41" t="s">
        <v>989</v>
      </c>
      <c r="D1218" s="2">
        <v>14</v>
      </c>
      <c r="E1218" s="2" t="s">
        <v>12</v>
      </c>
      <c r="F1218" s="294">
        <v>46237</v>
      </c>
      <c r="G1218" s="247">
        <v>52000</v>
      </c>
      <c r="H1218" s="295">
        <f t="shared" si="38"/>
        <v>5763</v>
      </c>
      <c r="I1218" s="250">
        <f t="shared" si="39"/>
        <v>0.11082692307692307</v>
      </c>
    </row>
    <row r="1219" spans="2:9" x14ac:dyDescent="0.3">
      <c r="B1219" s="2">
        <v>3518</v>
      </c>
      <c r="C1219" s="41" t="s">
        <v>990</v>
      </c>
      <c r="D1219" s="2">
        <v>14</v>
      </c>
      <c r="E1219" s="2" t="s">
        <v>12</v>
      </c>
      <c r="F1219" s="294">
        <v>11455</v>
      </c>
      <c r="G1219" s="247">
        <v>14500</v>
      </c>
      <c r="H1219" s="295">
        <f t="shared" si="38"/>
        <v>3045</v>
      </c>
      <c r="I1219" s="250">
        <f t="shared" si="39"/>
        <v>0.21</v>
      </c>
    </row>
    <row r="1220" spans="2:9" x14ac:dyDescent="0.3">
      <c r="B1220" s="2">
        <v>3519</v>
      </c>
      <c r="C1220" s="41" t="s">
        <v>991</v>
      </c>
      <c r="D1220" s="2">
        <v>14</v>
      </c>
      <c r="E1220" s="2" t="s">
        <v>12</v>
      </c>
      <c r="F1220" s="294">
        <v>18480</v>
      </c>
      <c r="G1220" s="247">
        <v>22500</v>
      </c>
      <c r="H1220" s="295">
        <f t="shared" si="38"/>
        <v>4020</v>
      </c>
      <c r="I1220" s="250">
        <f t="shared" si="39"/>
        <v>0.17866666666666667</v>
      </c>
    </row>
    <row r="1221" spans="2:9" x14ac:dyDescent="0.3">
      <c r="B1221" s="2">
        <v>3520</v>
      </c>
      <c r="C1221" s="41" t="s">
        <v>992</v>
      </c>
      <c r="D1221" s="2">
        <v>14</v>
      </c>
      <c r="E1221" s="2" t="s">
        <v>12</v>
      </c>
      <c r="F1221" s="294">
        <v>2743</v>
      </c>
      <c r="G1221" s="247">
        <v>4033.3333333333335</v>
      </c>
      <c r="H1221" s="295">
        <f t="shared" si="38"/>
        <v>1290.3333333333335</v>
      </c>
      <c r="I1221" s="250">
        <f t="shared" si="39"/>
        <v>0.31991735537190086</v>
      </c>
    </row>
    <row r="1222" spans="2:9" x14ac:dyDescent="0.3">
      <c r="B1222" s="2">
        <v>3522</v>
      </c>
      <c r="C1222" s="41" t="s">
        <v>993</v>
      </c>
      <c r="D1222" s="2">
        <v>14</v>
      </c>
      <c r="E1222" s="2" t="s">
        <v>12</v>
      </c>
      <c r="F1222" s="294">
        <v>15750</v>
      </c>
      <c r="G1222" s="247">
        <v>19966.666666666668</v>
      </c>
      <c r="H1222" s="295">
        <f t="shared" si="38"/>
        <v>4216.6666666666679</v>
      </c>
      <c r="I1222" s="250">
        <f t="shared" si="39"/>
        <v>0.21118530884808018</v>
      </c>
    </row>
    <row r="1223" spans="2:9" x14ac:dyDescent="0.3">
      <c r="B1223" s="2">
        <v>3523</v>
      </c>
      <c r="C1223" s="41" t="s">
        <v>994</v>
      </c>
      <c r="D1223" s="2">
        <v>6</v>
      </c>
      <c r="E1223" s="2" t="s">
        <v>12</v>
      </c>
      <c r="F1223" s="294">
        <v>110030.7692</v>
      </c>
      <c r="G1223" s="247">
        <v>128333</v>
      </c>
      <c r="H1223" s="295">
        <f t="shared" si="38"/>
        <v>18302.230800000005</v>
      </c>
      <c r="I1223" s="250">
        <f t="shared" si="39"/>
        <v>0.1426151558835218</v>
      </c>
    </row>
    <row r="1224" spans="2:9" x14ac:dyDescent="0.3">
      <c r="B1224" s="2">
        <v>3524</v>
      </c>
      <c r="C1224" s="41" t="s">
        <v>995</v>
      </c>
      <c r="D1224" s="2">
        <v>4</v>
      </c>
      <c r="E1224" s="2" t="s">
        <v>12</v>
      </c>
      <c r="F1224" s="294">
        <v>16500</v>
      </c>
      <c r="G1224" s="247">
        <v>20500</v>
      </c>
      <c r="H1224" s="295">
        <f t="shared" si="38"/>
        <v>4000</v>
      </c>
      <c r="I1224" s="250">
        <f t="shared" si="39"/>
        <v>0.1951219512195122</v>
      </c>
    </row>
    <row r="1225" spans="2:9" x14ac:dyDescent="0.3">
      <c r="B1225" s="2">
        <v>3525</v>
      </c>
      <c r="C1225" s="41" t="s">
        <v>996</v>
      </c>
      <c r="D1225" s="2">
        <v>6</v>
      </c>
      <c r="E1225" s="2" t="s">
        <v>16</v>
      </c>
      <c r="F1225" s="294">
        <v>104000</v>
      </c>
      <c r="G1225" s="247">
        <v>125000</v>
      </c>
      <c r="H1225" s="295">
        <f t="shared" si="38"/>
        <v>21000</v>
      </c>
      <c r="I1225" s="250">
        <f t="shared" si="39"/>
        <v>0.16800000000000001</v>
      </c>
    </row>
    <row r="1226" spans="2:9" x14ac:dyDescent="0.3">
      <c r="B1226" s="2">
        <v>3526</v>
      </c>
      <c r="C1226" s="41" t="s">
        <v>997</v>
      </c>
      <c r="D1226" s="2">
        <v>5</v>
      </c>
      <c r="E1226" s="2" t="s">
        <v>16</v>
      </c>
      <c r="F1226" s="294">
        <v>167800</v>
      </c>
      <c r="G1226" s="247">
        <v>189333</v>
      </c>
      <c r="H1226" s="295">
        <f t="shared" si="38"/>
        <v>21533</v>
      </c>
      <c r="I1226" s="250">
        <f t="shared" si="39"/>
        <v>0.11373083403315851</v>
      </c>
    </row>
    <row r="1227" spans="2:9" x14ac:dyDescent="0.3">
      <c r="B1227" s="2">
        <v>3527</v>
      </c>
      <c r="C1227" s="41" t="s">
        <v>998</v>
      </c>
      <c r="D1227" s="2">
        <v>5</v>
      </c>
      <c r="E1227" s="2" t="s">
        <v>176</v>
      </c>
      <c r="F1227" s="294">
        <v>49500</v>
      </c>
      <c r="G1227" s="247">
        <v>56200</v>
      </c>
      <c r="H1227" s="295">
        <f t="shared" si="38"/>
        <v>6700</v>
      </c>
      <c r="I1227" s="250">
        <f t="shared" si="39"/>
        <v>0.11921708185053381</v>
      </c>
    </row>
    <row r="1228" spans="2:9" x14ac:dyDescent="0.3">
      <c r="B1228" s="2">
        <v>3528</v>
      </c>
      <c r="C1228" s="41" t="s">
        <v>999</v>
      </c>
      <c r="D1228" s="2">
        <v>5</v>
      </c>
      <c r="E1228" s="2" t="s">
        <v>16</v>
      </c>
      <c r="F1228" s="294">
        <v>191000</v>
      </c>
      <c r="G1228" s="247">
        <v>214000</v>
      </c>
      <c r="H1228" s="295">
        <f t="shared" si="38"/>
        <v>23000</v>
      </c>
      <c r="I1228" s="250">
        <f t="shared" si="39"/>
        <v>0.10747663551401869</v>
      </c>
    </row>
    <row r="1229" spans="2:9" x14ac:dyDescent="0.3">
      <c r="B1229" s="2">
        <v>3529</v>
      </c>
      <c r="C1229" s="41" t="s">
        <v>1000</v>
      </c>
      <c r="D1229" s="2">
        <v>14</v>
      </c>
      <c r="E1229" s="2" t="s">
        <v>12</v>
      </c>
      <c r="F1229" s="294">
        <v>15500</v>
      </c>
      <c r="G1229" s="247">
        <v>18800</v>
      </c>
      <c r="H1229" s="295">
        <f t="shared" si="38"/>
        <v>3300</v>
      </c>
      <c r="I1229" s="250">
        <f t="shared" si="39"/>
        <v>0.17553191489361702</v>
      </c>
    </row>
    <row r="1230" spans="2:9" x14ac:dyDescent="0.3">
      <c r="B1230" s="2">
        <v>3530</v>
      </c>
      <c r="C1230" s="41" t="s">
        <v>1883</v>
      </c>
      <c r="D1230" s="2">
        <v>7</v>
      </c>
      <c r="E1230" s="2" t="s">
        <v>12</v>
      </c>
      <c r="F1230" s="294">
        <v>16800</v>
      </c>
      <c r="G1230" s="247">
        <v>22166.666666666668</v>
      </c>
      <c r="H1230" s="295">
        <f t="shared" si="38"/>
        <v>5366.6666666666679</v>
      </c>
      <c r="I1230" s="250">
        <f t="shared" si="39"/>
        <v>0.24210526315789477</v>
      </c>
    </row>
    <row r="1231" spans="2:9" x14ac:dyDescent="0.3">
      <c r="B1231" s="2">
        <v>3531</v>
      </c>
      <c r="C1231" s="41" t="s">
        <v>1001</v>
      </c>
      <c r="D1231" s="2">
        <v>14</v>
      </c>
      <c r="E1231" s="2" t="s">
        <v>12</v>
      </c>
      <c r="F1231" s="294">
        <v>8046.4</v>
      </c>
      <c r="G1231" s="247">
        <v>10500</v>
      </c>
      <c r="H1231" s="295">
        <f t="shared" si="38"/>
        <v>2453.6000000000004</v>
      </c>
      <c r="I1231" s="250">
        <f t="shared" si="39"/>
        <v>0.23367619047619051</v>
      </c>
    </row>
    <row r="1232" spans="2:9" x14ac:dyDescent="0.3">
      <c r="B1232" s="2">
        <v>3532</v>
      </c>
      <c r="C1232" s="41" t="s">
        <v>1002</v>
      </c>
      <c r="D1232" s="2">
        <v>14</v>
      </c>
      <c r="E1232" s="2" t="s">
        <v>12</v>
      </c>
      <c r="F1232" s="294">
        <v>11931</v>
      </c>
      <c r="G1232" s="247">
        <v>14500</v>
      </c>
      <c r="H1232" s="295">
        <f t="shared" si="38"/>
        <v>2569</v>
      </c>
      <c r="I1232" s="250">
        <f t="shared" si="39"/>
        <v>0.17717241379310344</v>
      </c>
    </row>
    <row r="1233" spans="2:9" x14ac:dyDescent="0.3">
      <c r="B1233" s="2">
        <v>3533</v>
      </c>
      <c r="C1233" s="41" t="s">
        <v>1003</v>
      </c>
      <c r="D1233" s="2">
        <v>14</v>
      </c>
      <c r="E1233" s="2" t="s">
        <v>12</v>
      </c>
      <c r="F1233" s="294">
        <v>13598</v>
      </c>
      <c r="G1233" s="247">
        <v>17000</v>
      </c>
      <c r="H1233" s="295">
        <f t="shared" si="38"/>
        <v>3402</v>
      </c>
      <c r="I1233" s="250">
        <f t="shared" si="39"/>
        <v>0.20011764705882354</v>
      </c>
    </row>
    <row r="1234" spans="2:9" x14ac:dyDescent="0.3">
      <c r="B1234" s="2">
        <v>3534</v>
      </c>
      <c r="C1234" s="41" t="s">
        <v>1004</v>
      </c>
      <c r="D1234" s="2">
        <v>14</v>
      </c>
      <c r="E1234" s="2" t="s">
        <v>81</v>
      </c>
      <c r="F1234" s="294">
        <v>16942</v>
      </c>
      <c r="G1234" s="247">
        <v>22000</v>
      </c>
      <c r="H1234" s="295">
        <f t="shared" si="38"/>
        <v>5058</v>
      </c>
      <c r="I1234" s="250">
        <f t="shared" si="39"/>
        <v>0.2299090909090909</v>
      </c>
    </row>
    <row r="1235" spans="2:9" x14ac:dyDescent="0.3">
      <c r="B1235" s="2">
        <v>3535</v>
      </c>
      <c r="C1235" s="41" t="s">
        <v>1005</v>
      </c>
      <c r="D1235" s="2">
        <v>14</v>
      </c>
      <c r="E1235" s="2" t="s">
        <v>12</v>
      </c>
      <c r="F1235" s="294">
        <v>16556.666000000001</v>
      </c>
      <c r="G1235" s="247">
        <v>20000</v>
      </c>
      <c r="H1235" s="295">
        <f t="shared" si="38"/>
        <v>3443.3339999999989</v>
      </c>
      <c r="I1235" s="250">
        <f t="shared" si="39"/>
        <v>0.17216669999999995</v>
      </c>
    </row>
    <row r="1236" spans="2:9" x14ac:dyDescent="0.3">
      <c r="B1236" s="2">
        <v>3537</v>
      </c>
      <c r="C1236" s="41" t="s">
        <v>1006</v>
      </c>
      <c r="D1236" s="2">
        <v>7</v>
      </c>
      <c r="E1236" s="2" t="s">
        <v>160</v>
      </c>
      <c r="F1236" s="294">
        <v>1480</v>
      </c>
      <c r="G1236" s="247">
        <v>1900</v>
      </c>
      <c r="H1236" s="295">
        <f t="shared" si="38"/>
        <v>420</v>
      </c>
      <c r="I1236" s="250">
        <f t="shared" si="39"/>
        <v>0.22105263157894736</v>
      </c>
    </row>
    <row r="1237" spans="2:9" x14ac:dyDescent="0.3">
      <c r="B1237" s="2">
        <v>3538</v>
      </c>
      <c r="C1237" s="41" t="s">
        <v>1007</v>
      </c>
      <c r="D1237" s="2">
        <v>7</v>
      </c>
      <c r="E1237" s="2" t="s">
        <v>961</v>
      </c>
      <c r="F1237" s="294">
        <v>2230</v>
      </c>
      <c r="G1237" s="247">
        <v>2633.3333333333335</v>
      </c>
      <c r="H1237" s="295">
        <f t="shared" si="38"/>
        <v>403.33333333333348</v>
      </c>
      <c r="I1237" s="250">
        <f t="shared" si="39"/>
        <v>0.15316455696202536</v>
      </c>
    </row>
    <row r="1238" spans="2:9" x14ac:dyDescent="0.3">
      <c r="B1238" s="2">
        <v>3539</v>
      </c>
      <c r="C1238" s="41" t="s">
        <v>1884</v>
      </c>
      <c r="D1238" s="2">
        <v>7</v>
      </c>
      <c r="E1238" s="2" t="s">
        <v>12</v>
      </c>
      <c r="F1238" s="294">
        <v>6080</v>
      </c>
      <c r="G1238" s="247">
        <v>6766.666666666667</v>
      </c>
      <c r="H1238" s="295">
        <f t="shared" si="38"/>
        <v>686.66666666666697</v>
      </c>
      <c r="I1238" s="250">
        <f t="shared" si="39"/>
        <v>0.10147783251231531</v>
      </c>
    </row>
    <row r="1239" spans="2:9" x14ac:dyDescent="0.3">
      <c r="B1239" s="2">
        <v>3540</v>
      </c>
      <c r="C1239" s="41" t="s">
        <v>1885</v>
      </c>
      <c r="D1239" s="2">
        <v>7</v>
      </c>
      <c r="E1239" s="2" t="s">
        <v>12</v>
      </c>
      <c r="F1239" s="294">
        <v>1190</v>
      </c>
      <c r="G1239" s="247">
        <v>2016.6666666666667</v>
      </c>
      <c r="H1239" s="295">
        <f t="shared" si="38"/>
        <v>826.66666666666674</v>
      </c>
      <c r="I1239" s="250">
        <f t="shared" si="39"/>
        <v>0.40991735537190083</v>
      </c>
    </row>
    <row r="1240" spans="2:9" x14ac:dyDescent="0.3">
      <c r="B1240" s="2">
        <v>3541</v>
      </c>
      <c r="C1240" s="41" t="s">
        <v>1886</v>
      </c>
      <c r="D1240" s="2">
        <v>7</v>
      </c>
      <c r="E1240" s="2" t="s">
        <v>160</v>
      </c>
      <c r="F1240" s="294">
        <v>1000</v>
      </c>
      <c r="G1240" s="247">
        <v>2366.6666666666665</v>
      </c>
      <c r="H1240" s="295">
        <f t="shared" si="38"/>
        <v>1366.6666666666665</v>
      </c>
      <c r="I1240" s="250">
        <f t="shared" si="39"/>
        <v>0.57746478873239437</v>
      </c>
    </row>
    <row r="1241" spans="2:9" x14ac:dyDescent="0.3">
      <c r="B1241" s="2">
        <v>3542</v>
      </c>
      <c r="C1241" s="41" t="s">
        <v>1887</v>
      </c>
      <c r="D1241" s="2">
        <v>7</v>
      </c>
      <c r="E1241" s="2" t="s">
        <v>160</v>
      </c>
      <c r="F1241" s="294">
        <v>2230</v>
      </c>
      <c r="G1241" s="247">
        <v>3200</v>
      </c>
      <c r="H1241" s="295">
        <f t="shared" si="38"/>
        <v>970</v>
      </c>
      <c r="I1241" s="250">
        <f t="shared" si="39"/>
        <v>0.30312499999999998</v>
      </c>
    </row>
    <row r="1242" spans="2:9" x14ac:dyDescent="0.3">
      <c r="B1242" s="2">
        <v>3543</v>
      </c>
      <c r="C1242" s="41" t="s">
        <v>1008</v>
      </c>
      <c r="D1242" s="2">
        <v>7</v>
      </c>
      <c r="E1242" s="2" t="s">
        <v>160</v>
      </c>
      <c r="F1242" s="294">
        <v>1480</v>
      </c>
      <c r="G1242" s="247">
        <v>2266.6666666666665</v>
      </c>
      <c r="H1242" s="295">
        <f t="shared" si="38"/>
        <v>786.66666666666652</v>
      </c>
      <c r="I1242" s="250">
        <f t="shared" si="39"/>
        <v>0.3470588235294117</v>
      </c>
    </row>
    <row r="1243" spans="2:9" x14ac:dyDescent="0.3">
      <c r="B1243" s="2">
        <v>3544</v>
      </c>
      <c r="C1243" s="41" t="s">
        <v>1888</v>
      </c>
      <c r="D1243" s="2">
        <v>16</v>
      </c>
      <c r="E1243" s="2" t="s">
        <v>12</v>
      </c>
      <c r="F1243" s="294">
        <v>17255</v>
      </c>
      <c r="G1243" s="247">
        <v>19000</v>
      </c>
      <c r="H1243" s="295">
        <f t="shared" si="38"/>
        <v>1745</v>
      </c>
      <c r="I1243" s="250">
        <f t="shared" si="39"/>
        <v>9.1842105263157892E-2</v>
      </c>
    </row>
    <row r="1244" spans="2:9" x14ac:dyDescent="0.3">
      <c r="B1244" s="2">
        <v>3545</v>
      </c>
      <c r="C1244" s="41" t="s">
        <v>1009</v>
      </c>
      <c r="D1244" s="2">
        <v>4</v>
      </c>
      <c r="E1244" s="2" t="s">
        <v>160</v>
      </c>
      <c r="F1244" s="294">
        <v>17000</v>
      </c>
      <c r="G1244" s="247">
        <v>19800</v>
      </c>
      <c r="H1244" s="295">
        <f t="shared" si="38"/>
        <v>2800</v>
      </c>
      <c r="I1244" s="250">
        <f t="shared" si="39"/>
        <v>0.14141414141414141</v>
      </c>
    </row>
    <row r="1245" spans="2:9" x14ac:dyDescent="0.3">
      <c r="B1245" s="2">
        <v>3546</v>
      </c>
      <c r="C1245" s="41" t="s">
        <v>1010</v>
      </c>
      <c r="D1245" s="2">
        <v>6</v>
      </c>
      <c r="E1245" s="2" t="s">
        <v>176</v>
      </c>
      <c r="F1245" s="294">
        <v>19300</v>
      </c>
      <c r="G1245" s="247">
        <v>23800</v>
      </c>
      <c r="H1245" s="295">
        <f t="shared" si="38"/>
        <v>4500</v>
      </c>
      <c r="I1245" s="250">
        <f t="shared" si="39"/>
        <v>0.18907563025210083</v>
      </c>
    </row>
    <row r="1246" spans="2:9" x14ac:dyDescent="0.3">
      <c r="B1246" s="2">
        <v>3547</v>
      </c>
      <c r="C1246" s="41" t="s">
        <v>1011</v>
      </c>
      <c r="D1246" s="2">
        <v>14</v>
      </c>
      <c r="E1246" s="2" t="s">
        <v>12</v>
      </c>
      <c r="F1246" s="294">
        <v>11123.8</v>
      </c>
      <c r="G1246" s="247">
        <v>14150</v>
      </c>
      <c r="H1246" s="295">
        <f t="shared" si="38"/>
        <v>3026.2000000000007</v>
      </c>
      <c r="I1246" s="250">
        <f t="shared" si="39"/>
        <v>0.21386572438162549</v>
      </c>
    </row>
    <row r="1247" spans="2:9" x14ac:dyDescent="0.3">
      <c r="B1247" s="2">
        <v>3548</v>
      </c>
      <c r="C1247" s="41" t="s">
        <v>1012</v>
      </c>
      <c r="D1247" s="2">
        <v>14</v>
      </c>
      <c r="E1247" s="2" t="s">
        <v>81</v>
      </c>
      <c r="F1247" s="294">
        <v>26093</v>
      </c>
      <c r="G1247" s="247">
        <v>32000</v>
      </c>
      <c r="H1247" s="295">
        <f t="shared" si="38"/>
        <v>5907</v>
      </c>
      <c r="I1247" s="250">
        <f t="shared" si="39"/>
        <v>0.18459375</v>
      </c>
    </row>
    <row r="1248" spans="2:9" x14ac:dyDescent="0.3">
      <c r="B1248" s="2">
        <v>3549</v>
      </c>
      <c r="C1248" s="41" t="s">
        <v>1013</v>
      </c>
      <c r="D1248" s="2">
        <v>14</v>
      </c>
      <c r="E1248" s="2" t="s">
        <v>160</v>
      </c>
      <c r="F1248" s="294">
        <v>6017</v>
      </c>
      <c r="G1248" s="247">
        <v>7000</v>
      </c>
      <c r="H1248" s="295">
        <f t="shared" si="38"/>
        <v>983</v>
      </c>
      <c r="I1248" s="250">
        <f t="shared" si="39"/>
        <v>0.14042857142857143</v>
      </c>
    </row>
    <row r="1249" spans="2:9" x14ac:dyDescent="0.3">
      <c r="B1249" s="2">
        <v>3550</v>
      </c>
      <c r="C1249" s="41" t="s">
        <v>1889</v>
      </c>
      <c r="D1249" s="2">
        <v>14</v>
      </c>
      <c r="E1249" s="2" t="s">
        <v>12</v>
      </c>
      <c r="F1249" s="294">
        <v>8051</v>
      </c>
      <c r="G1249" s="247">
        <v>9800</v>
      </c>
      <c r="H1249" s="295">
        <f t="shared" si="38"/>
        <v>1749</v>
      </c>
      <c r="I1249" s="250">
        <f t="shared" si="39"/>
        <v>0.17846938775510204</v>
      </c>
    </row>
    <row r="1250" spans="2:9" x14ac:dyDescent="0.3">
      <c r="B1250" s="2">
        <v>3551</v>
      </c>
      <c r="C1250" s="41" t="s">
        <v>1014</v>
      </c>
      <c r="D1250" s="2">
        <v>14</v>
      </c>
      <c r="E1250" s="2" t="s">
        <v>649</v>
      </c>
      <c r="F1250" s="294">
        <v>4025.5</v>
      </c>
      <c r="G1250" s="247">
        <v>5000</v>
      </c>
      <c r="H1250" s="295">
        <f t="shared" si="38"/>
        <v>974.5</v>
      </c>
      <c r="I1250" s="250">
        <f t="shared" si="39"/>
        <v>0.19489999999999999</v>
      </c>
    </row>
    <row r="1251" spans="2:9" x14ac:dyDescent="0.3">
      <c r="B1251" s="2">
        <v>3552</v>
      </c>
      <c r="C1251" s="41" t="s">
        <v>1015</v>
      </c>
      <c r="D1251" s="2">
        <v>14</v>
      </c>
      <c r="E1251" s="2" t="s">
        <v>12</v>
      </c>
      <c r="F1251" s="294">
        <v>5499.9</v>
      </c>
      <c r="G1251" s="247">
        <v>6800</v>
      </c>
      <c r="H1251" s="295">
        <f t="shared" si="38"/>
        <v>1300.1000000000004</v>
      </c>
      <c r="I1251" s="250">
        <f t="shared" si="39"/>
        <v>0.19119117647058828</v>
      </c>
    </row>
    <row r="1252" spans="2:9" x14ac:dyDescent="0.3">
      <c r="B1252" s="2">
        <v>3553</v>
      </c>
      <c r="C1252" s="41" t="s">
        <v>1016</v>
      </c>
      <c r="D1252" s="2">
        <v>5</v>
      </c>
      <c r="E1252" s="2" t="s">
        <v>16</v>
      </c>
      <c r="F1252" s="294">
        <v>33333</v>
      </c>
      <c r="G1252" s="247">
        <v>38000</v>
      </c>
      <c r="H1252" s="295">
        <f t="shared" si="38"/>
        <v>4667</v>
      </c>
      <c r="I1252" s="250">
        <f t="shared" si="39"/>
        <v>0.12281578947368421</v>
      </c>
    </row>
    <row r="1253" spans="2:9" x14ac:dyDescent="0.3">
      <c r="B1253" s="2">
        <v>3554</v>
      </c>
      <c r="C1253" s="41" t="s">
        <v>1017</v>
      </c>
      <c r="D1253" s="2">
        <v>5</v>
      </c>
      <c r="E1253" s="2" t="s">
        <v>16</v>
      </c>
      <c r="F1253" s="294">
        <v>37230</v>
      </c>
      <c r="G1253" s="247">
        <v>42500</v>
      </c>
      <c r="H1253" s="295">
        <f t="shared" si="38"/>
        <v>5270</v>
      </c>
      <c r="I1253" s="250">
        <f t="shared" si="39"/>
        <v>0.124</v>
      </c>
    </row>
    <row r="1254" spans="2:9" x14ac:dyDescent="0.3">
      <c r="B1254" s="2">
        <v>3555</v>
      </c>
      <c r="C1254" s="41" t="s">
        <v>1018</v>
      </c>
      <c r="D1254" s="2">
        <v>5</v>
      </c>
      <c r="E1254" s="2" t="s">
        <v>16</v>
      </c>
      <c r="F1254" s="294">
        <v>34685</v>
      </c>
      <c r="G1254" s="247">
        <v>40500</v>
      </c>
      <c r="H1254" s="295">
        <f t="shared" si="38"/>
        <v>5815</v>
      </c>
      <c r="I1254" s="250">
        <f t="shared" si="39"/>
        <v>0.14358024691358023</v>
      </c>
    </row>
    <row r="1255" spans="2:9" x14ac:dyDescent="0.3">
      <c r="B1255" s="2">
        <v>3556</v>
      </c>
      <c r="C1255" s="41" t="s">
        <v>1890</v>
      </c>
      <c r="D1255" s="2">
        <v>8</v>
      </c>
      <c r="E1255" s="2" t="s">
        <v>12</v>
      </c>
      <c r="F1255" s="294">
        <v>105327</v>
      </c>
      <c r="G1255" s="247">
        <v>121800</v>
      </c>
      <c r="H1255" s="295">
        <f t="shared" si="38"/>
        <v>16473</v>
      </c>
      <c r="I1255" s="250">
        <f t="shared" si="39"/>
        <v>0.13524630541871921</v>
      </c>
    </row>
    <row r="1256" spans="2:9" x14ac:dyDescent="0.3">
      <c r="B1256" s="2">
        <v>3557</v>
      </c>
      <c r="C1256" s="41" t="s">
        <v>1019</v>
      </c>
      <c r="D1256" s="2">
        <v>5</v>
      </c>
      <c r="E1256" s="2" t="s">
        <v>16</v>
      </c>
      <c r="F1256" s="294">
        <v>49000</v>
      </c>
      <c r="G1256" s="247">
        <v>58500</v>
      </c>
      <c r="H1256" s="295">
        <f t="shared" ref="H1256:H1319" si="40">G1256-F1256</f>
        <v>9500</v>
      </c>
      <c r="I1256" s="250">
        <f t="shared" ref="I1256:I1319" si="41">H1256/G1256</f>
        <v>0.1623931623931624</v>
      </c>
    </row>
    <row r="1257" spans="2:9" x14ac:dyDescent="0.3">
      <c r="B1257" s="2">
        <v>3558</v>
      </c>
      <c r="C1257" s="41" t="s">
        <v>1891</v>
      </c>
      <c r="D1257" s="2">
        <v>4</v>
      </c>
      <c r="E1257" s="2" t="s">
        <v>23</v>
      </c>
      <c r="F1257" s="294">
        <v>20000</v>
      </c>
      <c r="G1257" s="247">
        <v>24000</v>
      </c>
      <c r="H1257" s="295">
        <f t="shared" si="40"/>
        <v>4000</v>
      </c>
      <c r="I1257" s="250">
        <f t="shared" si="41"/>
        <v>0.16666666666666666</v>
      </c>
    </row>
    <row r="1258" spans="2:9" x14ac:dyDescent="0.3">
      <c r="B1258" s="2">
        <v>3559</v>
      </c>
      <c r="C1258" s="41" t="s">
        <v>1892</v>
      </c>
      <c r="D1258" s="2">
        <v>12</v>
      </c>
      <c r="E1258" s="2" t="s">
        <v>12</v>
      </c>
      <c r="F1258" s="294">
        <v>11000.36</v>
      </c>
      <c r="G1258" s="247">
        <v>16000</v>
      </c>
      <c r="H1258" s="295">
        <f t="shared" si="40"/>
        <v>4999.6399999999994</v>
      </c>
      <c r="I1258" s="250">
        <f t="shared" si="41"/>
        <v>0.31247749999999996</v>
      </c>
    </row>
    <row r="1259" spans="2:9" x14ac:dyDescent="0.3">
      <c r="B1259" s="2">
        <v>3560</v>
      </c>
      <c r="C1259" s="41" t="s">
        <v>1893</v>
      </c>
      <c r="D1259" s="2">
        <v>12</v>
      </c>
      <c r="E1259" s="2" t="s">
        <v>12</v>
      </c>
      <c r="F1259" s="294">
        <v>13999.16</v>
      </c>
      <c r="G1259" s="247">
        <v>17000</v>
      </c>
      <c r="H1259" s="295">
        <f t="shared" si="40"/>
        <v>3000.84</v>
      </c>
      <c r="I1259" s="250">
        <f t="shared" si="41"/>
        <v>0.17652000000000001</v>
      </c>
    </row>
    <row r="1260" spans="2:9" x14ac:dyDescent="0.3">
      <c r="B1260" s="2">
        <v>3561</v>
      </c>
      <c r="C1260" s="41" t="s">
        <v>1020</v>
      </c>
      <c r="D1260" s="2">
        <v>12</v>
      </c>
      <c r="E1260" s="2" t="s">
        <v>12</v>
      </c>
      <c r="F1260" s="294">
        <v>12999.56</v>
      </c>
      <c r="G1260" s="247">
        <v>16000</v>
      </c>
      <c r="H1260" s="295">
        <f t="shared" si="40"/>
        <v>3000.4400000000005</v>
      </c>
      <c r="I1260" s="250">
        <f t="shared" si="41"/>
        <v>0.18752750000000004</v>
      </c>
    </row>
    <row r="1261" spans="2:9" x14ac:dyDescent="0.3">
      <c r="B1261" s="2">
        <v>3562</v>
      </c>
      <c r="C1261" s="41" t="s">
        <v>1894</v>
      </c>
      <c r="D1261" s="2">
        <v>5</v>
      </c>
      <c r="E1261" s="2" t="s">
        <v>419</v>
      </c>
      <c r="F1261" s="294">
        <v>104085.13499999999</v>
      </c>
      <c r="G1261" s="247">
        <v>122300</v>
      </c>
      <c r="H1261" s="295">
        <f t="shared" si="40"/>
        <v>18214.865000000005</v>
      </c>
      <c r="I1261" s="250">
        <f t="shared" si="41"/>
        <v>0.14893593622240398</v>
      </c>
    </row>
    <row r="1262" spans="2:9" x14ac:dyDescent="0.3">
      <c r="B1262" s="2">
        <v>3563</v>
      </c>
      <c r="C1262" s="41" t="s">
        <v>1895</v>
      </c>
      <c r="D1262" s="2">
        <v>9</v>
      </c>
      <c r="E1262" s="2" t="s">
        <v>12</v>
      </c>
      <c r="F1262" s="294">
        <v>285000</v>
      </c>
      <c r="G1262" s="247">
        <v>315200</v>
      </c>
      <c r="H1262" s="295">
        <f t="shared" si="40"/>
        <v>30200</v>
      </c>
      <c r="I1262" s="250">
        <f t="shared" si="41"/>
        <v>9.5812182741116747E-2</v>
      </c>
    </row>
    <row r="1263" spans="2:9" x14ac:dyDescent="0.3">
      <c r="B1263" s="2">
        <v>3564</v>
      </c>
      <c r="C1263" s="41" t="s">
        <v>1021</v>
      </c>
      <c r="D1263" s="2">
        <v>9</v>
      </c>
      <c r="E1263" s="2" t="s">
        <v>338</v>
      </c>
      <c r="F1263" s="294">
        <v>10807.223</v>
      </c>
      <c r="G1263" s="247">
        <v>12500</v>
      </c>
      <c r="H1263" s="295">
        <f t="shared" si="40"/>
        <v>1692.777</v>
      </c>
      <c r="I1263" s="250">
        <f t="shared" si="41"/>
        <v>0.13542216000000001</v>
      </c>
    </row>
    <row r="1264" spans="2:9" x14ac:dyDescent="0.3">
      <c r="B1264" s="2">
        <v>3565</v>
      </c>
      <c r="C1264" s="41" t="s">
        <v>1022</v>
      </c>
      <c r="D1264" s="2">
        <v>5</v>
      </c>
      <c r="E1264" s="2" t="s">
        <v>419</v>
      </c>
      <c r="F1264" s="294">
        <v>150710</v>
      </c>
      <c r="G1264" s="247">
        <v>177000</v>
      </c>
      <c r="H1264" s="295">
        <f t="shared" si="40"/>
        <v>26290</v>
      </c>
      <c r="I1264" s="250">
        <f t="shared" si="41"/>
        <v>0.14853107344632768</v>
      </c>
    </row>
    <row r="1265" spans="2:9" x14ac:dyDescent="0.3">
      <c r="B1265" s="2">
        <v>3566</v>
      </c>
      <c r="C1265" s="41" t="s">
        <v>1896</v>
      </c>
      <c r="D1265" s="2">
        <v>2</v>
      </c>
      <c r="E1265" s="2" t="s">
        <v>243</v>
      </c>
      <c r="F1265" s="294">
        <v>76702.5</v>
      </c>
      <c r="G1265" s="247">
        <v>93833.333333333328</v>
      </c>
      <c r="H1265" s="295">
        <f t="shared" si="40"/>
        <v>17130.833333333328</v>
      </c>
      <c r="I1265" s="250">
        <f t="shared" si="41"/>
        <v>0.18256660746003547</v>
      </c>
    </row>
    <row r="1266" spans="2:9" x14ac:dyDescent="0.3">
      <c r="B1266" s="2">
        <v>3567</v>
      </c>
      <c r="C1266" s="41" t="s">
        <v>1023</v>
      </c>
      <c r="D1266" s="2">
        <v>2</v>
      </c>
      <c r="E1266" s="2" t="s">
        <v>12</v>
      </c>
      <c r="F1266" s="294">
        <v>31043.25</v>
      </c>
      <c r="G1266" s="247">
        <v>35600</v>
      </c>
      <c r="H1266" s="295">
        <f t="shared" si="40"/>
        <v>4556.75</v>
      </c>
      <c r="I1266" s="250">
        <f t="shared" si="41"/>
        <v>0.12799859550561798</v>
      </c>
    </row>
    <row r="1267" spans="2:9" x14ac:dyDescent="0.3">
      <c r="B1267" s="2">
        <v>3568</v>
      </c>
      <c r="C1267" s="41" t="s">
        <v>1897</v>
      </c>
      <c r="D1267" s="2">
        <v>2</v>
      </c>
      <c r="E1267" s="2" t="s">
        <v>324</v>
      </c>
      <c r="F1267" s="294">
        <v>89386.5</v>
      </c>
      <c r="G1267" s="247">
        <v>72000</v>
      </c>
      <c r="H1267" s="295">
        <f t="shared" si="40"/>
        <v>-17386.5</v>
      </c>
      <c r="I1267" s="250">
        <f t="shared" si="41"/>
        <v>-0.24147916666666666</v>
      </c>
    </row>
    <row r="1268" spans="2:9" x14ac:dyDescent="0.3">
      <c r="B1268" s="2">
        <v>3569</v>
      </c>
      <c r="C1268" s="41" t="s">
        <v>1898</v>
      </c>
      <c r="D1268" s="2">
        <v>14</v>
      </c>
      <c r="E1268" s="2" t="s">
        <v>12</v>
      </c>
      <c r="F1268" s="294">
        <v>911.7</v>
      </c>
      <c r="G1268" s="247">
        <v>1500</v>
      </c>
      <c r="H1268" s="295">
        <f t="shared" si="40"/>
        <v>588.29999999999995</v>
      </c>
      <c r="I1268" s="250">
        <f t="shared" si="41"/>
        <v>0.39219999999999999</v>
      </c>
    </row>
    <row r="1269" spans="2:9" x14ac:dyDescent="0.3">
      <c r="B1269" s="2">
        <v>3570</v>
      </c>
      <c r="C1269" s="41" t="s">
        <v>1899</v>
      </c>
      <c r="D1269" s="2">
        <v>14</v>
      </c>
      <c r="E1269" s="2" t="s">
        <v>81</v>
      </c>
      <c r="F1269" s="294">
        <v>33881</v>
      </c>
      <c r="G1269" s="247">
        <v>42000</v>
      </c>
      <c r="H1269" s="295">
        <f t="shared" si="40"/>
        <v>8119</v>
      </c>
      <c r="I1269" s="250">
        <f t="shared" si="41"/>
        <v>0.19330952380952382</v>
      </c>
    </row>
    <row r="1270" spans="2:9" x14ac:dyDescent="0.3">
      <c r="B1270" s="2">
        <v>3571</v>
      </c>
      <c r="C1270" s="41" t="s">
        <v>1024</v>
      </c>
      <c r="D1270" s="2">
        <v>14</v>
      </c>
      <c r="E1270" s="2" t="s">
        <v>81</v>
      </c>
      <c r="F1270" s="294">
        <v>35022</v>
      </c>
      <c r="G1270" s="247">
        <v>42000</v>
      </c>
      <c r="H1270" s="295">
        <f t="shared" si="40"/>
        <v>6978</v>
      </c>
      <c r="I1270" s="250">
        <f t="shared" si="41"/>
        <v>0.16614285714285715</v>
      </c>
    </row>
    <row r="1271" spans="2:9" x14ac:dyDescent="0.3">
      <c r="B1271" s="2">
        <v>3572</v>
      </c>
      <c r="C1271" s="41" t="s">
        <v>1025</v>
      </c>
      <c r="D1271" s="2">
        <v>4</v>
      </c>
      <c r="E1271" s="2" t="s">
        <v>16</v>
      </c>
      <c r="F1271" s="294">
        <v>87200</v>
      </c>
      <c r="G1271" s="247">
        <v>107400</v>
      </c>
      <c r="H1271" s="295">
        <f t="shared" si="40"/>
        <v>20200</v>
      </c>
      <c r="I1271" s="250">
        <f t="shared" si="41"/>
        <v>0.18808193668528864</v>
      </c>
    </row>
    <row r="1272" spans="2:9" x14ac:dyDescent="0.3">
      <c r="B1272" s="2">
        <v>3573</v>
      </c>
      <c r="C1272" s="41" t="s">
        <v>1026</v>
      </c>
      <c r="D1272" s="2">
        <v>4</v>
      </c>
      <c r="E1272" s="2" t="s">
        <v>176</v>
      </c>
      <c r="F1272" s="294">
        <v>26000</v>
      </c>
      <c r="G1272" s="247">
        <v>32000</v>
      </c>
      <c r="H1272" s="295">
        <f t="shared" si="40"/>
        <v>6000</v>
      </c>
      <c r="I1272" s="250">
        <f t="shared" si="41"/>
        <v>0.1875</v>
      </c>
    </row>
    <row r="1273" spans="2:9" x14ac:dyDescent="0.3">
      <c r="B1273" s="2">
        <v>3574</v>
      </c>
      <c r="C1273" s="41" t="s">
        <v>1027</v>
      </c>
      <c r="D1273" s="2">
        <v>6</v>
      </c>
      <c r="E1273" s="2" t="s">
        <v>176</v>
      </c>
      <c r="F1273" s="294">
        <v>35538.461499999998</v>
      </c>
      <c r="G1273" s="247">
        <v>42000</v>
      </c>
      <c r="H1273" s="295">
        <f t="shared" si="40"/>
        <v>6461.5385000000024</v>
      </c>
      <c r="I1273" s="250">
        <f t="shared" si="41"/>
        <v>0.15384615476190483</v>
      </c>
    </row>
    <row r="1274" spans="2:9" x14ac:dyDescent="0.3">
      <c r="B1274" s="2">
        <v>3576</v>
      </c>
      <c r="C1274" s="41" t="s">
        <v>1900</v>
      </c>
      <c r="D1274" s="2">
        <v>1</v>
      </c>
      <c r="E1274" s="2" t="s">
        <v>12</v>
      </c>
      <c r="F1274" s="294">
        <v>3800</v>
      </c>
      <c r="G1274" s="247">
        <v>4966.666666666667</v>
      </c>
      <c r="H1274" s="295">
        <f t="shared" si="40"/>
        <v>1166.666666666667</v>
      </c>
      <c r="I1274" s="250">
        <f t="shared" si="41"/>
        <v>0.23489932885906045</v>
      </c>
    </row>
    <row r="1275" spans="2:9" x14ac:dyDescent="0.3">
      <c r="B1275" s="2">
        <v>3577</v>
      </c>
      <c r="C1275" s="41" t="s">
        <v>1028</v>
      </c>
      <c r="D1275" s="2">
        <v>5</v>
      </c>
      <c r="E1275" s="2" t="s">
        <v>12</v>
      </c>
      <c r="F1275" s="294">
        <v>50000</v>
      </c>
      <c r="G1275" s="247">
        <v>62000</v>
      </c>
      <c r="H1275" s="295">
        <f t="shared" si="40"/>
        <v>12000</v>
      </c>
      <c r="I1275" s="250">
        <f t="shared" si="41"/>
        <v>0.19354838709677419</v>
      </c>
    </row>
    <row r="1276" spans="2:9" x14ac:dyDescent="0.3">
      <c r="B1276" s="2">
        <v>3578</v>
      </c>
      <c r="C1276" s="41" t="s">
        <v>1029</v>
      </c>
      <c r="D1276" s="2">
        <v>4</v>
      </c>
      <c r="E1276" s="2" t="s">
        <v>176</v>
      </c>
      <c r="F1276" s="294">
        <v>15500</v>
      </c>
      <c r="G1276" s="247">
        <v>20500</v>
      </c>
      <c r="H1276" s="295">
        <f t="shared" si="40"/>
        <v>5000</v>
      </c>
      <c r="I1276" s="250">
        <f t="shared" si="41"/>
        <v>0.24390243902439024</v>
      </c>
    </row>
    <row r="1277" spans="2:9" x14ac:dyDescent="0.3">
      <c r="B1277" s="2">
        <v>3579</v>
      </c>
      <c r="C1277" s="41" t="s">
        <v>1030</v>
      </c>
      <c r="D1277" s="2">
        <v>14</v>
      </c>
      <c r="E1277" s="2" t="s">
        <v>12</v>
      </c>
      <c r="F1277" s="294">
        <v>104100</v>
      </c>
      <c r="G1277" s="247">
        <v>122000</v>
      </c>
      <c r="H1277" s="295">
        <f t="shared" si="40"/>
        <v>17900</v>
      </c>
      <c r="I1277" s="250">
        <f t="shared" si="41"/>
        <v>0.14672131147540984</v>
      </c>
    </row>
    <row r="1278" spans="2:9" x14ac:dyDescent="0.3">
      <c r="B1278" s="2">
        <v>3581</v>
      </c>
      <c r="C1278" s="41" t="s">
        <v>1901</v>
      </c>
      <c r="D1278" s="2">
        <v>2</v>
      </c>
      <c r="E1278" s="2" t="s">
        <v>12</v>
      </c>
      <c r="F1278" s="294">
        <v>132000</v>
      </c>
      <c r="G1278" s="247">
        <v>150233.33333333334</v>
      </c>
      <c r="H1278" s="295">
        <f t="shared" si="40"/>
        <v>18233.333333333343</v>
      </c>
      <c r="I1278" s="250">
        <f t="shared" si="41"/>
        <v>0.12136676281340143</v>
      </c>
    </row>
    <row r="1279" spans="2:9" x14ac:dyDescent="0.3">
      <c r="B1279" s="2">
        <v>3582</v>
      </c>
      <c r="C1279" s="41" t="s">
        <v>1031</v>
      </c>
      <c r="D1279" s="2">
        <v>14</v>
      </c>
      <c r="E1279" s="2" t="s">
        <v>12</v>
      </c>
      <c r="F1279" s="294">
        <v>12773.6875</v>
      </c>
      <c r="G1279" s="247">
        <v>16200</v>
      </c>
      <c r="H1279" s="295">
        <f t="shared" si="40"/>
        <v>3426.3125</v>
      </c>
      <c r="I1279" s="250">
        <f t="shared" si="41"/>
        <v>0.21150077160493827</v>
      </c>
    </row>
    <row r="1280" spans="2:9" x14ac:dyDescent="0.3">
      <c r="B1280" s="2">
        <v>3583</v>
      </c>
      <c r="C1280" s="41" t="s">
        <v>1032</v>
      </c>
      <c r="D1280" s="2">
        <v>14</v>
      </c>
      <c r="E1280" s="2" t="s">
        <v>12</v>
      </c>
      <c r="F1280" s="294">
        <v>16212.857099999999</v>
      </c>
      <c r="G1280" s="247">
        <v>19800</v>
      </c>
      <c r="H1280" s="295">
        <f t="shared" si="40"/>
        <v>3587.1429000000007</v>
      </c>
      <c r="I1280" s="250">
        <f t="shared" si="41"/>
        <v>0.18116883333333336</v>
      </c>
    </row>
    <row r="1281" spans="2:9" x14ac:dyDescent="0.3">
      <c r="B1281" s="2">
        <v>3584</v>
      </c>
      <c r="C1281" s="41" t="s">
        <v>1033</v>
      </c>
      <c r="D1281" s="2">
        <v>14</v>
      </c>
      <c r="E1281" s="2" t="s">
        <v>12</v>
      </c>
      <c r="F1281" s="294">
        <v>4947</v>
      </c>
      <c r="G1281" s="247">
        <v>6000</v>
      </c>
      <c r="H1281" s="295">
        <f t="shared" si="40"/>
        <v>1053</v>
      </c>
      <c r="I1281" s="250">
        <f t="shared" si="41"/>
        <v>0.17549999999999999</v>
      </c>
    </row>
    <row r="1282" spans="2:9" x14ac:dyDescent="0.3">
      <c r="B1282" s="2">
        <v>3585</v>
      </c>
      <c r="C1282" s="41" t="s">
        <v>1034</v>
      </c>
      <c r="D1282" s="2">
        <v>14</v>
      </c>
      <c r="E1282" s="2" t="s">
        <v>12</v>
      </c>
      <c r="F1282" s="294">
        <v>7690.7142999999996</v>
      </c>
      <c r="G1282" s="247">
        <v>10500</v>
      </c>
      <c r="H1282" s="295">
        <f t="shared" si="40"/>
        <v>2809.2857000000004</v>
      </c>
      <c r="I1282" s="250">
        <f t="shared" si="41"/>
        <v>0.26755101904761908</v>
      </c>
    </row>
    <row r="1283" spans="2:9" x14ac:dyDescent="0.3">
      <c r="B1283" s="2">
        <v>3586</v>
      </c>
      <c r="C1283" s="41" t="s">
        <v>1035</v>
      </c>
      <c r="D1283" s="2">
        <v>14</v>
      </c>
      <c r="E1283" s="2" t="s">
        <v>12</v>
      </c>
      <c r="F1283" s="294">
        <v>12125</v>
      </c>
      <c r="G1283" s="247">
        <v>16200</v>
      </c>
      <c r="H1283" s="295">
        <f t="shared" si="40"/>
        <v>4075</v>
      </c>
      <c r="I1283" s="250">
        <f t="shared" si="41"/>
        <v>0.25154320987654322</v>
      </c>
    </row>
    <row r="1284" spans="2:9" x14ac:dyDescent="0.3">
      <c r="B1284" s="2">
        <v>3587</v>
      </c>
      <c r="C1284" s="41" t="s">
        <v>1036</v>
      </c>
      <c r="D1284" s="2">
        <v>14</v>
      </c>
      <c r="E1284" s="2" t="s">
        <v>12</v>
      </c>
      <c r="F1284" s="294">
        <v>8245</v>
      </c>
      <c r="G1284" s="247">
        <v>10500</v>
      </c>
      <c r="H1284" s="295">
        <f t="shared" si="40"/>
        <v>2255</v>
      </c>
      <c r="I1284" s="250">
        <f t="shared" si="41"/>
        <v>0.21476190476190476</v>
      </c>
    </row>
    <row r="1285" spans="2:9" x14ac:dyDescent="0.3">
      <c r="B1285" s="2">
        <v>3588</v>
      </c>
      <c r="C1285" s="41" t="s">
        <v>1037</v>
      </c>
      <c r="D1285" s="2">
        <v>14</v>
      </c>
      <c r="E1285" s="2" t="s">
        <v>12</v>
      </c>
      <c r="F1285" s="294">
        <v>790.55</v>
      </c>
      <c r="G1285" s="247">
        <v>1000</v>
      </c>
      <c r="H1285" s="295">
        <f t="shared" si="40"/>
        <v>209.45000000000005</v>
      </c>
      <c r="I1285" s="250">
        <f t="shared" si="41"/>
        <v>0.20945000000000005</v>
      </c>
    </row>
    <row r="1286" spans="2:9" x14ac:dyDescent="0.3">
      <c r="B1286" s="2">
        <v>3589</v>
      </c>
      <c r="C1286" s="41" t="s">
        <v>1038</v>
      </c>
      <c r="D1286" s="2">
        <v>5</v>
      </c>
      <c r="E1286" s="2" t="s">
        <v>12</v>
      </c>
      <c r="F1286" s="294">
        <v>59558.400000000001</v>
      </c>
      <c r="G1286" s="247">
        <v>75000</v>
      </c>
      <c r="H1286" s="295">
        <f t="shared" si="40"/>
        <v>15441.599999999999</v>
      </c>
      <c r="I1286" s="250">
        <f t="shared" si="41"/>
        <v>0.20588799999999999</v>
      </c>
    </row>
    <row r="1287" spans="2:9" x14ac:dyDescent="0.3">
      <c r="B1287" s="2">
        <v>3591</v>
      </c>
      <c r="C1287" s="41" t="s">
        <v>1039</v>
      </c>
      <c r="D1287" s="2">
        <v>5</v>
      </c>
      <c r="E1287" s="2" t="s">
        <v>12</v>
      </c>
      <c r="F1287" s="294">
        <v>17800</v>
      </c>
      <c r="G1287" s="247">
        <v>25000</v>
      </c>
      <c r="H1287" s="295">
        <f t="shared" si="40"/>
        <v>7200</v>
      </c>
      <c r="I1287" s="250">
        <f t="shared" si="41"/>
        <v>0.28799999999999998</v>
      </c>
    </row>
    <row r="1288" spans="2:9" x14ac:dyDescent="0.3">
      <c r="B1288" s="2">
        <v>3592</v>
      </c>
      <c r="C1288" s="41" t="s">
        <v>1040</v>
      </c>
      <c r="D1288" s="2">
        <v>4</v>
      </c>
      <c r="E1288" s="2" t="s">
        <v>12</v>
      </c>
      <c r="F1288" s="294">
        <v>155676</v>
      </c>
      <c r="G1288" s="247">
        <v>182000</v>
      </c>
      <c r="H1288" s="295">
        <f t="shared" si="40"/>
        <v>26324</v>
      </c>
      <c r="I1288" s="250">
        <f t="shared" si="41"/>
        <v>0.14463736263736263</v>
      </c>
    </row>
    <row r="1289" spans="2:9" x14ac:dyDescent="0.3">
      <c r="B1289" s="2">
        <v>3593</v>
      </c>
      <c r="C1289" s="41" t="s">
        <v>1041</v>
      </c>
      <c r="D1289" s="2">
        <v>1</v>
      </c>
      <c r="E1289" s="2" t="s">
        <v>12</v>
      </c>
      <c r="F1289" s="294">
        <v>8400.2099999999991</v>
      </c>
      <c r="G1289" s="247">
        <v>10200</v>
      </c>
      <c r="H1289" s="295">
        <f t="shared" si="40"/>
        <v>1799.7900000000009</v>
      </c>
      <c r="I1289" s="250">
        <f t="shared" si="41"/>
        <v>0.17645000000000008</v>
      </c>
    </row>
    <row r="1290" spans="2:9" x14ac:dyDescent="0.3">
      <c r="B1290" s="2">
        <v>3594</v>
      </c>
      <c r="C1290" s="41" t="s">
        <v>1042</v>
      </c>
      <c r="D1290" s="2">
        <v>5</v>
      </c>
      <c r="E1290" s="2" t="s">
        <v>12</v>
      </c>
      <c r="F1290" s="294">
        <v>63423</v>
      </c>
      <c r="G1290" s="247">
        <v>82500</v>
      </c>
      <c r="H1290" s="295">
        <f t="shared" si="40"/>
        <v>19077</v>
      </c>
      <c r="I1290" s="250">
        <f t="shared" si="41"/>
        <v>0.23123636363636363</v>
      </c>
    </row>
    <row r="1291" spans="2:9" x14ac:dyDescent="0.3">
      <c r="B1291" s="2">
        <v>3595</v>
      </c>
      <c r="C1291" s="41" t="s">
        <v>1043</v>
      </c>
      <c r="D1291" s="2">
        <v>5</v>
      </c>
      <c r="E1291" s="2" t="s">
        <v>12</v>
      </c>
      <c r="F1291" s="294">
        <v>28600</v>
      </c>
      <c r="G1291" s="247">
        <v>35000</v>
      </c>
      <c r="H1291" s="295">
        <f t="shared" si="40"/>
        <v>6400</v>
      </c>
      <c r="I1291" s="250">
        <f t="shared" si="41"/>
        <v>0.18285714285714286</v>
      </c>
    </row>
    <row r="1292" spans="2:9" x14ac:dyDescent="0.3">
      <c r="B1292" s="2">
        <v>3596</v>
      </c>
      <c r="C1292" s="41" t="s">
        <v>1044</v>
      </c>
      <c r="D1292" s="2">
        <v>14</v>
      </c>
      <c r="E1292" s="2" t="s">
        <v>12</v>
      </c>
      <c r="F1292" s="294">
        <v>19074</v>
      </c>
      <c r="G1292" s="247">
        <v>22000</v>
      </c>
      <c r="H1292" s="295">
        <f t="shared" si="40"/>
        <v>2926</v>
      </c>
      <c r="I1292" s="250">
        <f t="shared" si="41"/>
        <v>0.13300000000000001</v>
      </c>
    </row>
    <row r="1293" spans="2:9" x14ac:dyDescent="0.3">
      <c r="B1293" s="2">
        <v>3598</v>
      </c>
      <c r="C1293" s="41" t="s">
        <v>1045</v>
      </c>
      <c r="D1293" s="2">
        <v>7</v>
      </c>
      <c r="E1293" s="2" t="s">
        <v>12</v>
      </c>
      <c r="F1293" s="294">
        <v>1000</v>
      </c>
      <c r="G1293" s="247">
        <v>1800</v>
      </c>
      <c r="H1293" s="295">
        <f t="shared" si="40"/>
        <v>800</v>
      </c>
      <c r="I1293" s="250">
        <f t="shared" si="41"/>
        <v>0.44444444444444442</v>
      </c>
    </row>
    <row r="1294" spans="2:9" x14ac:dyDescent="0.3">
      <c r="B1294" s="2">
        <v>3599</v>
      </c>
      <c r="C1294" s="41" t="s">
        <v>1046</v>
      </c>
      <c r="D1294" s="2">
        <v>12</v>
      </c>
      <c r="E1294" s="2" t="s">
        <v>12</v>
      </c>
      <c r="F1294" s="294">
        <v>1900</v>
      </c>
      <c r="G1294" s="247">
        <v>2500</v>
      </c>
      <c r="H1294" s="295">
        <f t="shared" si="40"/>
        <v>600</v>
      </c>
      <c r="I1294" s="250">
        <f t="shared" si="41"/>
        <v>0.24</v>
      </c>
    </row>
    <row r="1295" spans="2:9" x14ac:dyDescent="0.3">
      <c r="B1295" s="2">
        <v>3600</v>
      </c>
      <c r="C1295" s="41" t="s">
        <v>1047</v>
      </c>
      <c r="D1295" s="2">
        <v>12</v>
      </c>
      <c r="E1295" s="2" t="s">
        <v>12</v>
      </c>
      <c r="F1295" s="294">
        <v>28800</v>
      </c>
      <c r="G1295" s="247">
        <v>32400</v>
      </c>
      <c r="H1295" s="295">
        <f t="shared" si="40"/>
        <v>3600</v>
      </c>
      <c r="I1295" s="250">
        <f t="shared" si="41"/>
        <v>0.1111111111111111</v>
      </c>
    </row>
    <row r="1296" spans="2:9" x14ac:dyDescent="0.3">
      <c r="B1296" s="2">
        <v>3601</v>
      </c>
      <c r="C1296" s="41" t="s">
        <v>1048</v>
      </c>
      <c r="D1296" s="2">
        <v>12</v>
      </c>
      <c r="E1296" s="2" t="s">
        <v>12</v>
      </c>
      <c r="F1296" s="294">
        <v>23000</v>
      </c>
      <c r="G1296" s="247">
        <v>28200</v>
      </c>
      <c r="H1296" s="295">
        <f t="shared" si="40"/>
        <v>5200</v>
      </c>
      <c r="I1296" s="250">
        <f t="shared" si="41"/>
        <v>0.18439716312056736</v>
      </c>
    </row>
    <row r="1297" spans="2:9" x14ac:dyDescent="0.3">
      <c r="B1297" s="2">
        <v>3602</v>
      </c>
      <c r="C1297" s="41" t="s">
        <v>1049</v>
      </c>
      <c r="D1297" s="2">
        <v>12</v>
      </c>
      <c r="E1297" s="2" t="s">
        <v>12</v>
      </c>
      <c r="F1297" s="294">
        <v>1000</v>
      </c>
      <c r="G1297" s="247">
        <v>1800</v>
      </c>
      <c r="H1297" s="295">
        <f t="shared" si="40"/>
        <v>800</v>
      </c>
      <c r="I1297" s="250">
        <f t="shared" si="41"/>
        <v>0.44444444444444442</v>
      </c>
    </row>
    <row r="1298" spans="2:9" x14ac:dyDescent="0.3">
      <c r="B1298" s="2">
        <v>3603</v>
      </c>
      <c r="C1298" s="41" t="s">
        <v>1050</v>
      </c>
      <c r="D1298" s="2">
        <v>12</v>
      </c>
      <c r="E1298" s="2" t="s">
        <v>12</v>
      </c>
      <c r="F1298" s="294">
        <v>6000</v>
      </c>
      <c r="G1298" s="247">
        <v>8000</v>
      </c>
      <c r="H1298" s="295">
        <f t="shared" si="40"/>
        <v>2000</v>
      </c>
      <c r="I1298" s="250">
        <f t="shared" si="41"/>
        <v>0.25</v>
      </c>
    </row>
    <row r="1299" spans="2:9" x14ac:dyDescent="0.3">
      <c r="B1299" s="2">
        <v>3605</v>
      </c>
      <c r="C1299" s="41" t="s">
        <v>1051</v>
      </c>
      <c r="D1299" s="2">
        <v>12</v>
      </c>
      <c r="E1299" s="2" t="s">
        <v>12</v>
      </c>
      <c r="F1299" s="294">
        <v>5500.18</v>
      </c>
      <c r="G1299" s="247">
        <v>6500</v>
      </c>
      <c r="H1299" s="295">
        <f t="shared" si="40"/>
        <v>999.81999999999971</v>
      </c>
      <c r="I1299" s="250">
        <f t="shared" si="41"/>
        <v>0.15381846153846149</v>
      </c>
    </row>
    <row r="1300" spans="2:9" x14ac:dyDescent="0.3">
      <c r="B1300" s="2">
        <v>3606</v>
      </c>
      <c r="C1300" s="41" t="s">
        <v>1052</v>
      </c>
      <c r="D1300" s="2">
        <v>12</v>
      </c>
      <c r="E1300" s="2" t="s">
        <v>12</v>
      </c>
      <c r="F1300" s="294">
        <v>7900</v>
      </c>
      <c r="G1300" s="247">
        <v>9500</v>
      </c>
      <c r="H1300" s="295">
        <f t="shared" si="40"/>
        <v>1600</v>
      </c>
      <c r="I1300" s="250">
        <f t="shared" si="41"/>
        <v>0.16842105263157894</v>
      </c>
    </row>
    <row r="1301" spans="2:9" x14ac:dyDescent="0.3">
      <c r="B1301" s="2">
        <v>3607</v>
      </c>
      <c r="C1301" s="41" t="s">
        <v>1053</v>
      </c>
      <c r="D1301" s="2">
        <v>12</v>
      </c>
      <c r="E1301" s="2" t="s">
        <v>12</v>
      </c>
      <c r="F1301" s="294">
        <v>18700</v>
      </c>
      <c r="G1301" s="247">
        <v>22500</v>
      </c>
      <c r="H1301" s="295">
        <f t="shared" si="40"/>
        <v>3800</v>
      </c>
      <c r="I1301" s="250">
        <f t="shared" si="41"/>
        <v>0.16888888888888889</v>
      </c>
    </row>
    <row r="1302" spans="2:9" x14ac:dyDescent="0.3">
      <c r="B1302" s="2">
        <v>3608</v>
      </c>
      <c r="C1302" s="41" t="s">
        <v>1054</v>
      </c>
      <c r="D1302" s="2">
        <v>12</v>
      </c>
      <c r="E1302" s="2" t="s">
        <v>12</v>
      </c>
      <c r="F1302" s="294">
        <v>15600</v>
      </c>
      <c r="G1302" s="247">
        <v>22500</v>
      </c>
      <c r="H1302" s="295">
        <f t="shared" si="40"/>
        <v>6900</v>
      </c>
      <c r="I1302" s="250">
        <f t="shared" si="41"/>
        <v>0.30666666666666664</v>
      </c>
    </row>
    <row r="1303" spans="2:9" x14ac:dyDescent="0.3">
      <c r="B1303" s="2">
        <v>3609</v>
      </c>
      <c r="C1303" s="41" t="s">
        <v>1055</v>
      </c>
      <c r="D1303" s="2">
        <v>12</v>
      </c>
      <c r="E1303" s="2" t="s">
        <v>12</v>
      </c>
      <c r="F1303" s="294">
        <v>5500</v>
      </c>
      <c r="G1303" s="247">
        <v>7000</v>
      </c>
      <c r="H1303" s="295">
        <f t="shared" si="40"/>
        <v>1500</v>
      </c>
      <c r="I1303" s="250">
        <f t="shared" si="41"/>
        <v>0.21428571428571427</v>
      </c>
    </row>
    <row r="1304" spans="2:9" x14ac:dyDescent="0.3">
      <c r="B1304" s="2">
        <v>3610</v>
      </c>
      <c r="C1304" s="41" t="s">
        <v>1056</v>
      </c>
      <c r="D1304" s="2">
        <v>12</v>
      </c>
      <c r="E1304" s="2" t="s">
        <v>12</v>
      </c>
      <c r="F1304" s="294">
        <v>6200</v>
      </c>
      <c r="G1304" s="247">
        <v>7500</v>
      </c>
      <c r="H1304" s="295">
        <f t="shared" si="40"/>
        <v>1300</v>
      </c>
      <c r="I1304" s="250">
        <f t="shared" si="41"/>
        <v>0.17333333333333334</v>
      </c>
    </row>
    <row r="1305" spans="2:9" x14ac:dyDescent="0.3">
      <c r="B1305" s="2">
        <v>3611</v>
      </c>
      <c r="C1305" s="41" t="s">
        <v>1057</v>
      </c>
      <c r="D1305" s="2">
        <v>12</v>
      </c>
      <c r="E1305" s="2" t="s">
        <v>12</v>
      </c>
      <c r="F1305" s="294">
        <v>8700</v>
      </c>
      <c r="G1305" s="247">
        <v>9700</v>
      </c>
      <c r="H1305" s="295">
        <f t="shared" si="40"/>
        <v>1000</v>
      </c>
      <c r="I1305" s="250">
        <f t="shared" si="41"/>
        <v>0.10309278350515463</v>
      </c>
    </row>
    <row r="1306" spans="2:9" x14ac:dyDescent="0.3">
      <c r="B1306" s="2">
        <v>3612</v>
      </c>
      <c r="C1306" s="41" t="s">
        <v>1902</v>
      </c>
      <c r="D1306" s="2">
        <v>7</v>
      </c>
      <c r="E1306" s="2" t="s">
        <v>12</v>
      </c>
      <c r="F1306" s="294">
        <v>20200</v>
      </c>
      <c r="G1306" s="247">
        <v>25000</v>
      </c>
      <c r="H1306" s="295">
        <f t="shared" si="40"/>
        <v>4800</v>
      </c>
      <c r="I1306" s="250">
        <f t="shared" si="41"/>
        <v>0.192</v>
      </c>
    </row>
    <row r="1307" spans="2:9" x14ac:dyDescent="0.3">
      <c r="B1307" s="2">
        <v>3613</v>
      </c>
      <c r="C1307" s="41" t="s">
        <v>1058</v>
      </c>
      <c r="D1307" s="2">
        <v>13</v>
      </c>
      <c r="E1307" s="2" t="s">
        <v>12</v>
      </c>
      <c r="F1307" s="294">
        <v>47521.46</v>
      </c>
      <c r="G1307" s="247">
        <v>55000</v>
      </c>
      <c r="H1307" s="295">
        <f t="shared" si="40"/>
        <v>7478.5400000000009</v>
      </c>
      <c r="I1307" s="250">
        <f t="shared" si="41"/>
        <v>0.13597345454545456</v>
      </c>
    </row>
    <row r="1308" spans="2:9" x14ac:dyDescent="0.3">
      <c r="B1308" s="2">
        <v>3614</v>
      </c>
      <c r="C1308" s="41" t="s">
        <v>1059</v>
      </c>
      <c r="D1308" s="2">
        <v>13</v>
      </c>
      <c r="E1308" s="2" t="s">
        <v>12</v>
      </c>
      <c r="F1308" s="294">
        <v>4135.25</v>
      </c>
      <c r="G1308" s="247">
        <v>5500</v>
      </c>
      <c r="H1308" s="295">
        <f t="shared" si="40"/>
        <v>1364.75</v>
      </c>
      <c r="I1308" s="250">
        <f t="shared" si="41"/>
        <v>0.24813636363636363</v>
      </c>
    </row>
    <row r="1309" spans="2:9" x14ac:dyDescent="0.3">
      <c r="B1309" s="2">
        <v>3615</v>
      </c>
      <c r="C1309" s="41" t="s">
        <v>1060</v>
      </c>
      <c r="D1309" s="2">
        <v>13</v>
      </c>
      <c r="E1309" s="2" t="s">
        <v>12</v>
      </c>
      <c r="F1309" s="294">
        <v>5884.55</v>
      </c>
      <c r="G1309" s="247">
        <v>8000</v>
      </c>
      <c r="H1309" s="295">
        <f t="shared" si="40"/>
        <v>2115.4499999999998</v>
      </c>
      <c r="I1309" s="250">
        <f t="shared" si="41"/>
        <v>0.26443124999999995</v>
      </c>
    </row>
    <row r="1310" spans="2:9" x14ac:dyDescent="0.3">
      <c r="B1310" s="2">
        <v>3617</v>
      </c>
      <c r="C1310" s="41" t="s">
        <v>1061</v>
      </c>
      <c r="D1310" s="2">
        <v>7</v>
      </c>
      <c r="E1310" s="2" t="s">
        <v>12</v>
      </c>
      <c r="F1310" s="294">
        <v>5470</v>
      </c>
      <c r="G1310" s="247">
        <v>6200</v>
      </c>
      <c r="H1310" s="295">
        <f t="shared" si="40"/>
        <v>730</v>
      </c>
      <c r="I1310" s="250">
        <f t="shared" si="41"/>
        <v>0.11774193548387096</v>
      </c>
    </row>
    <row r="1311" spans="2:9" x14ac:dyDescent="0.3">
      <c r="B1311" s="2">
        <v>3618</v>
      </c>
      <c r="C1311" s="41" t="s">
        <v>1062</v>
      </c>
      <c r="D1311" s="2">
        <v>7</v>
      </c>
      <c r="E1311" s="2" t="s">
        <v>12</v>
      </c>
      <c r="F1311" s="294">
        <v>26400</v>
      </c>
      <c r="G1311" s="247">
        <v>30200</v>
      </c>
      <c r="H1311" s="295">
        <f t="shared" si="40"/>
        <v>3800</v>
      </c>
      <c r="I1311" s="250">
        <f t="shared" si="41"/>
        <v>0.12582781456953643</v>
      </c>
    </row>
    <row r="1312" spans="2:9" x14ac:dyDescent="0.3">
      <c r="B1312" s="2">
        <v>3619</v>
      </c>
      <c r="C1312" s="41" t="s">
        <v>1063</v>
      </c>
      <c r="D1312" s="2">
        <v>7</v>
      </c>
      <c r="E1312" s="2" t="s">
        <v>5</v>
      </c>
      <c r="F1312" s="294">
        <v>41000</v>
      </c>
      <c r="G1312" s="247">
        <v>48000</v>
      </c>
      <c r="H1312" s="295">
        <f t="shared" si="40"/>
        <v>7000</v>
      </c>
      <c r="I1312" s="250">
        <f t="shared" si="41"/>
        <v>0.14583333333333334</v>
      </c>
    </row>
    <row r="1313" spans="2:9" x14ac:dyDescent="0.3">
      <c r="B1313" s="2">
        <v>3620</v>
      </c>
      <c r="C1313" s="41" t="s">
        <v>1064</v>
      </c>
      <c r="D1313" s="2">
        <v>7</v>
      </c>
      <c r="E1313" s="2" t="s">
        <v>12</v>
      </c>
      <c r="F1313" s="294">
        <v>9828</v>
      </c>
      <c r="G1313" s="247">
        <v>13800</v>
      </c>
      <c r="H1313" s="295">
        <f t="shared" si="40"/>
        <v>3972</v>
      </c>
      <c r="I1313" s="250">
        <f t="shared" si="41"/>
        <v>0.28782608695652173</v>
      </c>
    </row>
    <row r="1314" spans="2:9" x14ac:dyDescent="0.3">
      <c r="B1314" s="2">
        <v>3621</v>
      </c>
      <c r="C1314" s="41" t="s">
        <v>1065</v>
      </c>
      <c r="D1314" s="2">
        <v>5</v>
      </c>
      <c r="E1314" s="2" t="s">
        <v>12</v>
      </c>
      <c r="F1314" s="294">
        <v>719896</v>
      </c>
      <c r="G1314" s="247">
        <v>841000</v>
      </c>
      <c r="H1314" s="295">
        <f t="shared" si="40"/>
        <v>121104</v>
      </c>
      <c r="I1314" s="250">
        <f t="shared" si="41"/>
        <v>0.14399999999999999</v>
      </c>
    </row>
    <row r="1315" spans="2:9" x14ac:dyDescent="0.3">
      <c r="B1315" s="2">
        <v>3622</v>
      </c>
      <c r="C1315" s="41" t="s">
        <v>1903</v>
      </c>
      <c r="D1315" s="2">
        <v>5</v>
      </c>
      <c r="E1315" s="2" t="s">
        <v>419</v>
      </c>
      <c r="F1315" s="294">
        <v>254350</v>
      </c>
      <c r="G1315" s="247">
        <v>292300</v>
      </c>
      <c r="H1315" s="295">
        <f t="shared" si="40"/>
        <v>37950</v>
      </c>
      <c r="I1315" s="250">
        <f t="shared" si="41"/>
        <v>0.1298323640095792</v>
      </c>
    </row>
    <row r="1316" spans="2:9" x14ac:dyDescent="0.3">
      <c r="B1316" s="2">
        <v>3623</v>
      </c>
      <c r="C1316" s="41" t="s">
        <v>1066</v>
      </c>
      <c r="D1316" s="2">
        <v>14</v>
      </c>
      <c r="E1316" s="2" t="s">
        <v>81</v>
      </c>
      <c r="F1316" s="294">
        <v>11000</v>
      </c>
      <c r="G1316" s="247">
        <v>13000</v>
      </c>
      <c r="H1316" s="295">
        <f t="shared" si="40"/>
        <v>2000</v>
      </c>
      <c r="I1316" s="250">
        <f t="shared" si="41"/>
        <v>0.15384615384615385</v>
      </c>
    </row>
    <row r="1317" spans="2:9" x14ac:dyDescent="0.3">
      <c r="B1317" s="2">
        <v>3624</v>
      </c>
      <c r="C1317" s="41" t="s">
        <v>1067</v>
      </c>
      <c r="D1317" s="2">
        <v>10</v>
      </c>
      <c r="E1317" s="2" t="s">
        <v>12</v>
      </c>
      <c r="F1317" s="294">
        <v>4777.5168000000003</v>
      </c>
      <c r="G1317" s="247">
        <v>9000</v>
      </c>
      <c r="H1317" s="295">
        <f t="shared" si="40"/>
        <v>4222.4831999999997</v>
      </c>
      <c r="I1317" s="250">
        <f t="shared" si="41"/>
        <v>0.46916479999999994</v>
      </c>
    </row>
    <row r="1318" spans="2:9" x14ac:dyDescent="0.3">
      <c r="B1318" s="2">
        <v>3625</v>
      </c>
      <c r="C1318" s="41" t="s">
        <v>1904</v>
      </c>
      <c r="D1318" s="2">
        <v>6</v>
      </c>
      <c r="E1318" s="2" t="s">
        <v>12</v>
      </c>
      <c r="F1318" s="294">
        <v>61100</v>
      </c>
      <c r="G1318" s="247">
        <v>71000</v>
      </c>
      <c r="H1318" s="295">
        <f t="shared" si="40"/>
        <v>9900</v>
      </c>
      <c r="I1318" s="250">
        <f t="shared" si="41"/>
        <v>0.13943661971830987</v>
      </c>
    </row>
    <row r="1319" spans="2:9" x14ac:dyDescent="0.3">
      <c r="B1319" s="2">
        <v>3626</v>
      </c>
      <c r="C1319" s="41" t="s">
        <v>1905</v>
      </c>
      <c r="D1319" s="2">
        <v>6</v>
      </c>
      <c r="E1319" s="2" t="s">
        <v>16</v>
      </c>
      <c r="F1319" s="294">
        <v>43900</v>
      </c>
      <c r="G1319" s="247">
        <v>50300</v>
      </c>
      <c r="H1319" s="295">
        <f t="shared" si="40"/>
        <v>6400</v>
      </c>
      <c r="I1319" s="250">
        <f t="shared" si="41"/>
        <v>0.1272365805168986</v>
      </c>
    </row>
    <row r="1320" spans="2:9" x14ac:dyDescent="0.3">
      <c r="B1320" s="2">
        <v>3627</v>
      </c>
      <c r="C1320" s="41" t="s">
        <v>1906</v>
      </c>
      <c r="D1320" s="2">
        <v>4</v>
      </c>
      <c r="E1320" s="2" t="s">
        <v>12</v>
      </c>
      <c r="F1320" s="294">
        <v>36000</v>
      </c>
      <c r="G1320" s="247">
        <v>45000</v>
      </c>
      <c r="H1320" s="295">
        <f t="shared" ref="H1320:H1379" si="42">G1320-F1320</f>
        <v>9000</v>
      </c>
      <c r="I1320" s="250">
        <f t="shared" ref="I1320:I1379" si="43">H1320/G1320</f>
        <v>0.2</v>
      </c>
    </row>
    <row r="1321" spans="2:9" x14ac:dyDescent="0.3">
      <c r="B1321" s="2">
        <v>3628</v>
      </c>
      <c r="C1321" s="41" t="s">
        <v>1068</v>
      </c>
      <c r="D1321" s="2">
        <v>12</v>
      </c>
      <c r="E1321" s="2" t="s">
        <v>12</v>
      </c>
      <c r="F1321" s="294">
        <v>24100</v>
      </c>
      <c r="G1321" s="247">
        <v>35000</v>
      </c>
      <c r="H1321" s="295">
        <f t="shared" si="42"/>
        <v>10900</v>
      </c>
      <c r="I1321" s="250">
        <f t="shared" si="43"/>
        <v>0.31142857142857144</v>
      </c>
    </row>
    <row r="1322" spans="2:9" x14ac:dyDescent="0.3">
      <c r="B1322" s="2">
        <v>3629</v>
      </c>
      <c r="C1322" s="41" t="s">
        <v>1069</v>
      </c>
      <c r="D1322" s="2">
        <v>6</v>
      </c>
      <c r="E1322" s="2" t="s">
        <v>160</v>
      </c>
      <c r="F1322" s="294">
        <v>18900</v>
      </c>
      <c r="G1322" s="247">
        <v>23600</v>
      </c>
      <c r="H1322" s="295">
        <f t="shared" si="42"/>
        <v>4700</v>
      </c>
      <c r="I1322" s="250">
        <f t="shared" si="43"/>
        <v>0.19915254237288135</v>
      </c>
    </row>
    <row r="1323" spans="2:9" x14ac:dyDescent="0.3">
      <c r="B1323" s="2">
        <v>3630</v>
      </c>
      <c r="C1323" s="41" t="s">
        <v>1907</v>
      </c>
      <c r="D1323" s="2">
        <v>2</v>
      </c>
      <c r="E1323" s="2" t="s">
        <v>12</v>
      </c>
      <c r="F1323" s="294">
        <v>75999.997499999998</v>
      </c>
      <c r="G1323" s="247">
        <v>80666.666666666672</v>
      </c>
      <c r="H1323" s="295">
        <f t="shared" si="42"/>
        <v>4666.6691666666738</v>
      </c>
      <c r="I1323" s="250">
        <f t="shared" si="43"/>
        <v>5.7851270661157111E-2</v>
      </c>
    </row>
    <row r="1324" spans="2:9" x14ac:dyDescent="0.3">
      <c r="B1324" s="2">
        <v>3632</v>
      </c>
      <c r="C1324" s="41" t="s">
        <v>1070</v>
      </c>
      <c r="D1324" s="2">
        <v>4</v>
      </c>
      <c r="E1324" s="2" t="s">
        <v>16</v>
      </c>
      <c r="F1324" s="294">
        <v>222500</v>
      </c>
      <c r="G1324" s="247">
        <v>241333.33333333334</v>
      </c>
      <c r="H1324" s="295">
        <f t="shared" si="42"/>
        <v>18833.333333333343</v>
      </c>
      <c r="I1324" s="250">
        <f t="shared" si="43"/>
        <v>7.8038674033149208E-2</v>
      </c>
    </row>
    <row r="1325" spans="2:9" x14ac:dyDescent="0.3">
      <c r="B1325" s="2">
        <v>3633</v>
      </c>
      <c r="C1325" s="41" t="s">
        <v>1071</v>
      </c>
      <c r="D1325" s="2">
        <v>5</v>
      </c>
      <c r="E1325" s="2" t="s">
        <v>81</v>
      </c>
      <c r="F1325" s="294">
        <v>74708</v>
      </c>
      <c r="G1325" s="247">
        <v>92000</v>
      </c>
      <c r="H1325" s="295">
        <f t="shared" si="42"/>
        <v>17292</v>
      </c>
      <c r="I1325" s="250">
        <f t="shared" si="43"/>
        <v>0.18795652173913044</v>
      </c>
    </row>
    <row r="1326" spans="2:9" x14ac:dyDescent="0.3">
      <c r="B1326" s="2">
        <v>3634</v>
      </c>
      <c r="C1326" s="41" t="s">
        <v>1072</v>
      </c>
      <c r="D1326" s="2">
        <v>5</v>
      </c>
      <c r="E1326" s="2" t="s">
        <v>81</v>
      </c>
      <c r="F1326" s="294">
        <v>58263</v>
      </c>
      <c r="G1326" s="247">
        <v>72500</v>
      </c>
      <c r="H1326" s="295">
        <f t="shared" si="42"/>
        <v>14237</v>
      </c>
      <c r="I1326" s="250">
        <f t="shared" si="43"/>
        <v>0.19637241379310344</v>
      </c>
    </row>
    <row r="1327" spans="2:9" x14ac:dyDescent="0.3">
      <c r="B1327" s="2">
        <v>3635</v>
      </c>
      <c r="C1327" s="41" t="s">
        <v>1073</v>
      </c>
      <c r="D1327" s="2">
        <v>2</v>
      </c>
      <c r="E1327" s="2" t="s">
        <v>21</v>
      </c>
      <c r="F1327" s="294">
        <v>2700.0014999999999</v>
      </c>
      <c r="G1327" s="247">
        <v>3200</v>
      </c>
      <c r="H1327" s="295">
        <f t="shared" si="42"/>
        <v>499.99850000000015</v>
      </c>
      <c r="I1327" s="250">
        <f t="shared" si="43"/>
        <v>0.15624953125000005</v>
      </c>
    </row>
    <row r="1328" spans="2:9" x14ac:dyDescent="0.3">
      <c r="B1328" s="2">
        <v>3636</v>
      </c>
      <c r="C1328" s="41" t="s">
        <v>1074</v>
      </c>
      <c r="D1328" s="2">
        <v>2</v>
      </c>
      <c r="E1328" s="2" t="s">
        <v>12</v>
      </c>
      <c r="F1328" s="294">
        <v>10000.0005</v>
      </c>
      <c r="G1328" s="247">
        <v>11566.666666666666</v>
      </c>
      <c r="H1328" s="295">
        <f t="shared" si="42"/>
        <v>1566.666166666666</v>
      </c>
      <c r="I1328" s="250">
        <f t="shared" si="43"/>
        <v>0.13544664265129677</v>
      </c>
    </row>
    <row r="1329" spans="2:9" x14ac:dyDescent="0.3">
      <c r="B1329" s="2">
        <v>3637</v>
      </c>
      <c r="C1329" s="41" t="s">
        <v>1075</v>
      </c>
      <c r="D1329" s="2">
        <v>2</v>
      </c>
      <c r="E1329" s="2" t="s">
        <v>675</v>
      </c>
      <c r="F1329" s="294">
        <v>12600</v>
      </c>
      <c r="G1329" s="247">
        <v>14000</v>
      </c>
      <c r="H1329" s="295">
        <f t="shared" si="42"/>
        <v>1400</v>
      </c>
      <c r="I1329" s="250">
        <f t="shared" si="43"/>
        <v>0.1</v>
      </c>
    </row>
    <row r="1330" spans="2:9" x14ac:dyDescent="0.3">
      <c r="B1330" s="2">
        <v>3639</v>
      </c>
      <c r="C1330" s="41" t="s">
        <v>1076</v>
      </c>
      <c r="D1330" s="2">
        <v>9</v>
      </c>
      <c r="E1330" s="2" t="s">
        <v>12</v>
      </c>
      <c r="F1330" s="294">
        <v>9500</v>
      </c>
      <c r="G1330" s="247">
        <v>12500</v>
      </c>
      <c r="H1330" s="295">
        <f t="shared" si="42"/>
        <v>3000</v>
      </c>
      <c r="I1330" s="250">
        <f t="shared" si="43"/>
        <v>0.24</v>
      </c>
    </row>
    <row r="1331" spans="2:9" x14ac:dyDescent="0.3">
      <c r="B1331" s="2">
        <v>3640</v>
      </c>
      <c r="C1331" s="41" t="s">
        <v>1077</v>
      </c>
      <c r="D1331" s="2">
        <v>5</v>
      </c>
      <c r="E1331" s="2" t="s">
        <v>5</v>
      </c>
      <c r="F1331" s="294">
        <v>20000</v>
      </c>
      <c r="G1331" s="247">
        <v>28500</v>
      </c>
      <c r="H1331" s="295">
        <f t="shared" si="42"/>
        <v>8500</v>
      </c>
      <c r="I1331" s="250">
        <f t="shared" si="43"/>
        <v>0.2982456140350877</v>
      </c>
    </row>
    <row r="1332" spans="2:9" x14ac:dyDescent="0.3">
      <c r="B1332" s="2">
        <v>3641</v>
      </c>
      <c r="C1332" s="41" t="s">
        <v>1078</v>
      </c>
      <c r="D1332" s="2">
        <v>5</v>
      </c>
      <c r="E1332" s="2" t="s">
        <v>5</v>
      </c>
      <c r="F1332" s="294">
        <v>23700</v>
      </c>
      <c r="G1332" s="247">
        <v>29366.666666666668</v>
      </c>
      <c r="H1332" s="295">
        <f t="shared" si="42"/>
        <v>5666.6666666666679</v>
      </c>
      <c r="I1332" s="250">
        <f t="shared" si="43"/>
        <v>0.19296254256526676</v>
      </c>
    </row>
    <row r="1333" spans="2:9" x14ac:dyDescent="0.3">
      <c r="B1333" s="2">
        <v>3642</v>
      </c>
      <c r="C1333" s="41" t="s">
        <v>1079</v>
      </c>
      <c r="D1333" s="2">
        <v>5</v>
      </c>
      <c r="E1333" s="2" t="s">
        <v>5</v>
      </c>
      <c r="F1333" s="294">
        <v>21000</v>
      </c>
      <c r="G1333" s="247">
        <v>24466.666666666668</v>
      </c>
      <c r="H1333" s="295">
        <f t="shared" si="42"/>
        <v>3466.6666666666679</v>
      </c>
      <c r="I1333" s="250">
        <f t="shared" si="43"/>
        <v>0.14168937329700276</v>
      </c>
    </row>
    <row r="1334" spans="2:9" x14ac:dyDescent="0.3">
      <c r="B1334" s="2">
        <v>3643</v>
      </c>
      <c r="C1334" s="41" t="s">
        <v>1080</v>
      </c>
      <c r="D1334" s="2">
        <v>14</v>
      </c>
      <c r="E1334" s="2" t="s">
        <v>12</v>
      </c>
      <c r="F1334" s="294">
        <v>835.73</v>
      </c>
      <c r="G1334" s="247">
        <v>1400</v>
      </c>
      <c r="H1334" s="295">
        <f t="shared" si="42"/>
        <v>564.27</v>
      </c>
      <c r="I1334" s="250">
        <f t="shared" si="43"/>
        <v>0.40304999999999996</v>
      </c>
    </row>
    <row r="1335" spans="2:9" x14ac:dyDescent="0.3">
      <c r="B1335" s="2">
        <v>3644</v>
      </c>
      <c r="C1335" s="41" t="s">
        <v>1081</v>
      </c>
      <c r="D1335" s="2">
        <v>4</v>
      </c>
      <c r="E1335" s="2" t="s">
        <v>16</v>
      </c>
      <c r="F1335" s="294">
        <v>101077</v>
      </c>
      <c r="G1335" s="247">
        <v>122500</v>
      </c>
      <c r="H1335" s="295">
        <f t="shared" si="42"/>
        <v>21423</v>
      </c>
      <c r="I1335" s="250">
        <f t="shared" si="43"/>
        <v>0.17488163265306123</v>
      </c>
    </row>
    <row r="1336" spans="2:9" x14ac:dyDescent="0.3">
      <c r="B1336" s="2">
        <v>3645</v>
      </c>
      <c r="C1336" s="41" t="s">
        <v>1082</v>
      </c>
      <c r="D1336" s="2">
        <v>6</v>
      </c>
      <c r="E1336" s="2" t="s">
        <v>16</v>
      </c>
      <c r="F1336" s="294">
        <v>122500</v>
      </c>
      <c r="G1336" s="247">
        <v>138000</v>
      </c>
      <c r="H1336" s="295">
        <f t="shared" si="42"/>
        <v>15500</v>
      </c>
      <c r="I1336" s="250">
        <f t="shared" si="43"/>
        <v>0.11231884057971014</v>
      </c>
    </row>
    <row r="1337" spans="2:9" x14ac:dyDescent="0.3">
      <c r="B1337" s="2">
        <v>3646</v>
      </c>
      <c r="C1337" s="41" t="s">
        <v>1083</v>
      </c>
      <c r="D1337" s="2">
        <v>6</v>
      </c>
      <c r="E1337" s="2" t="s">
        <v>176</v>
      </c>
      <c r="F1337" s="294">
        <v>40300</v>
      </c>
      <c r="G1337" s="247">
        <v>52600</v>
      </c>
      <c r="H1337" s="295">
        <f t="shared" si="42"/>
        <v>12300</v>
      </c>
      <c r="I1337" s="250">
        <f t="shared" si="43"/>
        <v>0.23384030418250951</v>
      </c>
    </row>
    <row r="1338" spans="2:9" x14ac:dyDescent="0.3">
      <c r="B1338" s="2">
        <v>3647</v>
      </c>
      <c r="C1338" s="41" t="s">
        <v>1084</v>
      </c>
      <c r="D1338" s="2">
        <v>5</v>
      </c>
      <c r="E1338" s="2" t="s">
        <v>81</v>
      </c>
      <c r="F1338" s="294">
        <v>126436</v>
      </c>
      <c r="G1338" s="247">
        <v>151000</v>
      </c>
      <c r="H1338" s="295">
        <f t="shared" si="42"/>
        <v>24564</v>
      </c>
      <c r="I1338" s="250">
        <f t="shared" si="43"/>
        <v>0.16267549668874173</v>
      </c>
    </row>
    <row r="1339" spans="2:9" x14ac:dyDescent="0.3">
      <c r="B1339" s="2">
        <v>3648</v>
      </c>
      <c r="C1339" s="41" t="s">
        <v>1085</v>
      </c>
      <c r="D1339" s="2">
        <v>5</v>
      </c>
      <c r="E1339" s="2" t="s">
        <v>81</v>
      </c>
      <c r="F1339" s="294">
        <v>780000</v>
      </c>
      <c r="G1339" s="247">
        <v>843000</v>
      </c>
      <c r="H1339" s="295">
        <f t="shared" si="42"/>
        <v>63000</v>
      </c>
      <c r="I1339" s="250">
        <f t="shared" si="43"/>
        <v>7.4733096085409248E-2</v>
      </c>
    </row>
    <row r="1340" spans="2:9" x14ac:dyDescent="0.3">
      <c r="B1340" s="2">
        <v>3649</v>
      </c>
      <c r="C1340" s="41" t="s">
        <v>1086</v>
      </c>
      <c r="D1340" s="2">
        <v>4</v>
      </c>
      <c r="E1340" s="2" t="s">
        <v>176</v>
      </c>
      <c r="F1340" s="294">
        <v>14250</v>
      </c>
      <c r="G1340" s="247">
        <v>16800</v>
      </c>
      <c r="H1340" s="295">
        <f t="shared" si="42"/>
        <v>2550</v>
      </c>
      <c r="I1340" s="250">
        <f t="shared" si="43"/>
        <v>0.15178571428571427</v>
      </c>
    </row>
    <row r="1341" spans="2:9" x14ac:dyDescent="0.3">
      <c r="B1341" s="2">
        <v>3650</v>
      </c>
      <c r="C1341" s="41" t="s">
        <v>1908</v>
      </c>
      <c r="D1341" s="2">
        <v>14</v>
      </c>
      <c r="E1341" s="2" t="s">
        <v>12</v>
      </c>
      <c r="F1341" s="294">
        <v>76979</v>
      </c>
      <c r="G1341" s="247">
        <v>90000</v>
      </c>
      <c r="H1341" s="295">
        <f t="shared" si="42"/>
        <v>13021</v>
      </c>
      <c r="I1341" s="250">
        <f t="shared" si="43"/>
        <v>0.14467777777777777</v>
      </c>
    </row>
    <row r="1342" spans="2:9" x14ac:dyDescent="0.3">
      <c r="B1342" s="2">
        <v>3651</v>
      </c>
      <c r="C1342" s="41" t="s">
        <v>1087</v>
      </c>
      <c r="D1342" s="2">
        <v>14</v>
      </c>
      <c r="E1342" s="2" t="s">
        <v>81</v>
      </c>
      <c r="F1342" s="294">
        <v>45044</v>
      </c>
      <c r="G1342" s="247">
        <v>55800</v>
      </c>
      <c r="H1342" s="295">
        <f t="shared" si="42"/>
        <v>10756</v>
      </c>
      <c r="I1342" s="250">
        <f t="shared" si="43"/>
        <v>0.19275985663082437</v>
      </c>
    </row>
    <row r="1343" spans="2:9" x14ac:dyDescent="0.3">
      <c r="B1343" s="2">
        <v>3652</v>
      </c>
      <c r="C1343" s="41" t="s">
        <v>1088</v>
      </c>
      <c r="D1343" s="2">
        <v>14</v>
      </c>
      <c r="E1343" s="2" t="s">
        <v>12</v>
      </c>
      <c r="F1343" s="294">
        <v>26264</v>
      </c>
      <c r="G1343" s="247">
        <v>35200</v>
      </c>
      <c r="H1343" s="295">
        <f t="shared" si="42"/>
        <v>8936</v>
      </c>
      <c r="I1343" s="250">
        <f t="shared" si="43"/>
        <v>0.25386363636363635</v>
      </c>
    </row>
    <row r="1344" spans="2:9" x14ac:dyDescent="0.3">
      <c r="B1344" s="2">
        <v>3653</v>
      </c>
      <c r="C1344" s="41" t="s">
        <v>1089</v>
      </c>
      <c r="D1344" s="2">
        <v>14</v>
      </c>
      <c r="E1344" s="2" t="s">
        <v>12</v>
      </c>
      <c r="F1344" s="294">
        <v>165.41</v>
      </c>
      <c r="G1344" s="247">
        <v>300</v>
      </c>
      <c r="H1344" s="295">
        <f t="shared" si="42"/>
        <v>134.59</v>
      </c>
      <c r="I1344" s="250">
        <f t="shared" si="43"/>
        <v>0.44863333333333333</v>
      </c>
    </row>
    <row r="1345" spans="2:9" x14ac:dyDescent="0.3">
      <c r="B1345" s="2">
        <v>3654</v>
      </c>
      <c r="C1345" s="41" t="s">
        <v>1090</v>
      </c>
      <c r="D1345" s="2">
        <v>5</v>
      </c>
      <c r="E1345" s="2" t="s">
        <v>5</v>
      </c>
      <c r="F1345" s="294">
        <v>78000</v>
      </c>
      <c r="G1345" s="247">
        <v>90750</v>
      </c>
      <c r="H1345" s="295">
        <f t="shared" si="42"/>
        <v>12750</v>
      </c>
      <c r="I1345" s="250">
        <f t="shared" si="43"/>
        <v>0.14049586776859505</v>
      </c>
    </row>
    <row r="1346" spans="2:9" x14ac:dyDescent="0.3">
      <c r="B1346" s="2">
        <v>3655</v>
      </c>
      <c r="C1346" s="41" t="s">
        <v>1909</v>
      </c>
      <c r="D1346" s="2">
        <v>1</v>
      </c>
      <c r="E1346" s="2" t="s">
        <v>1910</v>
      </c>
      <c r="F1346" s="294">
        <v>216000</v>
      </c>
      <c r="G1346" s="247">
        <v>261000</v>
      </c>
      <c r="H1346" s="295">
        <f t="shared" si="42"/>
        <v>45000</v>
      </c>
      <c r="I1346" s="250">
        <f t="shared" si="43"/>
        <v>0.17241379310344829</v>
      </c>
    </row>
    <row r="1347" spans="2:9" x14ac:dyDescent="0.3">
      <c r="B1347" s="2">
        <v>3656</v>
      </c>
      <c r="C1347" s="41" t="s">
        <v>1091</v>
      </c>
      <c r="D1347" s="2">
        <v>6</v>
      </c>
      <c r="E1347" s="2" t="s">
        <v>81</v>
      </c>
      <c r="F1347" s="294">
        <v>13000</v>
      </c>
      <c r="G1347" s="247">
        <v>16500</v>
      </c>
      <c r="H1347" s="295">
        <f t="shared" si="42"/>
        <v>3500</v>
      </c>
      <c r="I1347" s="250">
        <f t="shared" si="43"/>
        <v>0.21212121212121213</v>
      </c>
    </row>
    <row r="1348" spans="2:9" x14ac:dyDescent="0.3">
      <c r="B1348" s="2">
        <v>3657</v>
      </c>
      <c r="C1348" s="41" t="s">
        <v>1092</v>
      </c>
      <c r="D1348" s="2">
        <v>14</v>
      </c>
      <c r="E1348" s="2" t="s">
        <v>81</v>
      </c>
      <c r="F1348" s="294">
        <v>19200</v>
      </c>
      <c r="G1348" s="247">
        <v>23016.666666666668</v>
      </c>
      <c r="H1348" s="295">
        <f t="shared" si="42"/>
        <v>3816.6666666666679</v>
      </c>
      <c r="I1348" s="250">
        <f t="shared" si="43"/>
        <v>0.16582186821144104</v>
      </c>
    </row>
    <row r="1349" spans="2:9" x14ac:dyDescent="0.3">
      <c r="B1349" s="2">
        <v>3658</v>
      </c>
      <c r="C1349" s="41" t="s">
        <v>1093</v>
      </c>
      <c r="D1349" s="2">
        <v>7</v>
      </c>
      <c r="E1349" s="2" t="s">
        <v>21</v>
      </c>
      <c r="F1349" s="294">
        <v>2800</v>
      </c>
      <c r="G1349" s="247">
        <v>3483.3333333333335</v>
      </c>
      <c r="H1349" s="295">
        <f t="shared" si="42"/>
        <v>683.33333333333348</v>
      </c>
      <c r="I1349" s="250">
        <f t="shared" si="43"/>
        <v>0.19617224880382778</v>
      </c>
    </row>
    <row r="1350" spans="2:9" x14ac:dyDescent="0.3">
      <c r="B1350" s="2">
        <v>3659</v>
      </c>
      <c r="C1350" s="41" t="s">
        <v>1094</v>
      </c>
      <c r="D1350" s="2">
        <v>7</v>
      </c>
      <c r="E1350" s="2" t="s">
        <v>5</v>
      </c>
      <c r="F1350" s="294">
        <v>17480</v>
      </c>
      <c r="G1350" s="247">
        <v>20583.333333333332</v>
      </c>
      <c r="H1350" s="295">
        <f t="shared" si="42"/>
        <v>3103.3333333333321</v>
      </c>
      <c r="I1350" s="250">
        <f t="shared" si="43"/>
        <v>0.15076923076923071</v>
      </c>
    </row>
    <row r="1351" spans="2:9" x14ac:dyDescent="0.3">
      <c r="B1351" s="2">
        <v>3660</v>
      </c>
      <c r="C1351" s="41" t="s">
        <v>1095</v>
      </c>
      <c r="D1351" s="2">
        <v>5</v>
      </c>
      <c r="E1351" s="2" t="s">
        <v>23</v>
      </c>
      <c r="F1351" s="294">
        <v>34000</v>
      </c>
      <c r="G1351" s="247">
        <v>38000</v>
      </c>
      <c r="H1351" s="295">
        <f t="shared" si="42"/>
        <v>4000</v>
      </c>
      <c r="I1351" s="250">
        <f t="shared" si="43"/>
        <v>0.10526315789473684</v>
      </c>
    </row>
    <row r="1352" spans="2:9" x14ac:dyDescent="0.3">
      <c r="B1352" s="2">
        <v>3661</v>
      </c>
      <c r="C1352" s="41" t="s">
        <v>1096</v>
      </c>
      <c r="D1352" s="2">
        <v>14</v>
      </c>
      <c r="E1352" s="2" t="s">
        <v>81</v>
      </c>
      <c r="F1352" s="294">
        <v>10181</v>
      </c>
      <c r="G1352" s="247">
        <v>15600</v>
      </c>
      <c r="H1352" s="295">
        <f t="shared" si="42"/>
        <v>5419</v>
      </c>
      <c r="I1352" s="250">
        <f t="shared" si="43"/>
        <v>0.34737179487179487</v>
      </c>
    </row>
    <row r="1353" spans="2:9" x14ac:dyDescent="0.3">
      <c r="B1353" s="2">
        <v>3662</v>
      </c>
      <c r="C1353" s="41" t="s">
        <v>1097</v>
      </c>
      <c r="D1353" s="2">
        <v>14</v>
      </c>
      <c r="E1353" s="2" t="s">
        <v>12</v>
      </c>
      <c r="F1353" s="294">
        <v>52152</v>
      </c>
      <c r="G1353" s="247">
        <v>72300</v>
      </c>
      <c r="H1353" s="295">
        <f t="shared" si="42"/>
        <v>20148</v>
      </c>
      <c r="I1353" s="250">
        <f t="shared" si="43"/>
        <v>0.27867219917012448</v>
      </c>
    </row>
    <row r="1354" spans="2:9" x14ac:dyDescent="0.3">
      <c r="B1354" s="2">
        <v>3663</v>
      </c>
      <c r="C1354" s="41" t="s">
        <v>1098</v>
      </c>
      <c r="D1354" s="2">
        <v>14</v>
      </c>
      <c r="E1354" s="2" t="s">
        <v>12</v>
      </c>
      <c r="F1354" s="294">
        <v>29877</v>
      </c>
      <c r="G1354" s="247">
        <v>36200</v>
      </c>
      <c r="H1354" s="295">
        <f t="shared" si="42"/>
        <v>6323</v>
      </c>
      <c r="I1354" s="250">
        <f t="shared" si="43"/>
        <v>0.17466850828729283</v>
      </c>
    </row>
    <row r="1355" spans="2:9" x14ac:dyDescent="0.3">
      <c r="B1355" s="2">
        <v>3664</v>
      </c>
      <c r="C1355" s="41" t="s">
        <v>1099</v>
      </c>
      <c r="D1355" s="2">
        <v>14</v>
      </c>
      <c r="E1355" s="2" t="s">
        <v>12</v>
      </c>
      <c r="F1355" s="294">
        <v>23015</v>
      </c>
      <c r="G1355" s="247">
        <v>32600</v>
      </c>
      <c r="H1355" s="295">
        <f t="shared" si="42"/>
        <v>9585</v>
      </c>
      <c r="I1355" s="250">
        <f t="shared" si="43"/>
        <v>0.29401840490797548</v>
      </c>
    </row>
    <row r="1356" spans="2:9" x14ac:dyDescent="0.3">
      <c r="B1356" s="2">
        <v>3665</v>
      </c>
      <c r="C1356" s="41" t="s">
        <v>1100</v>
      </c>
      <c r="D1356" s="2">
        <v>5</v>
      </c>
      <c r="E1356" s="2" t="s">
        <v>176</v>
      </c>
      <c r="F1356" s="294">
        <v>48000</v>
      </c>
      <c r="G1356" s="247">
        <v>58300</v>
      </c>
      <c r="H1356" s="295">
        <f t="shared" si="42"/>
        <v>10300</v>
      </c>
      <c r="I1356" s="250">
        <f t="shared" si="43"/>
        <v>0.17667238421955403</v>
      </c>
    </row>
    <row r="1357" spans="2:9" x14ac:dyDescent="0.3">
      <c r="B1357" s="2">
        <v>3666</v>
      </c>
      <c r="C1357" s="41" t="s">
        <v>1101</v>
      </c>
      <c r="D1357" s="2">
        <v>5</v>
      </c>
      <c r="E1357" s="2" t="s">
        <v>16</v>
      </c>
      <c r="F1357" s="294">
        <v>61700</v>
      </c>
      <c r="G1357" s="247">
        <v>73083.333333333328</v>
      </c>
      <c r="H1357" s="295">
        <f t="shared" si="42"/>
        <v>11383.333333333328</v>
      </c>
      <c r="I1357" s="250">
        <f t="shared" si="43"/>
        <v>0.15575826681870006</v>
      </c>
    </row>
    <row r="1358" spans="2:9" x14ac:dyDescent="0.3">
      <c r="B1358" s="2">
        <v>3667</v>
      </c>
      <c r="C1358" s="41" t="s">
        <v>1102</v>
      </c>
      <c r="D1358" s="2">
        <v>5</v>
      </c>
      <c r="E1358" s="2" t="s">
        <v>16</v>
      </c>
      <c r="F1358" s="294">
        <v>142500</v>
      </c>
      <c r="G1358" s="247">
        <v>160100</v>
      </c>
      <c r="H1358" s="295">
        <f t="shared" si="42"/>
        <v>17600</v>
      </c>
      <c r="I1358" s="250">
        <f t="shared" si="43"/>
        <v>0.1099312929419113</v>
      </c>
    </row>
    <row r="1359" spans="2:9" x14ac:dyDescent="0.3">
      <c r="B1359" s="2">
        <v>3668</v>
      </c>
      <c r="C1359" s="41" t="s">
        <v>1911</v>
      </c>
      <c r="D1359" s="2">
        <v>5</v>
      </c>
      <c r="E1359" s="2" t="s">
        <v>5</v>
      </c>
      <c r="F1359" s="294">
        <v>22400</v>
      </c>
      <c r="G1359" s="247">
        <v>32100</v>
      </c>
      <c r="H1359" s="295">
        <f t="shared" si="42"/>
        <v>9700</v>
      </c>
      <c r="I1359" s="250">
        <f t="shared" si="43"/>
        <v>0.30218068535825543</v>
      </c>
    </row>
    <row r="1360" spans="2:9" x14ac:dyDescent="0.3">
      <c r="B1360" s="2">
        <v>3670</v>
      </c>
      <c r="C1360" s="41" t="s">
        <v>1103</v>
      </c>
      <c r="D1360" s="2">
        <v>14</v>
      </c>
      <c r="E1360" s="2" t="s">
        <v>81</v>
      </c>
      <c r="F1360" s="294">
        <v>63167</v>
      </c>
      <c r="G1360" s="247">
        <v>76883.333333333328</v>
      </c>
      <c r="H1360" s="295">
        <f t="shared" si="42"/>
        <v>13716.333333333328</v>
      </c>
      <c r="I1360" s="250">
        <f t="shared" si="43"/>
        <v>0.17840450899631471</v>
      </c>
    </row>
    <row r="1361" spans="2:9" x14ac:dyDescent="0.3">
      <c r="B1361" s="2">
        <v>3671</v>
      </c>
      <c r="C1361" s="41" t="s">
        <v>1104</v>
      </c>
      <c r="D1361" s="2">
        <v>14</v>
      </c>
      <c r="E1361" s="2" t="s">
        <v>12</v>
      </c>
      <c r="F1361" s="294">
        <v>16455.666700000002</v>
      </c>
      <c r="G1361" s="247">
        <v>22500</v>
      </c>
      <c r="H1361" s="295">
        <f t="shared" si="42"/>
        <v>6044.3332999999984</v>
      </c>
      <c r="I1361" s="250">
        <f t="shared" si="43"/>
        <v>0.26863703555555546</v>
      </c>
    </row>
    <row r="1362" spans="2:9" x14ac:dyDescent="0.3">
      <c r="B1362" s="2">
        <v>3672</v>
      </c>
      <c r="C1362" s="41" t="s">
        <v>1105</v>
      </c>
      <c r="D1362" s="2">
        <v>14</v>
      </c>
      <c r="E1362" s="2" t="s">
        <v>181</v>
      </c>
      <c r="F1362" s="294">
        <v>17239.333299999998</v>
      </c>
      <c r="G1362" s="247">
        <v>21800</v>
      </c>
      <c r="H1362" s="295">
        <f t="shared" si="42"/>
        <v>4560.6667000000016</v>
      </c>
      <c r="I1362" s="250">
        <f t="shared" si="43"/>
        <v>0.20920489449541291</v>
      </c>
    </row>
    <row r="1363" spans="2:9" x14ac:dyDescent="0.3">
      <c r="B1363" s="2">
        <v>3673</v>
      </c>
      <c r="C1363" s="41" t="s">
        <v>1106</v>
      </c>
      <c r="D1363" s="2">
        <v>14</v>
      </c>
      <c r="E1363" s="2" t="s">
        <v>12</v>
      </c>
      <c r="F1363" s="294">
        <v>19590.333299999998</v>
      </c>
      <c r="G1363" s="247">
        <v>28600</v>
      </c>
      <c r="H1363" s="295">
        <f t="shared" si="42"/>
        <v>9009.6667000000016</v>
      </c>
      <c r="I1363" s="250">
        <f t="shared" si="43"/>
        <v>0.31502331118881122</v>
      </c>
    </row>
    <row r="1364" spans="2:9" x14ac:dyDescent="0.3">
      <c r="B1364" s="2">
        <v>3674</v>
      </c>
      <c r="C1364" s="41" t="s">
        <v>1107</v>
      </c>
      <c r="D1364" s="2">
        <v>14</v>
      </c>
      <c r="E1364" s="2" t="s">
        <v>12</v>
      </c>
      <c r="F1364" s="294">
        <v>23124.333299999998</v>
      </c>
      <c r="G1364" s="247">
        <v>32600</v>
      </c>
      <c r="H1364" s="295">
        <f t="shared" si="42"/>
        <v>9475.6667000000016</v>
      </c>
      <c r="I1364" s="250">
        <f t="shared" si="43"/>
        <v>0.29066462269938653</v>
      </c>
    </row>
    <row r="1365" spans="2:9" x14ac:dyDescent="0.3">
      <c r="B1365" s="2">
        <v>3675</v>
      </c>
      <c r="C1365" s="41" t="s">
        <v>1108</v>
      </c>
      <c r="D1365" s="2">
        <v>14</v>
      </c>
      <c r="E1365" s="2" t="s">
        <v>12</v>
      </c>
      <c r="F1365" s="294">
        <v>70446</v>
      </c>
      <c r="G1365" s="247">
        <v>85383.333333333328</v>
      </c>
      <c r="H1365" s="295">
        <f t="shared" si="42"/>
        <v>14937.333333333328</v>
      </c>
      <c r="I1365" s="250">
        <f t="shared" si="43"/>
        <v>0.17494436853406203</v>
      </c>
    </row>
    <row r="1366" spans="2:9" x14ac:dyDescent="0.3">
      <c r="B1366" s="2">
        <v>3676</v>
      </c>
      <c r="C1366" s="41" t="s">
        <v>1109</v>
      </c>
      <c r="D1366" s="2">
        <v>12</v>
      </c>
      <c r="E1366" s="2" t="s">
        <v>12</v>
      </c>
      <c r="F1366" s="294">
        <v>13799.24</v>
      </c>
      <c r="G1366" s="247">
        <v>19500</v>
      </c>
      <c r="H1366" s="295">
        <f t="shared" si="42"/>
        <v>5700.76</v>
      </c>
      <c r="I1366" s="250">
        <f t="shared" si="43"/>
        <v>0.2923466666666667</v>
      </c>
    </row>
    <row r="1367" spans="2:9" x14ac:dyDescent="0.3">
      <c r="B1367" s="2">
        <v>3677</v>
      </c>
      <c r="C1367" s="41" t="s">
        <v>1110</v>
      </c>
      <c r="D1367" s="2">
        <v>12</v>
      </c>
      <c r="E1367" s="2" t="s">
        <v>12</v>
      </c>
      <c r="F1367" s="294">
        <v>17255</v>
      </c>
      <c r="G1367" s="247">
        <v>21416.666666666668</v>
      </c>
      <c r="H1367" s="295">
        <f t="shared" si="42"/>
        <v>4161.6666666666679</v>
      </c>
      <c r="I1367" s="250">
        <f t="shared" si="43"/>
        <v>0.19431906614785996</v>
      </c>
    </row>
    <row r="1368" spans="2:9" x14ac:dyDescent="0.3">
      <c r="B1368" s="2">
        <v>3678</v>
      </c>
      <c r="C1368" s="41" t="s">
        <v>1111</v>
      </c>
      <c r="D1368" s="2">
        <v>5</v>
      </c>
      <c r="E1368" s="2" t="s">
        <v>12</v>
      </c>
      <c r="F1368" s="294">
        <v>11527</v>
      </c>
      <c r="G1368" s="247">
        <v>18000</v>
      </c>
      <c r="H1368" s="295">
        <f t="shared" si="42"/>
        <v>6473</v>
      </c>
      <c r="I1368" s="250">
        <f t="shared" si="43"/>
        <v>0.3596111111111111</v>
      </c>
    </row>
    <row r="1369" spans="2:9" x14ac:dyDescent="0.3">
      <c r="B1369" s="2">
        <v>3679</v>
      </c>
      <c r="C1369" s="41" t="s">
        <v>1112</v>
      </c>
      <c r="D1369" s="2">
        <v>14</v>
      </c>
      <c r="E1369" s="2" t="s">
        <v>12</v>
      </c>
      <c r="F1369" s="294">
        <v>8047</v>
      </c>
      <c r="G1369" s="247">
        <v>11050</v>
      </c>
      <c r="H1369" s="295">
        <f t="shared" si="42"/>
        <v>3003</v>
      </c>
      <c r="I1369" s="250">
        <f t="shared" si="43"/>
        <v>0.27176470588235296</v>
      </c>
    </row>
    <row r="1370" spans="2:9" x14ac:dyDescent="0.3">
      <c r="B1370" s="2">
        <v>3680</v>
      </c>
      <c r="C1370" s="41" t="s">
        <v>1113</v>
      </c>
      <c r="D1370" s="2">
        <v>14</v>
      </c>
      <c r="E1370" s="2" t="s">
        <v>12</v>
      </c>
      <c r="F1370" s="294">
        <v>10417</v>
      </c>
      <c r="G1370" s="247">
        <v>14100</v>
      </c>
      <c r="H1370" s="295">
        <f t="shared" si="42"/>
        <v>3683</v>
      </c>
      <c r="I1370" s="250">
        <f t="shared" si="43"/>
        <v>0.26120567375886528</v>
      </c>
    </row>
    <row r="1371" spans="2:9" x14ac:dyDescent="0.3">
      <c r="B1371" s="2">
        <v>3681</v>
      </c>
      <c r="C1371" s="41" t="s">
        <v>1114</v>
      </c>
      <c r="D1371" s="2">
        <v>14</v>
      </c>
      <c r="E1371" s="2" t="s">
        <v>12</v>
      </c>
      <c r="F1371" s="294">
        <v>13672</v>
      </c>
      <c r="G1371" s="247">
        <v>18266.666666666668</v>
      </c>
      <c r="H1371" s="295">
        <f t="shared" si="42"/>
        <v>4594.6666666666679</v>
      </c>
      <c r="I1371" s="250">
        <f t="shared" si="43"/>
        <v>0.2515328467153285</v>
      </c>
    </row>
    <row r="1372" spans="2:9" x14ac:dyDescent="0.3">
      <c r="B1372" s="2">
        <v>3682</v>
      </c>
      <c r="C1372" s="41" t="s">
        <v>1115</v>
      </c>
      <c r="D1372" s="2">
        <v>14</v>
      </c>
      <c r="E1372" s="2" t="s">
        <v>12</v>
      </c>
      <c r="F1372" s="294">
        <v>7513</v>
      </c>
      <c r="G1372" s="247">
        <v>10800</v>
      </c>
      <c r="H1372" s="295">
        <f t="shared" si="42"/>
        <v>3287</v>
      </c>
      <c r="I1372" s="250">
        <f t="shared" si="43"/>
        <v>0.30435185185185187</v>
      </c>
    </row>
    <row r="1373" spans="2:9" x14ac:dyDescent="0.3">
      <c r="B1373" s="2">
        <v>3683</v>
      </c>
      <c r="C1373" s="41" t="s">
        <v>1116</v>
      </c>
      <c r="D1373" s="2">
        <v>14</v>
      </c>
      <c r="E1373" s="2" t="s">
        <v>12</v>
      </c>
      <c r="F1373" s="294">
        <v>7513</v>
      </c>
      <c r="G1373" s="247">
        <v>10833.333333333334</v>
      </c>
      <c r="H1373" s="295">
        <f t="shared" si="42"/>
        <v>3320.3333333333339</v>
      </c>
      <c r="I1373" s="250">
        <f t="shared" si="43"/>
        <v>0.30649230769230773</v>
      </c>
    </row>
    <row r="1374" spans="2:9" x14ac:dyDescent="0.3">
      <c r="B1374" s="2">
        <v>3684</v>
      </c>
      <c r="C1374" s="41" t="s">
        <v>1912</v>
      </c>
      <c r="D1374" s="2">
        <v>14</v>
      </c>
      <c r="E1374" s="2" t="s">
        <v>12</v>
      </c>
      <c r="F1374" s="294">
        <v>109873</v>
      </c>
      <c r="G1374" s="247">
        <v>119000</v>
      </c>
      <c r="H1374" s="295">
        <f t="shared" si="42"/>
        <v>9127</v>
      </c>
      <c r="I1374" s="250">
        <f t="shared" si="43"/>
        <v>7.6697478991596638E-2</v>
      </c>
    </row>
    <row r="1375" spans="2:9" x14ac:dyDescent="0.3">
      <c r="B1375" s="2">
        <v>3685</v>
      </c>
      <c r="C1375" s="41" t="s">
        <v>1117</v>
      </c>
      <c r="D1375" s="2">
        <v>14</v>
      </c>
      <c r="E1375" s="2" t="s">
        <v>12</v>
      </c>
      <c r="F1375" s="294">
        <v>32745</v>
      </c>
      <c r="G1375" s="247">
        <v>38183.333333333336</v>
      </c>
      <c r="H1375" s="295">
        <f t="shared" si="42"/>
        <v>5438.3333333333358</v>
      </c>
      <c r="I1375" s="250">
        <f t="shared" si="43"/>
        <v>0.14242688782191187</v>
      </c>
    </row>
    <row r="1376" spans="2:9" x14ac:dyDescent="0.3">
      <c r="B1376" s="2">
        <v>3686</v>
      </c>
      <c r="C1376" s="41" t="s">
        <v>1118</v>
      </c>
      <c r="D1376" s="2">
        <v>4</v>
      </c>
      <c r="E1376" s="2" t="s">
        <v>12</v>
      </c>
      <c r="F1376" s="294">
        <v>90900</v>
      </c>
      <c r="G1376" s="247">
        <v>122000</v>
      </c>
      <c r="H1376" s="295">
        <f t="shared" si="42"/>
        <v>31100</v>
      </c>
      <c r="I1376" s="250">
        <f t="shared" si="43"/>
        <v>0.25491803278688524</v>
      </c>
    </row>
    <row r="1377" spans="2:9" x14ac:dyDescent="0.3">
      <c r="B1377" s="2">
        <v>3687</v>
      </c>
      <c r="C1377" s="41" t="s">
        <v>1119</v>
      </c>
      <c r="D1377" s="2">
        <v>8</v>
      </c>
      <c r="E1377" s="2" t="s">
        <v>12</v>
      </c>
      <c r="F1377" s="294">
        <v>65000</v>
      </c>
      <c r="G1377" s="247">
        <v>77000</v>
      </c>
      <c r="H1377" s="295">
        <f t="shared" si="42"/>
        <v>12000</v>
      </c>
      <c r="I1377" s="250">
        <f t="shared" si="43"/>
        <v>0.15584415584415584</v>
      </c>
    </row>
    <row r="1378" spans="2:9" x14ac:dyDescent="0.3">
      <c r="B1378" s="2">
        <v>3688</v>
      </c>
      <c r="C1378" s="41" t="s">
        <v>1120</v>
      </c>
      <c r="D1378" s="2">
        <v>4</v>
      </c>
      <c r="E1378" s="2" t="s">
        <v>12</v>
      </c>
      <c r="F1378" s="294">
        <v>76500</v>
      </c>
      <c r="G1378" s="247">
        <v>92000</v>
      </c>
      <c r="H1378" s="295">
        <f t="shared" si="42"/>
        <v>15500</v>
      </c>
      <c r="I1378" s="250">
        <f t="shared" si="43"/>
        <v>0.16847826086956522</v>
      </c>
    </row>
    <row r="1379" spans="2:9" x14ac:dyDescent="0.3">
      <c r="B1379" s="2">
        <v>3689</v>
      </c>
      <c r="C1379" s="41" t="s">
        <v>1121</v>
      </c>
      <c r="D1379" s="2">
        <v>9</v>
      </c>
      <c r="E1379" s="2" t="s">
        <v>12</v>
      </c>
      <c r="F1379" s="294">
        <v>20951.14</v>
      </c>
      <c r="G1379" s="247">
        <v>23666.666666666668</v>
      </c>
      <c r="H1379" s="295">
        <f t="shared" si="42"/>
        <v>2715.5266666666685</v>
      </c>
      <c r="I1379" s="250">
        <f t="shared" si="43"/>
        <v>0.11474056338028175</v>
      </c>
    </row>
  </sheetData>
  <autoFilter ref="B4:I1379" xr:uid="{80756CF2-78DA-4EB6-ACFD-9B88EE491E90}"/>
  <mergeCells count="1">
    <mergeCell ref="B2:I3"/>
  </mergeCells>
  <conditionalFormatting sqref="H1:H1048576">
    <cfRule type="cellIs" priority="1" operator="between">
      <formula>-1</formula>
      <formula>-10000000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A7D6-09C1-4BEF-880E-1B901EA2E309}">
  <dimension ref="B3:O108"/>
  <sheetViews>
    <sheetView showGridLines="0" showRowColHeaders="0" topLeftCell="C44" zoomScale="115" zoomScaleNormal="115" workbookViewId="0">
      <selection activeCell="H54" sqref="H54"/>
    </sheetView>
  </sheetViews>
  <sheetFormatPr baseColWidth="10" defaultRowHeight="14.4" x14ac:dyDescent="0.3"/>
  <cols>
    <col min="2" max="2" width="24.44140625" style="14" customWidth="1"/>
    <col min="3" max="3" width="12.77734375" style="1" bestFit="1" customWidth="1"/>
    <col min="4" max="4" width="17.33203125" style="1" customWidth="1"/>
    <col min="5" max="5" width="62.109375" bestFit="1" customWidth="1"/>
    <col min="6" max="6" width="27.77734375" bestFit="1" customWidth="1"/>
    <col min="7" max="7" width="32.88671875" bestFit="1" customWidth="1"/>
    <col min="8" max="9" width="31.109375" customWidth="1"/>
    <col min="10" max="10" width="28.88671875" customWidth="1"/>
    <col min="11" max="11" width="20.109375" style="40" customWidth="1"/>
    <col min="12" max="12" width="19.6640625" style="40" customWidth="1"/>
    <col min="13" max="13" width="62.109375" style="40" bestFit="1" customWidth="1"/>
    <col min="14" max="14" width="17.44140625" style="40" customWidth="1"/>
    <col min="15" max="15" width="20.33203125" style="40" bestFit="1" customWidth="1"/>
    <col min="16" max="16" width="21.21875" customWidth="1"/>
  </cols>
  <sheetData>
    <row r="3" spans="2:8" ht="24.6" customHeight="1" x14ac:dyDescent="0.3">
      <c r="B3" s="381" t="s">
        <v>1122</v>
      </c>
      <c r="C3" s="382"/>
      <c r="D3" s="382"/>
      <c r="E3" s="382"/>
      <c r="F3" s="382"/>
      <c r="G3" s="382"/>
      <c r="H3" s="383"/>
    </row>
    <row r="4" spans="2:8" x14ac:dyDescent="0.3">
      <c r="B4" s="5" t="s">
        <v>0</v>
      </c>
      <c r="C4" s="5" t="s">
        <v>1123</v>
      </c>
      <c r="D4" s="6" t="s">
        <v>1124</v>
      </c>
      <c r="E4" s="6" t="s">
        <v>1125</v>
      </c>
      <c r="F4" s="6" t="s">
        <v>1176</v>
      </c>
      <c r="G4" s="6" t="s">
        <v>1126</v>
      </c>
      <c r="H4" s="6" t="s">
        <v>1177</v>
      </c>
    </row>
    <row r="5" spans="2:8" ht="14.4" customHeight="1" x14ac:dyDescent="0.3">
      <c r="B5" s="7" t="s">
        <v>1127</v>
      </c>
      <c r="C5" s="5" t="s">
        <v>1128</v>
      </c>
      <c r="D5" s="8">
        <v>2200000</v>
      </c>
      <c r="E5" s="8">
        <v>1200000</v>
      </c>
      <c r="F5" s="8">
        <v>1000000</v>
      </c>
      <c r="G5" s="8">
        <v>1200000</v>
      </c>
      <c r="H5" s="8">
        <v>1000000</v>
      </c>
    </row>
    <row r="6" spans="2:8" x14ac:dyDescent="0.3">
      <c r="B6" s="7" t="s">
        <v>1129</v>
      </c>
      <c r="C6" s="5" t="s">
        <v>1128</v>
      </c>
      <c r="D6" s="9">
        <v>30</v>
      </c>
      <c r="E6" s="9">
        <v>30</v>
      </c>
      <c r="F6" s="9">
        <v>30</v>
      </c>
      <c r="G6" s="9">
        <v>30</v>
      </c>
      <c r="H6" s="9">
        <v>30</v>
      </c>
    </row>
    <row r="7" spans="2:8" x14ac:dyDescent="0.3">
      <c r="B7" s="7" t="s">
        <v>1130</v>
      </c>
      <c r="C7" s="5" t="s">
        <v>1128</v>
      </c>
      <c r="D7" s="10">
        <f>(D5/30)*D6</f>
        <v>2200000</v>
      </c>
      <c r="E7" s="10">
        <f>(E5/30)*E6</f>
        <v>1200000</v>
      </c>
      <c r="F7" s="10">
        <f>(F5/30)*F6</f>
        <v>1000000.0000000001</v>
      </c>
      <c r="G7" s="10">
        <f>(G5/30)*G6</f>
        <v>1200000</v>
      </c>
      <c r="H7" s="10">
        <f>(H5/30)*H6</f>
        <v>1000000.0000000001</v>
      </c>
    </row>
    <row r="8" spans="2:8" x14ac:dyDescent="0.3">
      <c r="B8" s="7" t="s">
        <v>1131</v>
      </c>
      <c r="C8" s="5" t="s">
        <v>1128</v>
      </c>
      <c r="D8" s="8">
        <v>0</v>
      </c>
      <c r="E8" s="8">
        <f>(117172/30)*E6</f>
        <v>117172</v>
      </c>
      <c r="F8" s="8">
        <f>(117172/30)*F6</f>
        <v>117172</v>
      </c>
      <c r="G8" s="8">
        <f>(117172/30)*G6</f>
        <v>117172</v>
      </c>
      <c r="H8" s="8">
        <f>(117172/30)*H6</f>
        <v>117172</v>
      </c>
    </row>
    <row r="9" spans="2:8" x14ac:dyDescent="0.3">
      <c r="B9" s="7" t="s">
        <v>1132</v>
      </c>
      <c r="C9" s="5" t="s">
        <v>1128</v>
      </c>
      <c r="D9" s="10">
        <f>+D7+D8</f>
        <v>2200000</v>
      </c>
      <c r="E9" s="10">
        <f>+E7+E8</f>
        <v>1317172</v>
      </c>
      <c r="F9" s="10">
        <f>+F7+F8</f>
        <v>1117172</v>
      </c>
      <c r="G9" s="10">
        <f>+G7+G8</f>
        <v>1317172</v>
      </c>
      <c r="H9" s="10">
        <f>+H7+H8</f>
        <v>1117172</v>
      </c>
    </row>
    <row r="10" spans="2:8" x14ac:dyDescent="0.3">
      <c r="B10" s="7" t="s">
        <v>1133</v>
      </c>
      <c r="C10" s="11">
        <v>0.04</v>
      </c>
      <c r="D10" s="8">
        <f>+D7*4%</f>
        <v>88000</v>
      </c>
      <c r="E10" s="8">
        <f>+E7*4%</f>
        <v>48000</v>
      </c>
      <c r="F10" s="8">
        <f>+F7*4%</f>
        <v>40000.000000000007</v>
      </c>
      <c r="G10" s="8">
        <f>+G7*4%</f>
        <v>48000</v>
      </c>
      <c r="H10" s="8">
        <f>+H7*4%</f>
        <v>40000.000000000007</v>
      </c>
    </row>
    <row r="11" spans="2:8" x14ac:dyDescent="0.3">
      <c r="B11" s="7" t="s">
        <v>1134</v>
      </c>
      <c r="C11" s="11">
        <v>0.04</v>
      </c>
      <c r="D11" s="8">
        <f>+D7*4%</f>
        <v>88000</v>
      </c>
      <c r="E11" s="8">
        <f>+E7*4%</f>
        <v>48000</v>
      </c>
      <c r="F11" s="8">
        <f>+F7*4%</f>
        <v>40000.000000000007</v>
      </c>
      <c r="G11" s="8">
        <f>+G7*4%</f>
        <v>48000</v>
      </c>
      <c r="H11" s="8">
        <f>+H7*4%</f>
        <v>40000.000000000007</v>
      </c>
    </row>
    <row r="12" spans="2:8" x14ac:dyDescent="0.3">
      <c r="B12" s="7" t="s">
        <v>1135</v>
      </c>
      <c r="C12" s="5" t="s">
        <v>1128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8" x14ac:dyDescent="0.3">
      <c r="B13" s="7" t="s">
        <v>1136</v>
      </c>
      <c r="C13" s="5" t="s">
        <v>1128</v>
      </c>
      <c r="D13" s="12">
        <f>+D10+D11+D12</f>
        <v>176000</v>
      </c>
      <c r="E13" s="12">
        <f>+E10+E11+E12</f>
        <v>96000</v>
      </c>
      <c r="F13" s="12">
        <f>+F10+F11+F12</f>
        <v>80000.000000000015</v>
      </c>
      <c r="G13" s="12">
        <f>+G10+G11+G12</f>
        <v>96000</v>
      </c>
      <c r="H13" s="12">
        <f>+H10+H11+H12</f>
        <v>80000.000000000015</v>
      </c>
    </row>
    <row r="14" spans="2:8" x14ac:dyDescent="0.3">
      <c r="B14" s="7" t="s">
        <v>1137</v>
      </c>
      <c r="C14" s="5" t="s">
        <v>1128</v>
      </c>
      <c r="D14" s="10">
        <f>+D9-D13</f>
        <v>2024000</v>
      </c>
      <c r="E14" s="10">
        <f>+E9-E13</f>
        <v>1221172</v>
      </c>
      <c r="F14" s="10">
        <f>+F9-F13</f>
        <v>1037172</v>
      </c>
      <c r="G14" s="10">
        <f>+G9-G13</f>
        <v>1221172</v>
      </c>
      <c r="H14" s="10">
        <f>+H9-H13</f>
        <v>1037172</v>
      </c>
    </row>
    <row r="15" spans="2:8" x14ac:dyDescent="0.3">
      <c r="B15" s="7" t="s">
        <v>1133</v>
      </c>
      <c r="C15" s="13">
        <v>8.5000000000000006E-2</v>
      </c>
      <c r="D15" s="8">
        <f>+D7*8.5%</f>
        <v>187000</v>
      </c>
      <c r="E15" s="8">
        <f>+E7*8.5%</f>
        <v>102000.00000000001</v>
      </c>
      <c r="F15" s="8">
        <f>+F7*8.5%</f>
        <v>85000.000000000015</v>
      </c>
      <c r="G15" s="8">
        <f>+G7*8.5%</f>
        <v>102000.00000000001</v>
      </c>
      <c r="H15" s="8">
        <f>+H7*8.5%</f>
        <v>85000.000000000015</v>
      </c>
    </row>
    <row r="16" spans="2:8" x14ac:dyDescent="0.3">
      <c r="B16" s="7" t="s">
        <v>1138</v>
      </c>
      <c r="C16" s="11">
        <v>0.12</v>
      </c>
      <c r="D16" s="8">
        <f>+D5*12%</f>
        <v>264000</v>
      </c>
      <c r="E16" s="8">
        <f>+E5*12%</f>
        <v>144000</v>
      </c>
      <c r="F16" s="8">
        <f>+F5*12%</f>
        <v>120000</v>
      </c>
      <c r="G16" s="8">
        <f>+G5*12%</f>
        <v>144000</v>
      </c>
      <c r="H16" s="8">
        <f>+H5*12%</f>
        <v>120000</v>
      </c>
    </row>
    <row r="17" spans="2:9" x14ac:dyDescent="0.3">
      <c r="B17" s="7" t="s">
        <v>1139</v>
      </c>
      <c r="C17" s="13">
        <v>5.2199999999999998E-3</v>
      </c>
      <c r="D17" s="8">
        <f>+D5*0.522%</f>
        <v>11484</v>
      </c>
      <c r="E17" s="8">
        <f>+E5*0.522%</f>
        <v>6264</v>
      </c>
      <c r="F17" s="8">
        <f>+F5*0.522%</f>
        <v>5220</v>
      </c>
      <c r="G17" s="8">
        <f>+G5*0.522%</f>
        <v>6264</v>
      </c>
      <c r="H17" s="8">
        <f>+H5*0.522%</f>
        <v>5220</v>
      </c>
    </row>
    <row r="18" spans="2:9" x14ac:dyDescent="0.3">
      <c r="B18" s="7" t="s">
        <v>1140</v>
      </c>
      <c r="C18" s="11">
        <v>0.04</v>
      </c>
      <c r="D18" s="8">
        <f>+D7*4%</f>
        <v>88000</v>
      </c>
      <c r="E18" s="8">
        <f>+E7*4%</f>
        <v>48000</v>
      </c>
      <c r="F18" s="8">
        <f>+F7*4%</f>
        <v>40000.000000000007</v>
      </c>
      <c r="G18" s="8">
        <f>+G7*4%</f>
        <v>48000</v>
      </c>
      <c r="H18" s="8">
        <f>+H7*4%</f>
        <v>40000.000000000007</v>
      </c>
    </row>
    <row r="19" spans="2:9" ht="14.4" customHeight="1" x14ac:dyDescent="0.3">
      <c r="B19" s="7" t="s">
        <v>1141</v>
      </c>
      <c r="C19" s="13">
        <v>8.3299999999999999E-2</v>
      </c>
      <c r="D19" s="8">
        <f>+D9*8.33%</f>
        <v>183260</v>
      </c>
      <c r="E19" s="8">
        <f>+E9*8.33%</f>
        <v>109720.4276</v>
      </c>
      <c r="F19" s="8">
        <f>+F9*8.33%</f>
        <v>93060.427599999995</v>
      </c>
      <c r="G19" s="8">
        <f>+G9*8.33%</f>
        <v>109720.4276</v>
      </c>
      <c r="H19" s="8">
        <f>+H9*8.33%</f>
        <v>93060.427599999995</v>
      </c>
    </row>
    <row r="20" spans="2:9" x14ac:dyDescent="0.3">
      <c r="B20" s="7" t="s">
        <v>1142</v>
      </c>
      <c r="C20" s="11">
        <v>0.01</v>
      </c>
      <c r="D20" s="8">
        <f>+D9*1%</f>
        <v>22000</v>
      </c>
      <c r="E20" s="8">
        <f>+E9*1%</f>
        <v>13171.720000000001</v>
      </c>
      <c r="F20" s="8">
        <f>+F9*1%</f>
        <v>11171.72</v>
      </c>
      <c r="G20" s="8">
        <f>+G9*1%</f>
        <v>13171.720000000001</v>
      </c>
      <c r="H20" s="8">
        <f>+H9*1%</f>
        <v>11171.72</v>
      </c>
    </row>
    <row r="21" spans="2:9" x14ac:dyDescent="0.3">
      <c r="B21" s="7" t="s">
        <v>1143</v>
      </c>
      <c r="C21" s="13">
        <v>8.3299999999999999E-2</v>
      </c>
      <c r="D21" s="8">
        <f>+D9*8.33%</f>
        <v>183260</v>
      </c>
      <c r="E21" s="8">
        <f>+E9*8.33%</f>
        <v>109720.4276</v>
      </c>
      <c r="F21" s="8">
        <f>+F9*8.33%</f>
        <v>93060.427599999995</v>
      </c>
      <c r="G21" s="8">
        <f>+G9*8.33%</f>
        <v>109720.4276</v>
      </c>
      <c r="H21" s="8">
        <f>+H9*8.33%</f>
        <v>93060.427599999995</v>
      </c>
    </row>
    <row r="22" spans="2:9" x14ac:dyDescent="0.3">
      <c r="B22" s="7" t="s">
        <v>1144</v>
      </c>
      <c r="C22" s="13">
        <v>4.1700000000000001E-2</v>
      </c>
      <c r="D22" s="8">
        <f>+D7*4.17%</f>
        <v>91740</v>
      </c>
      <c r="E22" s="8">
        <f>+E7*4.17%</f>
        <v>50040</v>
      </c>
      <c r="F22" s="8">
        <f>+F7*4.17%</f>
        <v>41700.000000000007</v>
      </c>
      <c r="G22" s="8">
        <f>+G7*4.17%</f>
        <v>50040</v>
      </c>
      <c r="H22" s="8">
        <f>+H7*4.17%</f>
        <v>41700.000000000007</v>
      </c>
    </row>
    <row r="23" spans="2:9" x14ac:dyDescent="0.3">
      <c r="B23" s="7" t="s">
        <v>1145</v>
      </c>
      <c r="C23" s="5" t="s">
        <v>1128</v>
      </c>
      <c r="D23" s="10">
        <f>+D9+D15+D16+D17+D18+D19+D20++D21+D22</f>
        <v>3230744</v>
      </c>
      <c r="E23" s="10">
        <f>+E9+E15+E16+E17+E18+E19+E20++E21+E22</f>
        <v>1900088.5752000001</v>
      </c>
      <c r="F23" s="10">
        <f>+F9+F15+F16+F17+F18+F19+F20++F21+F22</f>
        <v>1606384.5752000001</v>
      </c>
      <c r="G23" s="10">
        <f>+G9+G15+G16+G17+G18+G19+G20++G21+G22</f>
        <v>1900088.5752000001</v>
      </c>
      <c r="H23" s="10">
        <f>+H9+H15+H16+H17+H18+H19+H20++H21+H22</f>
        <v>1606384.5752000001</v>
      </c>
      <c r="I23" s="4"/>
    </row>
    <row r="24" spans="2:9" x14ac:dyDescent="0.3">
      <c r="B24" s="43" t="s">
        <v>1146</v>
      </c>
      <c r="C24" s="44" t="s">
        <v>1128</v>
      </c>
      <c r="D24" s="42">
        <f>+D23/30</f>
        <v>107691.46666666666</v>
      </c>
      <c r="E24" s="42">
        <f>+E23/30</f>
        <v>63336.285840000004</v>
      </c>
      <c r="F24" s="42">
        <f>+F23/30</f>
        <v>53546.152506666673</v>
      </c>
      <c r="G24" s="42">
        <f>+G23/30</f>
        <v>63336.285840000004</v>
      </c>
      <c r="H24" s="42">
        <f>+H23/30</f>
        <v>53546.152506666673</v>
      </c>
    </row>
    <row r="25" spans="2:9" x14ac:dyDescent="0.3">
      <c r="B25" s="45" t="s">
        <v>1147</v>
      </c>
      <c r="C25" s="46" t="s">
        <v>1128</v>
      </c>
      <c r="D25" s="47">
        <f>+D24/8</f>
        <v>13461.433333333332</v>
      </c>
      <c r="E25" s="47">
        <f>+E24/8</f>
        <v>7917.0357300000005</v>
      </c>
      <c r="F25" s="47">
        <f>+F24/8</f>
        <v>6693.2690633333341</v>
      </c>
      <c r="G25" s="47">
        <f>+G24/8</f>
        <v>7917.0357300000005</v>
      </c>
      <c r="H25" s="47">
        <f>+H24/8</f>
        <v>6693.2690633333341</v>
      </c>
    </row>
    <row r="26" spans="2:9" x14ac:dyDescent="0.3">
      <c r="B26" s="48" t="s">
        <v>1148</v>
      </c>
      <c r="C26" s="49" t="s">
        <v>1128</v>
      </c>
      <c r="D26" s="50">
        <f>+D25/60</f>
        <v>224.35722222222222</v>
      </c>
      <c r="E26" s="50">
        <f>+E25/60</f>
        <v>131.95059550000002</v>
      </c>
      <c r="F26" s="50">
        <f>+F25/60</f>
        <v>111.55448438888889</v>
      </c>
      <c r="G26" s="50">
        <f>+G25/60</f>
        <v>131.95059550000002</v>
      </c>
      <c r="H26" s="50">
        <f>+H25/60</f>
        <v>111.55448438888889</v>
      </c>
    </row>
    <row r="27" spans="2:9" x14ac:dyDescent="0.3">
      <c r="B27" s="318"/>
      <c r="C27" s="319"/>
      <c r="D27" s="320"/>
      <c r="E27" s="320"/>
      <c r="F27" s="320"/>
      <c r="G27" s="320"/>
      <c r="H27" s="320"/>
    </row>
    <row r="28" spans="2:9" ht="15" thickBot="1" x14ac:dyDescent="0.35">
      <c r="B28" s="318"/>
      <c r="C28" s="319"/>
      <c r="D28" s="320"/>
      <c r="E28" s="320"/>
      <c r="F28" s="320"/>
      <c r="G28" s="320"/>
      <c r="H28" s="320"/>
    </row>
    <row r="29" spans="2:9" x14ac:dyDescent="0.3">
      <c r="B29" s="76"/>
      <c r="C29" s="77"/>
      <c r="D29" s="77"/>
      <c r="E29" s="77"/>
      <c r="F29" s="77"/>
      <c r="G29" s="77"/>
      <c r="H29" s="78"/>
    </row>
    <row r="30" spans="2:9" x14ac:dyDescent="0.3">
      <c r="B30" s="79"/>
      <c r="C30" s="371" t="s">
        <v>1583</v>
      </c>
      <c r="D30" s="371"/>
      <c r="E30" s="371"/>
      <c r="F30" s="371"/>
      <c r="G30" s="371"/>
      <c r="H30" s="372"/>
    </row>
    <row r="31" spans="2:9" x14ac:dyDescent="0.3">
      <c r="B31" s="79"/>
      <c r="C31" s="65" t="s">
        <v>1124</v>
      </c>
      <c r="D31" s="65" t="s">
        <v>1125</v>
      </c>
      <c r="E31" s="65" t="s">
        <v>1176</v>
      </c>
      <c r="F31" s="65" t="s">
        <v>1126</v>
      </c>
      <c r="G31" s="65" t="s">
        <v>1177</v>
      </c>
      <c r="H31" s="80" t="s">
        <v>1283</v>
      </c>
    </row>
    <row r="32" spans="2:9" x14ac:dyDescent="0.3">
      <c r="B32" s="81" t="s">
        <v>1282</v>
      </c>
      <c r="C32" s="2">
        <f>SUM(H54:H61)</f>
        <v>168</v>
      </c>
      <c r="D32" s="2">
        <f>H69+H70+H71</f>
        <v>77</v>
      </c>
      <c r="E32" s="2">
        <v>0</v>
      </c>
      <c r="F32" s="2">
        <v>0</v>
      </c>
      <c r="G32" s="2">
        <v>0</v>
      </c>
      <c r="H32" s="82">
        <f t="shared" ref="H32:H37" si="0">SUM(C32:G32)</f>
        <v>245</v>
      </c>
    </row>
    <row r="33" spans="2:8" x14ac:dyDescent="0.3">
      <c r="B33" s="81" t="s">
        <v>1281</v>
      </c>
      <c r="C33" s="2">
        <f>SUM(H63:H65)</f>
        <v>60</v>
      </c>
      <c r="D33" s="2">
        <f>H72+H73+H74</f>
        <v>48</v>
      </c>
      <c r="E33" s="2">
        <v>0</v>
      </c>
      <c r="F33" s="31">
        <f>H92</f>
        <v>30</v>
      </c>
      <c r="G33" s="2">
        <v>0</v>
      </c>
      <c r="H33" s="82">
        <f t="shared" si="0"/>
        <v>138</v>
      </c>
    </row>
    <row r="34" spans="2:8" x14ac:dyDescent="0.3">
      <c r="B34" s="81" t="s">
        <v>1126</v>
      </c>
      <c r="C34" s="2">
        <v>0</v>
      </c>
      <c r="D34" s="2">
        <v>0</v>
      </c>
      <c r="E34" s="31">
        <f>H84</f>
        <v>70</v>
      </c>
      <c r="F34" s="31">
        <f>SUM(H93:H99)</f>
        <v>195</v>
      </c>
      <c r="G34" s="2">
        <f>H103+H104+H105</f>
        <v>240</v>
      </c>
      <c r="H34" s="82">
        <f t="shared" si="0"/>
        <v>505</v>
      </c>
    </row>
    <row r="35" spans="2:8" x14ac:dyDescent="0.3">
      <c r="B35" s="81" t="s">
        <v>1280</v>
      </c>
      <c r="C35" s="2">
        <v>0</v>
      </c>
      <c r="D35" s="2">
        <f>H75+H77</f>
        <v>45</v>
      </c>
      <c r="E35" s="2">
        <v>0</v>
      </c>
      <c r="F35" s="2">
        <v>0</v>
      </c>
      <c r="G35" s="2">
        <v>0</v>
      </c>
      <c r="H35" s="82">
        <f t="shared" si="0"/>
        <v>45</v>
      </c>
    </row>
    <row r="36" spans="2:8" x14ac:dyDescent="0.3">
      <c r="B36" s="81" t="s">
        <v>1188</v>
      </c>
      <c r="C36" s="2">
        <v>0</v>
      </c>
      <c r="D36" s="2">
        <f>H80+H79+H78+H76</f>
        <v>70</v>
      </c>
      <c r="E36" s="2">
        <v>0</v>
      </c>
      <c r="F36" s="31">
        <f>H91</f>
        <v>15</v>
      </c>
      <c r="G36" s="2">
        <v>0</v>
      </c>
      <c r="H36" s="82">
        <f t="shared" si="0"/>
        <v>85</v>
      </c>
    </row>
    <row r="37" spans="2:8" x14ac:dyDescent="0.3">
      <c r="B37" s="81" t="s">
        <v>1225</v>
      </c>
      <c r="C37" s="2">
        <v>12</v>
      </c>
      <c r="D37" s="2">
        <v>0</v>
      </c>
      <c r="E37" s="2">
        <f>H85+H86+H87</f>
        <v>170</v>
      </c>
      <c r="F37" s="2">
        <v>0</v>
      </c>
      <c r="G37" s="2">
        <v>0</v>
      </c>
      <c r="H37" s="82">
        <f t="shared" si="0"/>
        <v>182</v>
      </c>
    </row>
    <row r="38" spans="2:8" x14ac:dyDescent="0.3">
      <c r="B38" s="79"/>
      <c r="C38" s="40"/>
      <c r="D38" s="40"/>
      <c r="E38" s="40"/>
      <c r="F38" s="40"/>
      <c r="G38" s="40"/>
      <c r="H38" s="67"/>
    </row>
    <row r="39" spans="2:8" x14ac:dyDescent="0.3">
      <c r="B39" s="79"/>
      <c r="C39" s="371" t="s">
        <v>1584</v>
      </c>
      <c r="D39" s="371"/>
      <c r="E39" s="371"/>
      <c r="F39" s="371"/>
      <c r="G39" s="371"/>
      <c r="H39" s="372"/>
    </row>
    <row r="40" spans="2:8" x14ac:dyDescent="0.3">
      <c r="B40" s="79"/>
      <c r="C40" s="65" t="s">
        <v>1124</v>
      </c>
      <c r="D40" s="65" t="s">
        <v>1125</v>
      </c>
      <c r="E40" s="65" t="s">
        <v>1176</v>
      </c>
      <c r="F40" s="65" t="s">
        <v>1126</v>
      </c>
      <c r="G40" s="65" t="s">
        <v>1177</v>
      </c>
      <c r="H40" s="80" t="s">
        <v>1284</v>
      </c>
    </row>
    <row r="41" spans="2:8" x14ac:dyDescent="0.3">
      <c r="B41" s="81" t="s">
        <v>1282</v>
      </c>
      <c r="C41" s="3">
        <f t="shared" ref="C41:C46" si="1">$D$25*C32</f>
        <v>2261520.7999999998</v>
      </c>
      <c r="D41" s="3">
        <f t="shared" ref="D41:D46" si="2">$E$25*D32</f>
        <v>609611.75121000002</v>
      </c>
      <c r="E41" s="3">
        <f t="shared" ref="E41:E46" si="3">$F$25*E32</f>
        <v>0</v>
      </c>
      <c r="F41" s="3">
        <f t="shared" ref="F41:F46" si="4">$G$25*F32</f>
        <v>0</v>
      </c>
      <c r="G41" s="3">
        <f t="shared" ref="G41:G46" si="5">$H$25*G32</f>
        <v>0</v>
      </c>
      <c r="H41" s="83">
        <f t="shared" ref="H41:H46" si="6">SUM(C41:G41)</f>
        <v>2871132.5512099997</v>
      </c>
    </row>
    <row r="42" spans="2:8" x14ac:dyDescent="0.3">
      <c r="B42" s="81" t="s">
        <v>1281</v>
      </c>
      <c r="C42" s="3">
        <f t="shared" si="1"/>
        <v>807686</v>
      </c>
      <c r="D42" s="3">
        <f t="shared" si="2"/>
        <v>380017.71504000004</v>
      </c>
      <c r="E42" s="3">
        <f t="shared" si="3"/>
        <v>0</v>
      </c>
      <c r="F42" s="3">
        <f t="shared" si="4"/>
        <v>237511.07190000001</v>
      </c>
      <c r="G42" s="3">
        <f t="shared" si="5"/>
        <v>0</v>
      </c>
      <c r="H42" s="83">
        <f t="shared" si="6"/>
        <v>1425214.7869400003</v>
      </c>
    </row>
    <row r="43" spans="2:8" x14ac:dyDescent="0.3">
      <c r="B43" s="81" t="s">
        <v>1126</v>
      </c>
      <c r="C43" s="3">
        <f t="shared" si="1"/>
        <v>0</v>
      </c>
      <c r="D43" s="3">
        <f t="shared" si="2"/>
        <v>0</v>
      </c>
      <c r="E43" s="3">
        <f t="shared" si="3"/>
        <v>468528.83443333337</v>
      </c>
      <c r="F43" s="3">
        <f t="shared" si="4"/>
        <v>1543821.96735</v>
      </c>
      <c r="G43" s="3">
        <f t="shared" si="5"/>
        <v>1606384.5752000001</v>
      </c>
      <c r="H43" s="83">
        <f t="shared" si="6"/>
        <v>3618735.3769833334</v>
      </c>
    </row>
    <row r="44" spans="2:8" x14ac:dyDescent="0.3">
      <c r="B44" s="81" t="s">
        <v>1280</v>
      </c>
      <c r="C44" s="3">
        <f t="shared" si="1"/>
        <v>0</v>
      </c>
      <c r="D44" s="3">
        <f t="shared" si="2"/>
        <v>356266.60785000003</v>
      </c>
      <c r="E44" s="3">
        <f t="shared" si="3"/>
        <v>0</v>
      </c>
      <c r="F44" s="3">
        <f t="shared" si="4"/>
        <v>0</v>
      </c>
      <c r="G44" s="3">
        <f t="shared" si="5"/>
        <v>0</v>
      </c>
      <c r="H44" s="83">
        <f t="shared" si="6"/>
        <v>356266.60785000003</v>
      </c>
    </row>
    <row r="45" spans="2:8" x14ac:dyDescent="0.3">
      <c r="B45" s="81" t="s">
        <v>1188</v>
      </c>
      <c r="C45" s="3">
        <f t="shared" si="1"/>
        <v>0</v>
      </c>
      <c r="D45" s="3">
        <f t="shared" si="2"/>
        <v>554192.50109999999</v>
      </c>
      <c r="E45" s="3">
        <f t="shared" si="3"/>
        <v>0</v>
      </c>
      <c r="F45" s="3">
        <f t="shared" si="4"/>
        <v>118755.53595</v>
      </c>
      <c r="G45" s="3">
        <f t="shared" si="5"/>
        <v>0</v>
      </c>
      <c r="H45" s="83">
        <f t="shared" si="6"/>
        <v>672948.03705000004</v>
      </c>
    </row>
    <row r="46" spans="2:8" x14ac:dyDescent="0.3">
      <c r="B46" s="81" t="s">
        <v>1225</v>
      </c>
      <c r="C46" s="3">
        <f t="shared" si="1"/>
        <v>161537.19999999998</v>
      </c>
      <c r="D46" s="3">
        <f t="shared" si="2"/>
        <v>0</v>
      </c>
      <c r="E46" s="3">
        <f t="shared" si="3"/>
        <v>1137855.7407666668</v>
      </c>
      <c r="F46" s="3">
        <f t="shared" si="4"/>
        <v>0</v>
      </c>
      <c r="G46" s="3">
        <f t="shared" si="5"/>
        <v>0</v>
      </c>
      <c r="H46" s="83">
        <f t="shared" si="6"/>
        <v>1299392.9407666668</v>
      </c>
    </row>
    <row r="47" spans="2:8" ht="15" thickBot="1" x14ac:dyDescent="0.35">
      <c r="B47" s="84"/>
      <c r="C47" s="85"/>
      <c r="D47" s="85"/>
      <c r="E47" s="85"/>
      <c r="F47" s="85"/>
      <c r="G47" s="85"/>
      <c r="H47" s="75"/>
    </row>
    <row r="48" spans="2:8" x14ac:dyDescent="0.3">
      <c r="B48" s="318"/>
      <c r="C48" s="319"/>
      <c r="D48" s="320"/>
      <c r="E48" s="320"/>
      <c r="F48" s="320"/>
      <c r="G48" s="320"/>
      <c r="H48" s="320"/>
    </row>
    <row r="49" spans="2:15" ht="15" thickBot="1" x14ac:dyDescent="0.35"/>
    <row r="50" spans="2:15" x14ac:dyDescent="0.3">
      <c r="B50" s="373" t="s">
        <v>1582</v>
      </c>
      <c r="C50" s="374"/>
      <c r="D50" s="374"/>
      <c r="E50" s="374"/>
      <c r="F50" s="374"/>
      <c r="G50" s="374"/>
      <c r="H50" s="374"/>
      <c r="I50" s="375"/>
    </row>
    <row r="51" spans="2:15" x14ac:dyDescent="0.3">
      <c r="B51" s="376"/>
      <c r="C51" s="377"/>
      <c r="D51" s="377"/>
      <c r="E51" s="377"/>
      <c r="F51" s="377"/>
      <c r="G51" s="377"/>
      <c r="H51" s="377"/>
      <c r="I51" s="378"/>
      <c r="O51"/>
    </row>
    <row r="52" spans="2:15" x14ac:dyDescent="0.3">
      <c r="B52" s="313"/>
      <c r="C52" s="248"/>
      <c r="D52" s="248"/>
      <c r="E52" s="39"/>
      <c r="F52" s="39"/>
      <c r="G52" s="39"/>
      <c r="H52" s="39"/>
      <c r="I52" s="314"/>
      <c r="O52"/>
    </row>
    <row r="53" spans="2:15" ht="14.4" customHeight="1" x14ac:dyDescent="0.3">
      <c r="B53" s="379" t="s">
        <v>1124</v>
      </c>
      <c r="C53" s="16" t="s">
        <v>1149</v>
      </c>
      <c r="D53" s="16" t="s">
        <v>1241</v>
      </c>
      <c r="E53" s="16" t="s">
        <v>1150</v>
      </c>
      <c r="F53" s="17" t="s">
        <v>1919</v>
      </c>
      <c r="G53" s="17" t="s">
        <v>1276</v>
      </c>
      <c r="H53" s="17" t="s">
        <v>1181</v>
      </c>
      <c r="I53" s="68" t="s">
        <v>1152</v>
      </c>
      <c r="O53"/>
    </row>
    <row r="54" spans="2:15" x14ac:dyDescent="0.3">
      <c r="B54" s="380"/>
      <c r="C54" s="15">
        <v>1</v>
      </c>
      <c r="D54" s="15" t="str">
        <f>'01-ACTIVIDADES'!D4</f>
        <v>CA01 01</v>
      </c>
      <c r="E54" s="52" t="str">
        <f>'01-ACTIVIDADES'!E4</f>
        <v>Representar legalmente la empresa ante diferentes entidades.</v>
      </c>
      <c r="F54" s="3">
        <f>$D$25</f>
        <v>13461.433333333332</v>
      </c>
      <c r="G54" s="59">
        <f>H54/$H$66</f>
        <v>8.3333333333333329E-2</v>
      </c>
      <c r="H54" s="2">
        <v>20</v>
      </c>
      <c r="I54" s="69">
        <f t="shared" ref="I54:I65" si="7">F54*H54</f>
        <v>269228.66666666663</v>
      </c>
    </row>
    <row r="55" spans="2:15" x14ac:dyDescent="0.3">
      <c r="B55" s="310"/>
      <c r="C55" s="15">
        <v>2</v>
      </c>
      <c r="D55" s="15" t="str">
        <f>'01-ACTIVIDADES'!D5</f>
        <v>CA01 02</v>
      </c>
      <c r="E55" s="52" t="str">
        <f>'01-ACTIVIDADES'!E5</f>
        <v>Atencion al cliente</v>
      </c>
      <c r="F55" s="3">
        <f>$D$25</f>
        <v>13461.433333333332</v>
      </c>
      <c r="G55" s="59">
        <f t="shared" ref="G55:G65" si="8">H55/$H$66</f>
        <v>8.3333333333333329E-2</v>
      </c>
      <c r="H55" s="15">
        <v>20</v>
      </c>
      <c r="I55" s="69">
        <f t="shared" si="7"/>
        <v>269228.66666666663</v>
      </c>
      <c r="M55" s="40" t="s">
        <v>1929</v>
      </c>
      <c r="O55"/>
    </row>
    <row r="56" spans="2:15" x14ac:dyDescent="0.3">
      <c r="B56" s="310"/>
      <c r="C56" s="15">
        <v>3</v>
      </c>
      <c r="D56" s="15" t="str">
        <f>'01-ACTIVIDADES'!D6</f>
        <v>CA01 03</v>
      </c>
      <c r="E56" s="52" t="str">
        <f>'01-ACTIVIDADES'!E6</f>
        <v>Planificacion y organizacion</v>
      </c>
      <c r="F56" s="3">
        <f>$D$25</f>
        <v>13461.433333333332</v>
      </c>
      <c r="G56" s="59">
        <f t="shared" si="8"/>
        <v>8.3333333333333329E-2</v>
      </c>
      <c r="H56" s="2">
        <v>20</v>
      </c>
      <c r="I56" s="69">
        <f t="shared" si="7"/>
        <v>269228.66666666663</v>
      </c>
      <c r="O56"/>
    </row>
    <row r="57" spans="2:15" x14ac:dyDescent="0.3">
      <c r="B57" s="310"/>
      <c r="C57" s="15">
        <v>4</v>
      </c>
      <c r="D57" s="15" t="str">
        <f>'01-ACTIVIDADES'!D7</f>
        <v>CA01 04</v>
      </c>
      <c r="E57" s="52" t="str">
        <f>'01-ACTIVIDADES'!E7</f>
        <v>Captacion de clientes</v>
      </c>
      <c r="F57" s="3">
        <f>$D$25</f>
        <v>13461.433333333332</v>
      </c>
      <c r="G57" s="59">
        <f t="shared" si="8"/>
        <v>0.125</v>
      </c>
      <c r="H57" s="2">
        <v>30</v>
      </c>
      <c r="I57" s="69">
        <f t="shared" si="7"/>
        <v>403843</v>
      </c>
      <c r="O57"/>
    </row>
    <row r="58" spans="2:15" x14ac:dyDescent="0.3">
      <c r="B58" s="310"/>
      <c r="C58" s="15">
        <v>5</v>
      </c>
      <c r="D58" s="15" t="str">
        <f>'01-ACTIVIDADES'!D8</f>
        <v>CA01 05</v>
      </c>
      <c r="E58" s="52" t="str">
        <f>'01-ACTIVIDADES'!E8</f>
        <v>Captacion de Proveedores</v>
      </c>
      <c r="F58" s="3">
        <f>$D$25</f>
        <v>13461.433333333332</v>
      </c>
      <c r="G58" s="59">
        <f t="shared" si="8"/>
        <v>0.125</v>
      </c>
      <c r="H58" s="2">
        <v>30</v>
      </c>
      <c r="I58" s="69">
        <f t="shared" si="7"/>
        <v>403843</v>
      </c>
      <c r="M58" s="1"/>
      <c r="O58"/>
    </row>
    <row r="59" spans="2:15" x14ac:dyDescent="0.3">
      <c r="B59" s="310"/>
      <c r="C59" s="15">
        <v>6</v>
      </c>
      <c r="D59" s="15" t="str">
        <f>'01-ACTIVIDADES'!D9</f>
        <v>CA01 06</v>
      </c>
      <c r="E59" s="52" t="str">
        <f>'01-ACTIVIDADES'!E9</f>
        <v>Control de saldos de Caja y Banco</v>
      </c>
      <c r="F59" s="3">
        <f t="shared" ref="F59:F65" si="9">$D$25</f>
        <v>13461.433333333332</v>
      </c>
      <c r="G59" s="59">
        <f t="shared" si="8"/>
        <v>7.4999999999999997E-2</v>
      </c>
      <c r="H59" s="2">
        <v>18</v>
      </c>
      <c r="I59" s="69">
        <f t="shared" si="7"/>
        <v>242305.8</v>
      </c>
      <c r="O59"/>
    </row>
    <row r="60" spans="2:15" x14ac:dyDescent="0.3">
      <c r="B60" s="310"/>
      <c r="C60" s="15">
        <v>7</v>
      </c>
      <c r="D60" s="15" t="str">
        <f>'01-ACTIVIDADES'!D10</f>
        <v>CA01 07</v>
      </c>
      <c r="E60" s="52" t="str">
        <f>'01-ACTIVIDADES'!E10</f>
        <v>Contratacion de personal</v>
      </c>
      <c r="F60" s="3">
        <f t="shared" si="9"/>
        <v>13461.433333333332</v>
      </c>
      <c r="G60" s="59">
        <f t="shared" si="8"/>
        <v>0.05</v>
      </c>
      <c r="H60" s="2">
        <v>12</v>
      </c>
      <c r="I60" s="69">
        <f t="shared" si="7"/>
        <v>161537.19999999998</v>
      </c>
      <c r="O60"/>
    </row>
    <row r="61" spans="2:15" x14ac:dyDescent="0.3">
      <c r="B61" s="310"/>
      <c r="C61" s="15">
        <v>8</v>
      </c>
      <c r="D61" s="15" t="str">
        <f>'01-ACTIVIDADES'!D11</f>
        <v>CA01 08</v>
      </c>
      <c r="E61" s="52" t="str">
        <f>'01-ACTIVIDADES'!E11</f>
        <v>Contratacion de servicios</v>
      </c>
      <c r="F61" s="3">
        <f t="shared" si="9"/>
        <v>13461.433333333332</v>
      </c>
      <c r="G61" s="59">
        <f t="shared" si="8"/>
        <v>7.4999999999999997E-2</v>
      </c>
      <c r="H61" s="2">
        <v>18</v>
      </c>
      <c r="I61" s="69">
        <f t="shared" si="7"/>
        <v>242305.8</v>
      </c>
      <c r="O61"/>
    </row>
    <row r="62" spans="2:15" x14ac:dyDescent="0.3">
      <c r="B62" s="310"/>
      <c r="C62" s="15">
        <v>9</v>
      </c>
      <c r="D62" s="15" t="str">
        <f>'01-ACTIVIDADES'!D41</f>
        <v>CA06 38</v>
      </c>
      <c r="E62" s="52" t="str">
        <f>'01-ACTIVIDADES'!E41</f>
        <v>Control de inventario</v>
      </c>
      <c r="F62" s="3">
        <f t="shared" si="9"/>
        <v>13461.433333333332</v>
      </c>
      <c r="G62" s="59">
        <f t="shared" si="8"/>
        <v>0.05</v>
      </c>
      <c r="H62" s="2">
        <v>12</v>
      </c>
      <c r="I62" s="69">
        <f t="shared" si="7"/>
        <v>161537.19999999998</v>
      </c>
      <c r="O62"/>
    </row>
    <row r="63" spans="2:15" x14ac:dyDescent="0.3">
      <c r="B63" s="310"/>
      <c r="C63" s="15">
        <v>10</v>
      </c>
      <c r="D63" s="15" t="str">
        <f>'01-ACTIVIDADES'!D15</f>
        <v>CA02 12</v>
      </c>
      <c r="E63" s="52" t="str">
        <f>'01-ACTIVIDADES'!E15</f>
        <v>Pago Proveedores</v>
      </c>
      <c r="F63" s="3">
        <f t="shared" si="9"/>
        <v>13461.433333333332</v>
      </c>
      <c r="G63" s="59">
        <f t="shared" si="8"/>
        <v>8.3333333333333329E-2</v>
      </c>
      <c r="H63" s="2">
        <v>20</v>
      </c>
      <c r="I63" s="69">
        <f t="shared" si="7"/>
        <v>269228.66666666663</v>
      </c>
      <c r="O63"/>
    </row>
    <row r="64" spans="2:15" x14ac:dyDescent="0.3">
      <c r="B64" s="310"/>
      <c r="C64" s="15">
        <v>11</v>
      </c>
      <c r="D64" s="15" t="str">
        <f>'01-ACTIVIDADES'!D16</f>
        <v>CA02 13</v>
      </c>
      <c r="E64" s="52" t="str">
        <f>'01-ACTIVIDADES'!E16</f>
        <v>Pago Gastos administrativos</v>
      </c>
      <c r="F64" s="3">
        <f t="shared" si="9"/>
        <v>13461.433333333332</v>
      </c>
      <c r="G64" s="59">
        <f t="shared" si="8"/>
        <v>8.3333333333333329E-2</v>
      </c>
      <c r="H64" s="2">
        <v>20</v>
      </c>
      <c r="I64" s="69">
        <f t="shared" si="7"/>
        <v>269228.66666666663</v>
      </c>
      <c r="O64"/>
    </row>
    <row r="65" spans="2:15" x14ac:dyDescent="0.3">
      <c r="B65" s="310"/>
      <c r="C65" s="15">
        <v>12</v>
      </c>
      <c r="D65" s="15" t="str">
        <f>'01-ACTIVIDADES'!D17</f>
        <v>CA02 14</v>
      </c>
      <c r="E65" s="52" t="str">
        <f>'01-ACTIVIDADES'!E17</f>
        <v>Pago Obligaciones financieras</v>
      </c>
      <c r="F65" s="3">
        <f t="shared" si="9"/>
        <v>13461.433333333332</v>
      </c>
      <c r="G65" s="59">
        <f t="shared" si="8"/>
        <v>8.3333333333333329E-2</v>
      </c>
      <c r="H65" s="2">
        <v>20</v>
      </c>
      <c r="I65" s="69">
        <f t="shared" si="7"/>
        <v>269228.66666666663</v>
      </c>
      <c r="O65"/>
    </row>
    <row r="66" spans="2:15" x14ac:dyDescent="0.3">
      <c r="B66" s="310"/>
      <c r="C66" s="248"/>
      <c r="D66" s="248"/>
      <c r="E66" s="311"/>
      <c r="F66" s="312"/>
      <c r="G66" s="60">
        <f>SUM(G54:G65)</f>
        <v>1</v>
      </c>
      <c r="H66" s="17">
        <f>SUM(H54:H65)</f>
        <v>240</v>
      </c>
      <c r="I66" s="72">
        <f>SUM(I54:I65)</f>
        <v>3230743.9999999995</v>
      </c>
      <c r="O66"/>
    </row>
    <row r="67" spans="2:15" x14ac:dyDescent="0.3">
      <c r="B67" s="310"/>
      <c r="C67" s="248"/>
      <c r="D67" s="248"/>
      <c r="E67" s="248"/>
      <c r="F67" s="39"/>
      <c r="I67" s="67"/>
      <c r="O67"/>
    </row>
    <row r="68" spans="2:15" ht="14.4" customHeight="1" x14ac:dyDescent="0.3">
      <c r="B68" s="379" t="s">
        <v>1125</v>
      </c>
      <c r="C68" s="16" t="s">
        <v>1149</v>
      </c>
      <c r="D68" s="16" t="s">
        <v>1241</v>
      </c>
      <c r="E68" s="16" t="s">
        <v>1150</v>
      </c>
      <c r="F68" s="17" t="s">
        <v>1919</v>
      </c>
      <c r="G68" s="17" t="s">
        <v>1276</v>
      </c>
      <c r="H68" s="17" t="s">
        <v>1181</v>
      </c>
      <c r="I68" s="68" t="s">
        <v>1152</v>
      </c>
      <c r="O68"/>
    </row>
    <row r="69" spans="2:15" x14ac:dyDescent="0.3">
      <c r="B69" s="380"/>
      <c r="C69" s="15">
        <v>1</v>
      </c>
      <c r="D69" s="15" t="str">
        <f>'01-ACTIVIDADES'!D12</f>
        <v>CA01 09</v>
      </c>
      <c r="E69" s="51" t="str">
        <f>'01-ACTIVIDADES'!E12</f>
        <v>Recepcion de correspondencia</v>
      </c>
      <c r="F69" s="3">
        <f>$E$25</f>
        <v>7917.0357300000005</v>
      </c>
      <c r="G69" s="59">
        <f>H69/$H$81</f>
        <v>9.166666666666666E-2</v>
      </c>
      <c r="H69" s="2">
        <v>22</v>
      </c>
      <c r="I69" s="69">
        <f t="shared" ref="I69:I80" si="10">F69*H69</f>
        <v>174174.78606000001</v>
      </c>
      <c r="O69"/>
    </row>
    <row r="70" spans="2:15" x14ac:dyDescent="0.3">
      <c r="B70" s="310"/>
      <c r="C70" s="15">
        <v>2</v>
      </c>
      <c r="D70" s="15" t="str">
        <f>'01-ACTIVIDADES'!D13</f>
        <v>CA01 10</v>
      </c>
      <c r="E70" s="51" t="str">
        <f>'01-ACTIVIDADES'!E13</f>
        <v>Elaboracion de documentos o informes requeridos</v>
      </c>
      <c r="F70" s="3">
        <f>$E$25</f>
        <v>7917.0357300000005</v>
      </c>
      <c r="G70" s="59">
        <f t="shared" ref="G70:G80" si="11">H70/$H$81</f>
        <v>0.10416666666666667</v>
      </c>
      <c r="H70" s="15">
        <v>25</v>
      </c>
      <c r="I70" s="69">
        <f t="shared" si="10"/>
        <v>197925.89325000002</v>
      </c>
      <c r="O70"/>
    </row>
    <row r="71" spans="2:15" x14ac:dyDescent="0.3">
      <c r="B71" s="310"/>
      <c r="C71" s="15">
        <v>3</v>
      </c>
      <c r="D71" s="15" t="str">
        <f>'01-ACTIVIDADES'!D14</f>
        <v>CA01 11</v>
      </c>
      <c r="E71" s="51" t="str">
        <f>'01-ACTIVIDADES'!E14</f>
        <v>Archivo</v>
      </c>
      <c r="F71" s="3">
        <f>$E$25</f>
        <v>7917.0357300000005</v>
      </c>
      <c r="G71" s="59">
        <f t="shared" si="11"/>
        <v>0.125</v>
      </c>
      <c r="H71" s="2">
        <v>30</v>
      </c>
      <c r="I71" s="69">
        <f t="shared" si="10"/>
        <v>237511.07190000001</v>
      </c>
      <c r="O71"/>
    </row>
    <row r="72" spans="2:15" x14ac:dyDescent="0.3">
      <c r="B72" s="310"/>
      <c r="C72" s="15">
        <v>4</v>
      </c>
      <c r="D72" s="15" t="str">
        <f>'01-ACTIVIDADES'!D15</f>
        <v>CA02 12</v>
      </c>
      <c r="E72" s="51" t="str">
        <f>'01-ACTIVIDADES'!E15</f>
        <v>Pago Proveedores</v>
      </c>
      <c r="F72" s="3">
        <f>$E$25</f>
        <v>7917.0357300000005</v>
      </c>
      <c r="G72" s="59">
        <f t="shared" si="11"/>
        <v>6.6666666666666666E-2</v>
      </c>
      <c r="H72" s="2">
        <v>16</v>
      </c>
      <c r="I72" s="69">
        <f t="shared" si="10"/>
        <v>126672.57168000001</v>
      </c>
      <c r="O72"/>
    </row>
    <row r="73" spans="2:15" x14ac:dyDescent="0.3">
      <c r="B73" s="310"/>
      <c r="C73" s="15">
        <v>5</v>
      </c>
      <c r="D73" s="15" t="str">
        <f>'01-ACTIVIDADES'!D16</f>
        <v>CA02 13</v>
      </c>
      <c r="E73" s="51" t="str">
        <f>'01-ACTIVIDADES'!E16</f>
        <v>Pago Gastos administrativos</v>
      </c>
      <c r="F73" s="3">
        <f>$E$25</f>
        <v>7917.0357300000005</v>
      </c>
      <c r="G73" s="59">
        <f t="shared" si="11"/>
        <v>6.6666666666666666E-2</v>
      </c>
      <c r="H73" s="2">
        <v>16</v>
      </c>
      <c r="I73" s="69">
        <f t="shared" si="10"/>
        <v>126672.57168000001</v>
      </c>
      <c r="O73"/>
    </row>
    <row r="74" spans="2:15" x14ac:dyDescent="0.3">
      <c r="B74" s="310"/>
      <c r="C74" s="15">
        <v>6</v>
      </c>
      <c r="D74" s="15" t="str">
        <f>'01-ACTIVIDADES'!D17</f>
        <v>CA02 14</v>
      </c>
      <c r="E74" s="51" t="str">
        <f>'01-ACTIVIDADES'!E17</f>
        <v>Pago Obligaciones financieras</v>
      </c>
      <c r="F74" s="3">
        <f t="shared" ref="F74:F80" si="12">$E$25</f>
        <v>7917.0357300000005</v>
      </c>
      <c r="G74" s="59">
        <f t="shared" si="11"/>
        <v>6.6666666666666666E-2</v>
      </c>
      <c r="H74" s="2">
        <v>16</v>
      </c>
      <c r="I74" s="69">
        <f t="shared" si="10"/>
        <v>126672.57168000001</v>
      </c>
      <c r="O74"/>
    </row>
    <row r="75" spans="2:15" x14ac:dyDescent="0.3">
      <c r="B75" s="310"/>
      <c r="C75" s="15">
        <v>7</v>
      </c>
      <c r="D75" s="15" t="str">
        <f>'01-ACTIVIDADES'!D32</f>
        <v>CA04 29</v>
      </c>
      <c r="E75" s="51" t="str">
        <f>'01-ACTIVIDADES'!E32</f>
        <v>Recibir documentación de facturas y documentos equivalentes</v>
      </c>
      <c r="F75" s="3">
        <f t="shared" si="12"/>
        <v>7917.0357300000005</v>
      </c>
      <c r="G75" s="59">
        <f t="shared" si="11"/>
        <v>0.125</v>
      </c>
      <c r="H75" s="2">
        <v>30</v>
      </c>
      <c r="I75" s="69">
        <f t="shared" si="10"/>
        <v>237511.07190000001</v>
      </c>
      <c r="O75"/>
    </row>
    <row r="76" spans="2:15" x14ac:dyDescent="0.3">
      <c r="B76" s="310"/>
      <c r="C76" s="15">
        <v>8</v>
      </c>
      <c r="D76" s="15" t="str">
        <f>'01-ACTIVIDADES'!D36</f>
        <v>CA05 33</v>
      </c>
      <c r="E76" s="51" t="str">
        <f>'01-ACTIVIDADES'!E36</f>
        <v>Elaborar cuentas de cobro a los clientes o empresas</v>
      </c>
      <c r="F76" s="3">
        <f t="shared" si="12"/>
        <v>7917.0357300000005</v>
      </c>
      <c r="G76" s="59">
        <f t="shared" si="11"/>
        <v>6.25E-2</v>
      </c>
      <c r="H76" s="2">
        <v>15</v>
      </c>
      <c r="I76" s="69">
        <f t="shared" si="10"/>
        <v>118755.53595</v>
      </c>
      <c r="O76"/>
    </row>
    <row r="77" spans="2:15" x14ac:dyDescent="0.3">
      <c r="B77" s="310"/>
      <c r="C77" s="15">
        <v>9</v>
      </c>
      <c r="D77" s="15" t="str">
        <f>'01-ACTIVIDADES'!D33</f>
        <v>CA04 30</v>
      </c>
      <c r="E77" s="51" t="str">
        <f>'01-ACTIVIDADES'!E33</f>
        <v>Conciliacion bancaria</v>
      </c>
      <c r="F77" s="3">
        <f t="shared" si="12"/>
        <v>7917.0357300000005</v>
      </c>
      <c r="G77" s="59">
        <f t="shared" si="11"/>
        <v>6.25E-2</v>
      </c>
      <c r="H77" s="2">
        <v>15</v>
      </c>
      <c r="I77" s="69">
        <f t="shared" si="10"/>
        <v>118755.53595</v>
      </c>
      <c r="O77"/>
    </row>
    <row r="78" spans="2:15" x14ac:dyDescent="0.3">
      <c r="B78" s="310"/>
      <c r="C78" s="15">
        <v>10</v>
      </c>
      <c r="D78" s="15" t="str">
        <f>'01-ACTIVIDADES'!D38</f>
        <v>CA05 35</v>
      </c>
      <c r="E78" s="51" t="str">
        <f>'01-ACTIVIDADES'!E38</f>
        <v>Informar al area contable el estado de cartera</v>
      </c>
      <c r="F78" s="3">
        <f t="shared" si="12"/>
        <v>7917.0357300000005</v>
      </c>
      <c r="G78" s="59">
        <f t="shared" si="11"/>
        <v>0.10416666666666667</v>
      </c>
      <c r="H78" s="2">
        <v>25</v>
      </c>
      <c r="I78" s="69">
        <f t="shared" si="10"/>
        <v>197925.89325000002</v>
      </c>
      <c r="O78"/>
    </row>
    <row r="79" spans="2:15" x14ac:dyDescent="0.3">
      <c r="B79" s="310"/>
      <c r="C79" s="15">
        <v>11</v>
      </c>
      <c r="D79" s="15" t="str">
        <f>'01-ACTIVIDADES'!D39</f>
        <v>CA05 36</v>
      </c>
      <c r="E79" s="51" t="str">
        <f>'01-ACTIVIDADES'!E39</f>
        <v xml:space="preserve">Actualizar información de clientes y proveedores </v>
      </c>
      <c r="F79" s="3">
        <f t="shared" si="12"/>
        <v>7917.0357300000005</v>
      </c>
      <c r="G79" s="59">
        <f t="shared" si="11"/>
        <v>4.1666666666666664E-2</v>
      </c>
      <c r="H79" s="2">
        <v>10</v>
      </c>
      <c r="I79" s="69">
        <f t="shared" si="10"/>
        <v>79170.357300000003</v>
      </c>
      <c r="O79"/>
    </row>
    <row r="80" spans="2:15" x14ac:dyDescent="0.3">
      <c r="B80" s="310"/>
      <c r="C80" s="15">
        <v>12</v>
      </c>
      <c r="D80" s="15" t="str">
        <f>'01-ACTIVIDADES'!D40</f>
        <v>CA05 37</v>
      </c>
      <c r="E80" s="51" t="str">
        <f>'01-ACTIVIDADES'!E40</f>
        <v>Cobro de cartera</v>
      </c>
      <c r="F80" s="3">
        <f t="shared" si="12"/>
        <v>7917.0357300000005</v>
      </c>
      <c r="G80" s="59">
        <f t="shared" si="11"/>
        <v>8.3333333333333329E-2</v>
      </c>
      <c r="H80" s="2">
        <v>20</v>
      </c>
      <c r="I80" s="69">
        <f t="shared" si="10"/>
        <v>158340.71460000001</v>
      </c>
      <c r="O80"/>
    </row>
    <row r="81" spans="2:15" x14ac:dyDescent="0.3">
      <c r="B81" s="310"/>
      <c r="C81" s="248"/>
      <c r="D81" s="248"/>
      <c r="E81" s="39"/>
      <c r="F81" s="312"/>
      <c r="G81" s="60">
        <f>SUM(G69:G80)</f>
        <v>0.99999999999999989</v>
      </c>
      <c r="H81" s="17">
        <f>SUM(H69:H80)</f>
        <v>240</v>
      </c>
      <c r="I81" s="72">
        <f>SUM(I69:I80)</f>
        <v>1900088.5752000001</v>
      </c>
      <c r="O81"/>
    </row>
    <row r="82" spans="2:15" x14ac:dyDescent="0.3">
      <c r="B82" s="310"/>
      <c r="C82" s="248"/>
      <c r="D82" s="248"/>
      <c r="E82" s="248"/>
      <c r="F82" s="39"/>
      <c r="I82" s="67"/>
      <c r="O82"/>
    </row>
    <row r="83" spans="2:15" x14ac:dyDescent="0.3">
      <c r="B83" s="379" t="s">
        <v>1176</v>
      </c>
      <c r="C83" s="16" t="s">
        <v>1149</v>
      </c>
      <c r="D83" s="16" t="s">
        <v>1241</v>
      </c>
      <c r="E83" s="16" t="s">
        <v>1150</v>
      </c>
      <c r="F83" s="17" t="s">
        <v>1919</v>
      </c>
      <c r="G83" s="17" t="s">
        <v>1276</v>
      </c>
      <c r="H83" s="17" t="s">
        <v>1181</v>
      </c>
      <c r="I83" s="68" t="s">
        <v>1152</v>
      </c>
      <c r="O83"/>
    </row>
    <row r="84" spans="2:15" x14ac:dyDescent="0.3">
      <c r="B84" s="380"/>
      <c r="C84" s="15">
        <v>1</v>
      </c>
      <c r="D84" s="15" t="str">
        <f>'01-ACTIVIDADES'!D22</f>
        <v>CA03 19</v>
      </c>
      <c r="E84" s="52" t="str">
        <f>'01-ACTIVIDADES'!E22</f>
        <v>Venta de mercancia</v>
      </c>
      <c r="F84" s="3">
        <f>$F$25</f>
        <v>6693.2690633333341</v>
      </c>
      <c r="G84" s="59">
        <f>H84/$H$88</f>
        <v>0.29166666666666669</v>
      </c>
      <c r="H84" s="31">
        <v>70</v>
      </c>
      <c r="I84" s="69">
        <f>F84*H84</f>
        <v>468528.83443333337</v>
      </c>
      <c r="O84"/>
    </row>
    <row r="85" spans="2:15" x14ac:dyDescent="0.3">
      <c r="B85" s="310"/>
      <c r="C85" s="15">
        <v>2</v>
      </c>
      <c r="D85" s="15" t="str">
        <f>'01-ACTIVIDADES'!D42</f>
        <v>CA06 39</v>
      </c>
      <c r="E85" s="52" t="str">
        <f>'01-ACTIVIDADES'!E42</f>
        <v>Cargue y Descargue de mercancia</v>
      </c>
      <c r="F85" s="3">
        <f>$F$25</f>
        <v>6693.2690633333341</v>
      </c>
      <c r="G85" s="59">
        <f>H85/$H$88</f>
        <v>0.32500000000000001</v>
      </c>
      <c r="H85" s="15">
        <v>78</v>
      </c>
      <c r="I85" s="69">
        <f>F85*H85</f>
        <v>522074.98694000003</v>
      </c>
      <c r="O85"/>
    </row>
    <row r="86" spans="2:15" x14ac:dyDescent="0.3">
      <c r="B86" s="310"/>
      <c r="C86" s="15">
        <v>3</v>
      </c>
      <c r="D86" s="15" t="str">
        <f>'01-ACTIVIDADES'!D43</f>
        <v>CA06 40</v>
      </c>
      <c r="E86" s="52" t="str">
        <f>'01-ACTIVIDADES'!E43</f>
        <v>Peso y empaque de productos</v>
      </c>
      <c r="F86" s="3">
        <f>$F$25</f>
        <v>6693.2690633333341</v>
      </c>
      <c r="G86" s="59">
        <f>H86/$H$88</f>
        <v>0.05</v>
      </c>
      <c r="H86" s="2">
        <v>12</v>
      </c>
      <c r="I86" s="69">
        <f>F86*H86</f>
        <v>80319.228760000013</v>
      </c>
      <c r="O86"/>
    </row>
    <row r="87" spans="2:15" x14ac:dyDescent="0.3">
      <c r="B87" s="310"/>
      <c r="C87" s="15">
        <v>4</v>
      </c>
      <c r="D87" s="15" t="str">
        <f>'01-ACTIVIDADES'!D41</f>
        <v>CA06 38</v>
      </c>
      <c r="E87" s="52" t="str">
        <f>'01-ACTIVIDADES'!E41</f>
        <v>Control de inventario</v>
      </c>
      <c r="F87" s="3">
        <f>$F$25</f>
        <v>6693.2690633333341</v>
      </c>
      <c r="G87" s="59">
        <f>H87/$H$88</f>
        <v>0.33333333333333331</v>
      </c>
      <c r="H87" s="2">
        <v>80</v>
      </c>
      <c r="I87" s="69">
        <f>F87*H87</f>
        <v>535461.52506666677</v>
      </c>
      <c r="O87"/>
    </row>
    <row r="88" spans="2:15" x14ac:dyDescent="0.3">
      <c r="B88" s="310"/>
      <c r="C88" s="248"/>
      <c r="D88" s="248"/>
      <c r="E88" s="248"/>
      <c r="F88" s="39"/>
      <c r="G88" s="60">
        <f>SUM(G84:G87)</f>
        <v>1</v>
      </c>
      <c r="H88" s="58">
        <f>SUM(H84:H87)</f>
        <v>240</v>
      </c>
      <c r="I88" s="73">
        <f>SUM(I84:I87)</f>
        <v>1606384.5752000003</v>
      </c>
      <c r="O88"/>
    </row>
    <row r="89" spans="2:15" x14ac:dyDescent="0.3">
      <c r="B89" s="310"/>
      <c r="C89" s="248"/>
      <c r="D89" s="248"/>
      <c r="E89" s="248"/>
      <c r="F89" s="39"/>
      <c r="I89" s="67"/>
      <c r="O89"/>
    </row>
    <row r="90" spans="2:15" x14ac:dyDescent="0.3">
      <c r="B90" s="379" t="s">
        <v>1126</v>
      </c>
      <c r="C90" s="16" t="s">
        <v>1149</v>
      </c>
      <c r="D90" s="16" t="s">
        <v>1241</v>
      </c>
      <c r="E90" s="16" t="s">
        <v>1150</v>
      </c>
      <c r="F90" s="17" t="s">
        <v>1919</v>
      </c>
      <c r="G90" s="17" t="s">
        <v>1276</v>
      </c>
      <c r="H90" s="17" t="s">
        <v>1181</v>
      </c>
      <c r="I90" s="68" t="s">
        <v>1152</v>
      </c>
      <c r="O90"/>
    </row>
    <row r="91" spans="2:15" x14ac:dyDescent="0.3">
      <c r="B91" s="380"/>
      <c r="C91" s="15">
        <v>1</v>
      </c>
      <c r="D91" s="15" t="str">
        <f>'01-ACTIVIDADES'!D40</f>
        <v>CA05 37</v>
      </c>
      <c r="E91" s="52" t="str">
        <f>'01-ACTIVIDADES'!E40</f>
        <v>Cobro de cartera</v>
      </c>
      <c r="F91" s="3">
        <f t="shared" ref="F91:F99" si="13">$G$25</f>
        <v>7917.0357300000005</v>
      </c>
      <c r="G91" s="59">
        <f>H91/$H$100</f>
        <v>6.25E-2</v>
      </c>
      <c r="H91" s="31">
        <v>15</v>
      </c>
      <c r="I91" s="69">
        <f t="shared" ref="I91:I99" si="14">F91*H91</f>
        <v>118755.53595</v>
      </c>
      <c r="O91"/>
    </row>
    <row r="92" spans="2:15" x14ac:dyDescent="0.3">
      <c r="B92" s="310"/>
      <c r="C92" s="15">
        <v>2</v>
      </c>
      <c r="D92" s="15" t="str">
        <f>'01-ACTIVIDADES'!D15</f>
        <v>CA02 12</v>
      </c>
      <c r="E92" s="52" t="str">
        <f>'01-ACTIVIDADES'!E15</f>
        <v>Pago Proveedores</v>
      </c>
      <c r="F92" s="3">
        <f t="shared" si="13"/>
        <v>7917.0357300000005</v>
      </c>
      <c r="G92" s="59">
        <f t="shared" ref="G92:G99" si="15">H92/$H$100</f>
        <v>0.125</v>
      </c>
      <c r="H92" s="31">
        <v>30</v>
      </c>
      <c r="I92" s="69">
        <f t="shared" si="14"/>
        <v>237511.07190000001</v>
      </c>
      <c r="O92"/>
    </row>
    <row r="93" spans="2:15" x14ac:dyDescent="0.3">
      <c r="B93" s="310"/>
      <c r="C93" s="15">
        <v>3</v>
      </c>
      <c r="D93" s="15" t="str">
        <f>'01-ACTIVIDADES'!D22</f>
        <v>CA03 19</v>
      </c>
      <c r="E93" s="52" t="str">
        <f>'01-ACTIVIDADES'!E22</f>
        <v>Venta de mercancia</v>
      </c>
      <c r="F93" s="3">
        <f t="shared" si="13"/>
        <v>7917.0357300000005</v>
      </c>
      <c r="G93" s="59">
        <f t="shared" si="15"/>
        <v>0.125</v>
      </c>
      <c r="H93" s="31">
        <v>30</v>
      </c>
      <c r="I93" s="69">
        <f t="shared" si="14"/>
        <v>237511.07190000001</v>
      </c>
      <c r="O93"/>
    </row>
    <row r="94" spans="2:15" x14ac:dyDescent="0.3">
      <c r="B94" s="310"/>
      <c r="C94" s="15">
        <v>4</v>
      </c>
      <c r="D94" s="15" t="str">
        <f>'01-ACTIVIDADES'!D20</f>
        <v>CA03 17</v>
      </c>
      <c r="E94" s="52" t="str">
        <f>'01-ACTIVIDADES'!E20</f>
        <v xml:space="preserve">Realizar cuadre de caja diario </v>
      </c>
      <c r="F94" s="3">
        <f t="shared" si="13"/>
        <v>7917.0357300000005</v>
      </c>
      <c r="G94" s="59">
        <f t="shared" si="15"/>
        <v>0.1</v>
      </c>
      <c r="H94" s="2">
        <v>24</v>
      </c>
      <c r="I94" s="69">
        <f t="shared" si="14"/>
        <v>190008.85752000002</v>
      </c>
      <c r="O94"/>
    </row>
    <row r="95" spans="2:15" x14ac:dyDescent="0.3">
      <c r="B95" s="310"/>
      <c r="C95" s="15">
        <v>5</v>
      </c>
      <c r="D95" s="15" t="str">
        <f>'01-ACTIVIDADES'!D21</f>
        <v>CA03 18</v>
      </c>
      <c r="E95" s="52" t="str">
        <f>'01-ACTIVIDADES'!E21</f>
        <v>Asesoria y recomendación de productos</v>
      </c>
      <c r="F95" s="3">
        <f t="shared" si="13"/>
        <v>7917.0357300000005</v>
      </c>
      <c r="G95" s="59">
        <f t="shared" si="15"/>
        <v>0.125</v>
      </c>
      <c r="H95" s="2">
        <v>30</v>
      </c>
      <c r="I95" s="69">
        <f t="shared" si="14"/>
        <v>237511.07190000001</v>
      </c>
      <c r="O95"/>
    </row>
    <row r="96" spans="2:15" x14ac:dyDescent="0.3">
      <c r="B96" s="310"/>
      <c r="C96" s="15">
        <v>6</v>
      </c>
      <c r="D96" s="15" t="str">
        <f>'01-ACTIVIDADES'!D23</f>
        <v>CA03 20</v>
      </c>
      <c r="E96" s="52" t="str">
        <f>'01-ACTIVIDADES'!E23</f>
        <v>Recepcion de ordenes de pedidos.</v>
      </c>
      <c r="F96" s="3">
        <f t="shared" si="13"/>
        <v>7917.0357300000005</v>
      </c>
      <c r="G96" s="59">
        <f t="shared" si="15"/>
        <v>0.1125</v>
      </c>
      <c r="H96" s="2">
        <v>27</v>
      </c>
      <c r="I96" s="69">
        <f t="shared" si="14"/>
        <v>213759.96471</v>
      </c>
      <c r="O96"/>
    </row>
    <row r="97" spans="2:15" x14ac:dyDescent="0.3">
      <c r="B97" s="310"/>
      <c r="C97" s="15">
        <v>7</v>
      </c>
      <c r="D97" s="15" t="str">
        <f>'01-ACTIVIDADES'!D24</f>
        <v>CA03 21</v>
      </c>
      <c r="E97" s="52" t="str">
        <f>'01-ACTIVIDADES'!E24</f>
        <v>Facturacion de ventas</v>
      </c>
      <c r="F97" s="3">
        <f t="shared" si="13"/>
        <v>7917.0357300000005</v>
      </c>
      <c r="G97" s="59">
        <f t="shared" si="15"/>
        <v>0.125</v>
      </c>
      <c r="H97" s="2">
        <v>30</v>
      </c>
      <c r="I97" s="69">
        <f t="shared" si="14"/>
        <v>237511.07190000001</v>
      </c>
      <c r="O97"/>
    </row>
    <row r="98" spans="2:15" x14ac:dyDescent="0.3">
      <c r="B98" s="310"/>
      <c r="C98" s="15">
        <v>8</v>
      </c>
      <c r="D98" s="15" t="str">
        <f>'01-ACTIVIDADES'!D18</f>
        <v>CA03 15</v>
      </c>
      <c r="E98" s="52" t="str">
        <f>'01-ACTIVIDADES'!E18</f>
        <v>Informacion de Productos y precios</v>
      </c>
      <c r="F98" s="3">
        <f t="shared" si="13"/>
        <v>7917.0357300000005</v>
      </c>
      <c r="G98" s="59">
        <f t="shared" si="15"/>
        <v>0.1125</v>
      </c>
      <c r="H98" s="2">
        <v>27</v>
      </c>
      <c r="I98" s="69">
        <f t="shared" si="14"/>
        <v>213759.96471</v>
      </c>
      <c r="O98"/>
    </row>
    <row r="99" spans="2:15" x14ac:dyDescent="0.3">
      <c r="B99" s="310"/>
      <c r="C99" s="15">
        <v>9</v>
      </c>
      <c r="D99" s="15" t="str">
        <f>'01-ACTIVIDADES'!D19</f>
        <v>CA03 16</v>
      </c>
      <c r="E99" s="52" t="str">
        <f>'01-ACTIVIDADES'!E19</f>
        <v>Recepcion de llamadas para pedidos</v>
      </c>
      <c r="F99" s="3">
        <f t="shared" si="13"/>
        <v>7917.0357300000005</v>
      </c>
      <c r="G99" s="59">
        <f t="shared" si="15"/>
        <v>0.1125</v>
      </c>
      <c r="H99" s="2">
        <v>27</v>
      </c>
      <c r="I99" s="69">
        <f t="shared" si="14"/>
        <v>213759.96471</v>
      </c>
      <c r="O99"/>
    </row>
    <row r="100" spans="2:15" x14ac:dyDescent="0.3">
      <c r="B100" s="310"/>
      <c r="C100" s="248"/>
      <c r="D100" s="248"/>
      <c r="E100" s="311"/>
      <c r="F100" s="312"/>
      <c r="G100" s="60">
        <f>SUM(G91:G99)</f>
        <v>1</v>
      </c>
      <c r="H100" s="58">
        <f>SUM(H91:H99)</f>
        <v>240</v>
      </c>
      <c r="I100" s="73">
        <f>SUM(I91:I99)</f>
        <v>1900088.5752000001</v>
      </c>
      <c r="O100"/>
    </row>
    <row r="101" spans="2:15" x14ac:dyDescent="0.3">
      <c r="B101" s="310"/>
      <c r="C101" s="248"/>
      <c r="D101" s="248"/>
      <c r="E101" s="248"/>
      <c r="F101" s="39"/>
      <c r="I101" s="67"/>
      <c r="O101"/>
    </row>
    <row r="102" spans="2:15" x14ac:dyDescent="0.3">
      <c r="B102" s="379" t="s">
        <v>1177</v>
      </c>
      <c r="C102" s="16" t="s">
        <v>1149</v>
      </c>
      <c r="D102" s="16" t="s">
        <v>1241</v>
      </c>
      <c r="E102" s="16" t="s">
        <v>1150</v>
      </c>
      <c r="F102" s="17" t="s">
        <v>1919</v>
      </c>
      <c r="G102" s="17" t="s">
        <v>1276</v>
      </c>
      <c r="H102" s="17" t="s">
        <v>1181</v>
      </c>
      <c r="I102" s="68" t="s">
        <v>1152</v>
      </c>
      <c r="O102"/>
    </row>
    <row r="103" spans="2:15" x14ac:dyDescent="0.3">
      <c r="B103" s="380"/>
      <c r="C103" s="15">
        <v>1</v>
      </c>
      <c r="D103" s="15" t="str">
        <f>'01-ACTIVIDADES'!D25</f>
        <v>CA03 22</v>
      </c>
      <c r="E103" s="52" t="str">
        <f>'01-ACTIVIDADES'!E25</f>
        <v>Mostrador agricola</v>
      </c>
      <c r="F103" s="3">
        <f>$H$25</f>
        <v>6693.2690633333341</v>
      </c>
      <c r="G103" s="59">
        <f>H103/$H$106</f>
        <v>0.29166666666666669</v>
      </c>
      <c r="H103" s="2">
        <v>70</v>
      </c>
      <c r="I103" s="69">
        <f>F103*H103</f>
        <v>468528.83443333337</v>
      </c>
      <c r="O103"/>
    </row>
    <row r="104" spans="2:15" x14ac:dyDescent="0.3">
      <c r="B104" s="313"/>
      <c r="C104" s="15">
        <v>2</v>
      </c>
      <c r="D104" s="15" t="str">
        <f>'01-ACTIVIDADES'!D21</f>
        <v>CA03 18</v>
      </c>
      <c r="E104" s="52" t="str">
        <f>'01-ACTIVIDADES'!E21</f>
        <v>Asesoria y recomendación de productos</v>
      </c>
      <c r="F104" s="3">
        <f>$H$25</f>
        <v>6693.2690633333341</v>
      </c>
      <c r="G104" s="59">
        <f>H104/$H$106</f>
        <v>0.29166666666666669</v>
      </c>
      <c r="H104" s="15">
        <v>70</v>
      </c>
      <c r="I104" s="69">
        <f>F104*H104</f>
        <v>468528.83443333337</v>
      </c>
      <c r="O104"/>
    </row>
    <row r="105" spans="2:15" x14ac:dyDescent="0.3">
      <c r="B105" s="313"/>
      <c r="C105" s="15">
        <v>3</v>
      </c>
      <c r="D105" s="15" t="str">
        <f>'01-ACTIVIDADES'!D22</f>
        <v>CA03 19</v>
      </c>
      <c r="E105" s="52" t="str">
        <f>'01-ACTIVIDADES'!E22</f>
        <v>Venta de mercancia</v>
      </c>
      <c r="F105" s="3">
        <f>$H$25</f>
        <v>6693.2690633333341</v>
      </c>
      <c r="G105" s="59">
        <f>H105/$H$106</f>
        <v>0.41666666666666669</v>
      </c>
      <c r="H105" s="2">
        <v>100</v>
      </c>
      <c r="I105" s="69">
        <f>F105*H105</f>
        <v>669326.90633333346</v>
      </c>
      <c r="O105"/>
    </row>
    <row r="106" spans="2:15" x14ac:dyDescent="0.3">
      <c r="B106" s="313"/>
      <c r="C106" s="248"/>
      <c r="D106" s="248"/>
      <c r="E106" s="39"/>
      <c r="F106" s="39"/>
      <c r="G106" s="60">
        <f>SUM(G103:G105)</f>
        <v>1</v>
      </c>
      <c r="H106" s="58">
        <f>SUM(H103:H105)</f>
        <v>240</v>
      </c>
      <c r="I106" s="73">
        <f>SUM(I103:I105)</f>
        <v>1606384.5752000003</v>
      </c>
      <c r="O106"/>
    </row>
    <row r="107" spans="2:15" ht="15" thickBot="1" x14ac:dyDescent="0.35">
      <c r="B107" s="315"/>
      <c r="C107" s="316"/>
      <c r="D107" s="316"/>
      <c r="E107" s="317"/>
      <c r="F107" s="317"/>
      <c r="G107" s="74"/>
      <c r="H107" s="74"/>
      <c r="I107" s="75"/>
      <c r="O107"/>
    </row>
    <row r="108" spans="2:15" x14ac:dyDescent="0.3">
      <c r="O108"/>
    </row>
  </sheetData>
  <autoFilter ref="C53:I66" xr:uid="{E076FBC1-6DBB-4B49-8571-333D2E61C44F}"/>
  <mergeCells count="9">
    <mergeCell ref="C30:H30"/>
    <mergeCell ref="C39:H39"/>
    <mergeCell ref="B50:I51"/>
    <mergeCell ref="B102:B103"/>
    <mergeCell ref="B3:H3"/>
    <mergeCell ref="B53:B54"/>
    <mergeCell ref="B68:B69"/>
    <mergeCell ref="B83:B84"/>
    <mergeCell ref="B90:B9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61AF-1064-4B31-90EC-54CA5E07949F}">
  <dimension ref="B1:J987"/>
  <sheetViews>
    <sheetView showGridLines="0" showRowColHeaders="0" topLeftCell="A32" zoomScaleNormal="100" workbookViewId="0">
      <selection activeCell="F29" sqref="F29"/>
    </sheetView>
  </sheetViews>
  <sheetFormatPr baseColWidth="10" defaultColWidth="14" defaultRowHeight="15" customHeight="1" x14ac:dyDescent="0.25"/>
  <cols>
    <col min="1" max="1" width="10" style="18" customWidth="1"/>
    <col min="2" max="2" width="25.33203125" style="18" bestFit="1" customWidth="1"/>
    <col min="3" max="3" width="26.44140625" style="18" customWidth="1"/>
    <col min="4" max="4" width="27.6640625" style="25" customWidth="1"/>
    <col min="5" max="5" width="59.5546875" style="18" bestFit="1" customWidth="1"/>
    <col min="6" max="6" width="33.6640625" style="103" bestFit="1" customWidth="1"/>
    <col min="7" max="7" width="41" style="18" bestFit="1" customWidth="1"/>
    <col min="8" max="8" width="36.5546875" style="18" bestFit="1" customWidth="1"/>
    <col min="9" max="9" width="16.21875" style="18" bestFit="1" customWidth="1"/>
    <col min="10" max="10" width="36" style="18" customWidth="1"/>
    <col min="11" max="11" width="10.44140625" style="18" customWidth="1"/>
    <col min="12" max="12" width="16.88671875" style="18" bestFit="1" customWidth="1"/>
    <col min="13" max="13" width="17.109375" style="18" bestFit="1" customWidth="1"/>
    <col min="14" max="28" width="10.44140625" style="18" customWidth="1"/>
    <col min="29" max="16384" width="14" style="18"/>
  </cols>
  <sheetData>
    <row r="1" spans="2:10" ht="14.4" x14ac:dyDescent="0.3">
      <c r="C1" s="113"/>
      <c r="E1" s="19"/>
      <c r="F1" s="96"/>
      <c r="G1" s="19"/>
      <c r="H1" s="19"/>
      <c r="I1" s="19"/>
      <c r="J1" s="19"/>
    </row>
    <row r="2" spans="2:10" ht="14.4" customHeight="1" x14ac:dyDescent="0.25">
      <c r="B2" s="384" t="s">
        <v>1275</v>
      </c>
      <c r="C2" s="384"/>
      <c r="D2" s="384"/>
      <c r="E2" s="384"/>
      <c r="F2" s="384"/>
      <c r="G2" s="384"/>
      <c r="H2" s="384"/>
      <c r="I2" s="384"/>
      <c r="J2" s="384"/>
    </row>
    <row r="3" spans="2:10" ht="13.8" x14ac:dyDescent="0.25">
      <c r="B3" s="54" t="s">
        <v>1274</v>
      </c>
      <c r="C3" s="119" t="s">
        <v>1161</v>
      </c>
      <c r="D3" s="55" t="s">
        <v>1162</v>
      </c>
      <c r="E3" s="56" t="s">
        <v>1163</v>
      </c>
      <c r="F3" s="56" t="s">
        <v>1164</v>
      </c>
      <c r="G3" s="56" t="s">
        <v>1165</v>
      </c>
      <c r="H3" s="56" t="s">
        <v>1166</v>
      </c>
      <c r="I3" s="56" t="s">
        <v>1167</v>
      </c>
      <c r="J3" s="56" t="s">
        <v>1168</v>
      </c>
    </row>
    <row r="4" spans="2:10" ht="14.4" x14ac:dyDescent="0.25">
      <c r="B4" s="53">
        <v>1</v>
      </c>
      <c r="C4" s="114" t="s">
        <v>1288</v>
      </c>
      <c r="D4" s="26">
        <v>2000000</v>
      </c>
      <c r="E4" s="27">
        <v>5</v>
      </c>
      <c r="F4" s="24">
        <f>+D4/E4</f>
        <v>400000</v>
      </c>
      <c r="G4" s="24">
        <f>+F4/12</f>
        <v>33333.333333333336</v>
      </c>
      <c r="H4" s="24">
        <f>+G4/30</f>
        <v>1111.1111111111111</v>
      </c>
      <c r="I4" s="24">
        <f>+H4/8</f>
        <v>138.88888888888889</v>
      </c>
      <c r="J4" s="24">
        <f t="shared" ref="J4:J12" si="0">+I4/60</f>
        <v>2.3148148148148149</v>
      </c>
    </row>
    <row r="5" spans="2:10" ht="14.4" x14ac:dyDescent="0.25">
      <c r="B5" s="53">
        <v>2</v>
      </c>
      <c r="C5" s="114" t="s">
        <v>1169</v>
      </c>
      <c r="D5" s="26">
        <v>1500000</v>
      </c>
      <c r="E5" s="27">
        <v>5</v>
      </c>
      <c r="F5" s="24">
        <f t="shared" ref="F5:F12" si="1">+D5/E5</f>
        <v>300000</v>
      </c>
      <c r="G5" s="24">
        <f t="shared" ref="G5:G12" si="2">+F5/12</f>
        <v>25000</v>
      </c>
      <c r="H5" s="24">
        <f t="shared" ref="H5:H12" si="3">+G5/30</f>
        <v>833.33333333333337</v>
      </c>
      <c r="I5" s="24">
        <f t="shared" ref="I5:I14" si="4">+H5/8</f>
        <v>104.16666666666667</v>
      </c>
      <c r="J5" s="24">
        <f t="shared" si="0"/>
        <v>1.7361111111111112</v>
      </c>
    </row>
    <row r="6" spans="2:10" ht="14.4" x14ac:dyDescent="0.25">
      <c r="B6" s="53">
        <v>3</v>
      </c>
      <c r="C6" s="114" t="s">
        <v>1170</v>
      </c>
      <c r="D6" s="26">
        <v>1000000</v>
      </c>
      <c r="E6" s="27">
        <v>5</v>
      </c>
      <c r="F6" s="24">
        <f t="shared" si="1"/>
        <v>200000</v>
      </c>
      <c r="G6" s="24">
        <f t="shared" si="2"/>
        <v>16666.666666666668</v>
      </c>
      <c r="H6" s="24">
        <f t="shared" si="3"/>
        <v>555.55555555555554</v>
      </c>
      <c r="I6" s="24">
        <f t="shared" si="4"/>
        <v>69.444444444444443</v>
      </c>
      <c r="J6" s="24">
        <f t="shared" si="0"/>
        <v>1.1574074074074074</v>
      </c>
    </row>
    <row r="7" spans="2:10" ht="14.4" x14ac:dyDescent="0.25">
      <c r="B7" s="53">
        <v>4</v>
      </c>
      <c r="C7" s="114" t="s">
        <v>1171</v>
      </c>
      <c r="D7" s="26">
        <v>1000000</v>
      </c>
      <c r="E7" s="27">
        <v>5</v>
      </c>
      <c r="F7" s="24">
        <f>+D7/E7</f>
        <v>200000</v>
      </c>
      <c r="G7" s="24">
        <f t="shared" si="2"/>
        <v>16666.666666666668</v>
      </c>
      <c r="H7" s="24">
        <f t="shared" si="3"/>
        <v>555.55555555555554</v>
      </c>
      <c r="I7" s="24">
        <f t="shared" si="4"/>
        <v>69.444444444444443</v>
      </c>
      <c r="J7" s="24">
        <f t="shared" si="0"/>
        <v>1.1574074074074074</v>
      </c>
    </row>
    <row r="8" spans="2:10" ht="14.4" x14ac:dyDescent="0.25">
      <c r="B8" s="53">
        <v>5</v>
      </c>
      <c r="C8" s="114" t="s">
        <v>1287</v>
      </c>
      <c r="D8" s="26">
        <v>2000000</v>
      </c>
      <c r="E8" s="27">
        <v>5</v>
      </c>
      <c r="F8" s="24">
        <f>+D8/E8</f>
        <v>400000</v>
      </c>
      <c r="G8" s="24">
        <f>+F8/12</f>
        <v>33333.333333333336</v>
      </c>
      <c r="H8" s="24">
        <f>+G8/30</f>
        <v>1111.1111111111111</v>
      </c>
      <c r="I8" s="24">
        <f t="shared" si="4"/>
        <v>138.88888888888889</v>
      </c>
      <c r="J8" s="24">
        <f>+I8/60</f>
        <v>2.3148148148148149</v>
      </c>
    </row>
    <row r="9" spans="2:10" ht="14.4" x14ac:dyDescent="0.25">
      <c r="B9" s="53">
        <v>6</v>
      </c>
      <c r="C9" s="115" t="s">
        <v>1172</v>
      </c>
      <c r="D9" s="26">
        <v>989000</v>
      </c>
      <c r="E9" s="27">
        <v>10</v>
      </c>
      <c r="F9" s="24">
        <f t="shared" si="1"/>
        <v>98900</v>
      </c>
      <c r="G9" s="24">
        <f t="shared" si="2"/>
        <v>8241.6666666666661</v>
      </c>
      <c r="H9" s="24">
        <f t="shared" si="3"/>
        <v>274.72222222222223</v>
      </c>
      <c r="I9" s="24">
        <f t="shared" si="4"/>
        <v>34.340277777777779</v>
      </c>
      <c r="J9" s="24">
        <f t="shared" si="0"/>
        <v>0.57233796296296302</v>
      </c>
    </row>
    <row r="10" spans="2:10" ht="14.4" x14ac:dyDescent="0.25">
      <c r="B10" s="53">
        <v>7</v>
      </c>
      <c r="C10" s="115" t="s">
        <v>1173</v>
      </c>
      <c r="D10" s="26">
        <v>350000</v>
      </c>
      <c r="E10" s="27">
        <v>10</v>
      </c>
      <c r="F10" s="24">
        <f t="shared" si="1"/>
        <v>35000</v>
      </c>
      <c r="G10" s="24">
        <f t="shared" si="2"/>
        <v>2916.6666666666665</v>
      </c>
      <c r="H10" s="24">
        <f t="shared" si="3"/>
        <v>97.222222222222214</v>
      </c>
      <c r="I10" s="24">
        <f t="shared" si="4"/>
        <v>12.152777777777777</v>
      </c>
      <c r="J10" s="24">
        <f t="shared" si="0"/>
        <v>0.20254629629629628</v>
      </c>
    </row>
    <row r="11" spans="2:10" ht="14.4" x14ac:dyDescent="0.25">
      <c r="B11" s="53">
        <v>8</v>
      </c>
      <c r="C11" s="116" t="s">
        <v>1286</v>
      </c>
      <c r="D11" s="269">
        <v>250000</v>
      </c>
      <c r="E11" s="270">
        <v>5</v>
      </c>
      <c r="F11" s="57">
        <f>+D11/E11</f>
        <v>50000</v>
      </c>
      <c r="G11" s="57">
        <f>+F11/12</f>
        <v>4166.666666666667</v>
      </c>
      <c r="H11" s="57">
        <f t="shared" si="3"/>
        <v>138.88888888888889</v>
      </c>
      <c r="I11" s="24">
        <f t="shared" si="4"/>
        <v>17.361111111111111</v>
      </c>
      <c r="J11" s="57">
        <f t="shared" si="0"/>
        <v>0.28935185185185186</v>
      </c>
    </row>
    <row r="12" spans="2:10" ht="14.4" x14ac:dyDescent="0.25">
      <c r="B12" s="53">
        <v>9</v>
      </c>
      <c r="C12" s="116" t="s">
        <v>1277</v>
      </c>
      <c r="D12" s="269">
        <v>230000</v>
      </c>
      <c r="E12" s="270">
        <v>10</v>
      </c>
      <c r="F12" s="57">
        <f t="shared" si="1"/>
        <v>23000</v>
      </c>
      <c r="G12" s="57">
        <f t="shared" si="2"/>
        <v>1916.6666666666667</v>
      </c>
      <c r="H12" s="57">
        <f t="shared" si="3"/>
        <v>63.888888888888893</v>
      </c>
      <c r="I12" s="24">
        <f t="shared" si="4"/>
        <v>7.9861111111111116</v>
      </c>
      <c r="J12" s="57">
        <f t="shared" si="0"/>
        <v>0.13310185185185186</v>
      </c>
    </row>
    <row r="13" spans="2:10" ht="14.4" x14ac:dyDescent="0.25">
      <c r="B13" s="53">
        <v>10</v>
      </c>
      <c r="C13" s="116" t="s">
        <v>1278</v>
      </c>
      <c r="D13" s="269">
        <v>230000</v>
      </c>
      <c r="E13" s="270">
        <v>10</v>
      </c>
      <c r="F13" s="57">
        <f>+D13/E13</f>
        <v>23000</v>
      </c>
      <c r="G13" s="57">
        <f>+F13/12</f>
        <v>1916.6666666666667</v>
      </c>
      <c r="H13" s="57">
        <f>+G13/30</f>
        <v>63.888888888888893</v>
      </c>
      <c r="I13" s="24">
        <f t="shared" si="4"/>
        <v>7.9861111111111116</v>
      </c>
      <c r="J13" s="57">
        <f>+I13/60</f>
        <v>0.13310185185185186</v>
      </c>
    </row>
    <row r="14" spans="2:10" ht="14.4" x14ac:dyDescent="0.25">
      <c r="B14" s="53">
        <v>11</v>
      </c>
      <c r="C14" s="116" t="s">
        <v>1279</v>
      </c>
      <c r="D14" s="269">
        <v>230000</v>
      </c>
      <c r="E14" s="270">
        <v>10</v>
      </c>
      <c r="F14" s="57">
        <f>+D14/E14</f>
        <v>23000</v>
      </c>
      <c r="G14" s="57">
        <f>+F14/12</f>
        <v>1916.6666666666667</v>
      </c>
      <c r="H14" s="57">
        <f>+G14/30</f>
        <v>63.888888888888893</v>
      </c>
      <c r="I14" s="24">
        <f t="shared" si="4"/>
        <v>7.9861111111111116</v>
      </c>
      <c r="J14" s="57">
        <f>+I14/60</f>
        <v>0.13310185185185186</v>
      </c>
    </row>
    <row r="15" spans="2:10" s="64" customFormat="1" ht="14.4" x14ac:dyDescent="0.3">
      <c r="B15" s="61"/>
      <c r="C15" s="61"/>
      <c r="D15" s="62">
        <f>SUM(D4:D14)</f>
        <v>9779000</v>
      </c>
      <c r="E15" s="63"/>
      <c r="F15" s="101"/>
      <c r="G15" s="63"/>
      <c r="H15" s="63"/>
      <c r="I15" s="63"/>
      <c r="J15" s="63"/>
    </row>
    <row r="16" spans="2:10" ht="14.4" x14ac:dyDescent="0.3">
      <c r="E16" s="19"/>
      <c r="F16" s="96"/>
      <c r="G16" s="19"/>
      <c r="H16" s="19"/>
      <c r="I16" s="19"/>
      <c r="J16" s="19"/>
    </row>
    <row r="17" spans="2:10" ht="14.4" x14ac:dyDescent="0.3">
      <c r="E17" s="19"/>
      <c r="F17" s="96"/>
      <c r="G17" s="19"/>
      <c r="H17" s="19"/>
      <c r="I17" s="19"/>
      <c r="J17" s="19"/>
    </row>
    <row r="18" spans="2:10" ht="15.75" customHeight="1" x14ac:dyDescent="0.3">
      <c r="E18" s="25"/>
      <c r="F18" s="96"/>
      <c r="G18" s="19"/>
      <c r="H18" s="19"/>
      <c r="I18" s="19"/>
      <c r="J18" s="19"/>
    </row>
    <row r="19" spans="2:10" ht="15.75" customHeight="1" x14ac:dyDescent="0.3">
      <c r="B19" s="86" t="s">
        <v>1274</v>
      </c>
      <c r="C19" s="120" t="s">
        <v>1161</v>
      </c>
      <c r="D19" s="87" t="s">
        <v>1167</v>
      </c>
      <c r="E19" s="87" t="s">
        <v>1289</v>
      </c>
      <c r="F19" s="102"/>
    </row>
    <row r="20" spans="2:10" ht="15.75" customHeight="1" x14ac:dyDescent="0.3">
      <c r="B20" s="53">
        <v>1</v>
      </c>
      <c r="C20" s="117" t="s">
        <v>1288</v>
      </c>
      <c r="D20" s="24">
        <f>I4</f>
        <v>138.88888888888889</v>
      </c>
      <c r="E20" s="92" t="s">
        <v>1125</v>
      </c>
      <c r="F20" s="96"/>
    </row>
    <row r="21" spans="2:10" ht="15.75" customHeight="1" x14ac:dyDescent="0.3">
      <c r="B21" s="53">
        <v>2</v>
      </c>
      <c r="C21" s="117" t="s">
        <v>1169</v>
      </c>
      <c r="D21" s="24">
        <f t="shared" ref="D21:D30" si="5">I5</f>
        <v>104.16666666666667</v>
      </c>
      <c r="E21" s="92" t="s">
        <v>1126</v>
      </c>
      <c r="F21" s="96"/>
    </row>
    <row r="22" spans="2:10" ht="15.75" customHeight="1" x14ac:dyDescent="0.3">
      <c r="B22" s="53">
        <v>3</v>
      </c>
      <c r="C22" s="117" t="s">
        <v>1170</v>
      </c>
      <c r="D22" s="24">
        <f t="shared" si="5"/>
        <v>69.444444444444443</v>
      </c>
      <c r="E22" s="92" t="s">
        <v>1177</v>
      </c>
      <c r="F22" s="96"/>
    </row>
    <row r="23" spans="2:10" ht="15.75" customHeight="1" x14ac:dyDescent="0.3">
      <c r="B23" s="53">
        <v>4</v>
      </c>
      <c r="C23" s="117" t="s">
        <v>1171</v>
      </c>
      <c r="D23" s="24">
        <f t="shared" si="5"/>
        <v>69.444444444444443</v>
      </c>
      <c r="E23" s="93" t="s">
        <v>1176</v>
      </c>
      <c r="F23" s="96"/>
    </row>
    <row r="24" spans="2:10" ht="15.75" customHeight="1" x14ac:dyDescent="0.3">
      <c r="B24" s="53">
        <v>5</v>
      </c>
      <c r="C24" s="117" t="s">
        <v>1287</v>
      </c>
      <c r="D24" s="24">
        <f t="shared" si="5"/>
        <v>138.88888888888889</v>
      </c>
      <c r="E24" s="92" t="s">
        <v>1124</v>
      </c>
      <c r="F24" s="96"/>
      <c r="G24" s="209"/>
    </row>
    <row r="25" spans="2:10" ht="15.75" customHeight="1" x14ac:dyDescent="0.3">
      <c r="B25" s="53">
        <v>6</v>
      </c>
      <c r="C25" s="118" t="s">
        <v>1172</v>
      </c>
      <c r="D25" s="24">
        <f t="shared" si="5"/>
        <v>34.340277777777779</v>
      </c>
      <c r="E25" s="94" t="s">
        <v>1125</v>
      </c>
      <c r="F25" s="96"/>
    </row>
    <row r="26" spans="2:10" ht="15.75" customHeight="1" x14ac:dyDescent="0.3">
      <c r="B26" s="53">
        <v>7</v>
      </c>
      <c r="C26" s="118" t="s">
        <v>1173</v>
      </c>
      <c r="D26" s="24">
        <f t="shared" si="5"/>
        <v>12.152777777777777</v>
      </c>
      <c r="E26" s="92" t="s">
        <v>1125</v>
      </c>
      <c r="F26" s="96"/>
    </row>
    <row r="27" spans="2:10" ht="15.75" customHeight="1" x14ac:dyDescent="0.3">
      <c r="B27" s="53">
        <v>8</v>
      </c>
      <c r="C27" s="118" t="s">
        <v>1286</v>
      </c>
      <c r="D27" s="24">
        <f t="shared" si="5"/>
        <v>17.361111111111111</v>
      </c>
      <c r="E27" s="92" t="s">
        <v>1176</v>
      </c>
      <c r="F27" s="96"/>
      <c r="G27" s="19"/>
      <c r="H27" s="19"/>
      <c r="I27" s="19"/>
      <c r="J27" s="19"/>
    </row>
    <row r="28" spans="2:10" ht="15.75" customHeight="1" x14ac:dyDescent="0.3">
      <c r="B28" s="53">
        <v>9</v>
      </c>
      <c r="C28" s="118" t="s">
        <v>1277</v>
      </c>
      <c r="D28" s="24">
        <f t="shared" si="5"/>
        <v>7.9861111111111116</v>
      </c>
      <c r="E28" s="92" t="s">
        <v>1126</v>
      </c>
      <c r="F28" s="96"/>
      <c r="G28" s="19"/>
      <c r="H28" s="19"/>
      <c r="I28" s="19"/>
      <c r="J28" s="19"/>
    </row>
    <row r="29" spans="2:10" ht="15.75" customHeight="1" x14ac:dyDescent="0.3">
      <c r="B29" s="53">
        <v>10</v>
      </c>
      <c r="C29" s="118" t="s">
        <v>1278</v>
      </c>
      <c r="D29" s="24">
        <f t="shared" si="5"/>
        <v>7.9861111111111116</v>
      </c>
      <c r="E29" s="92" t="s">
        <v>1177</v>
      </c>
      <c r="F29" s="96"/>
      <c r="G29" s="19"/>
      <c r="H29" s="19"/>
      <c r="I29" s="19"/>
      <c r="J29" s="19"/>
    </row>
    <row r="30" spans="2:10" ht="15.75" customHeight="1" x14ac:dyDescent="0.3">
      <c r="B30" s="53">
        <v>11</v>
      </c>
      <c r="C30" s="118" t="s">
        <v>1279</v>
      </c>
      <c r="D30" s="24">
        <f t="shared" si="5"/>
        <v>7.9861111111111116</v>
      </c>
      <c r="E30" s="92" t="s">
        <v>1176</v>
      </c>
      <c r="F30" s="96"/>
      <c r="G30" s="19"/>
      <c r="H30" s="19"/>
      <c r="I30" s="19"/>
      <c r="J30" s="19"/>
    </row>
    <row r="31" spans="2:10" ht="15.75" customHeight="1" x14ac:dyDescent="0.3">
      <c r="E31" s="19"/>
      <c r="F31" s="96"/>
      <c r="G31" s="19"/>
      <c r="H31" s="19"/>
      <c r="I31" s="19"/>
      <c r="J31" s="19"/>
    </row>
    <row r="32" spans="2:10" ht="15.75" customHeight="1" x14ac:dyDescent="0.3">
      <c r="E32" s="19"/>
      <c r="F32" s="96"/>
      <c r="G32" s="19"/>
      <c r="H32" s="19"/>
      <c r="I32" s="19"/>
      <c r="J32" s="19"/>
    </row>
    <row r="33" spans="2:10" ht="15.75" customHeight="1" x14ac:dyDescent="0.3">
      <c r="B33" s="88"/>
      <c r="C33" s="385" t="s">
        <v>1290</v>
      </c>
      <c r="D33" s="386"/>
      <c r="E33" s="386"/>
      <c r="F33" s="386"/>
      <c r="G33" s="386"/>
      <c r="H33" s="387"/>
    </row>
    <row r="34" spans="2:10" ht="15.75" customHeight="1" x14ac:dyDescent="0.3">
      <c r="B34" s="89"/>
      <c r="C34" s="121" t="s">
        <v>1124</v>
      </c>
      <c r="D34" s="90" t="s">
        <v>1125</v>
      </c>
      <c r="E34" s="90" t="s">
        <v>1176</v>
      </c>
      <c r="F34" s="90" t="s">
        <v>1126</v>
      </c>
      <c r="G34" s="90" t="s">
        <v>1177</v>
      </c>
      <c r="H34" s="91" t="s">
        <v>1291</v>
      </c>
      <c r="I34" s="165" t="s">
        <v>1123</v>
      </c>
    </row>
    <row r="35" spans="2:10" ht="15.75" customHeight="1" x14ac:dyDescent="0.3">
      <c r="B35" s="81" t="s">
        <v>1282</v>
      </c>
      <c r="C35" s="122">
        <f>SUM(G45:G50)</f>
        <v>15000</v>
      </c>
      <c r="D35" s="3">
        <f>($D$26+$D$20+$D$25)*'04-MO'!D32</f>
        <v>14274.409722222221</v>
      </c>
      <c r="E35" s="3">
        <f>($D$23+$D$27)*'04-MO'!E32</f>
        <v>0</v>
      </c>
      <c r="F35" s="3">
        <f>($D$21+$D$28)*'04-MO'!F32</f>
        <v>0</v>
      </c>
      <c r="G35" s="3">
        <f>($D$22+$D$29)*'04-MO'!G32</f>
        <v>0</v>
      </c>
      <c r="H35" s="271">
        <f t="shared" ref="H35:H40" si="6">SUM(C35:G35)</f>
        <v>29274.409722222219</v>
      </c>
      <c r="I35" s="166">
        <f t="shared" ref="I35:I40" si="7">H35/$H$41</f>
        <v>0.23084418962505407</v>
      </c>
      <c r="J35" s="127"/>
    </row>
    <row r="36" spans="2:10" ht="15.75" customHeight="1" x14ac:dyDescent="0.3">
      <c r="B36" s="81" t="s">
        <v>1281</v>
      </c>
      <c r="C36" s="122">
        <f>SUM(G52:G54)</f>
        <v>8333.3333333333339</v>
      </c>
      <c r="D36" s="3">
        <f>($D$26+$D$20+$D$25)*'04-MO'!D33</f>
        <v>8898.3333333333321</v>
      </c>
      <c r="E36" s="3">
        <f>($D$23+$D$27)*'04-MO'!E33</f>
        <v>0</v>
      </c>
      <c r="F36" s="3">
        <f>($D$21+$D$28)*'04-MO'!F33</f>
        <v>3364.5833333333335</v>
      </c>
      <c r="G36" s="3">
        <f>($D$22+$D$29)*'04-MO'!G33</f>
        <v>0</v>
      </c>
      <c r="H36" s="271">
        <f t="shared" si="6"/>
        <v>20596.249999999996</v>
      </c>
      <c r="I36" s="166">
        <f t="shared" si="7"/>
        <v>0.16241231456687091</v>
      </c>
      <c r="J36" s="127"/>
    </row>
    <row r="37" spans="2:10" ht="15.75" customHeight="1" x14ac:dyDescent="0.3">
      <c r="B37" s="81" t="s">
        <v>1550</v>
      </c>
      <c r="C37" s="122">
        <f>$D$24*'04-MO'!C34</f>
        <v>0</v>
      </c>
      <c r="D37" s="3">
        <f>($D$26+$D$20+$D$25)*'04-MO'!D34</f>
        <v>0</v>
      </c>
      <c r="E37" s="3">
        <f>G73</f>
        <v>5420.1388888888887</v>
      </c>
      <c r="F37" s="3">
        <f>($D$21+$D$28)*'04-MO'!F34</f>
        <v>21869.791666666668</v>
      </c>
      <c r="G37" s="3">
        <f>($D$22+$D$29)*'04-MO'!G34</f>
        <v>18583.333333333332</v>
      </c>
      <c r="H37" s="271">
        <f t="shared" si="6"/>
        <v>45873.263888888891</v>
      </c>
      <c r="I37" s="166">
        <f t="shared" si="7"/>
        <v>0.36173492577198779</v>
      </c>
      <c r="J37" s="127"/>
    </row>
    <row r="38" spans="2:10" ht="15.75" customHeight="1" x14ac:dyDescent="0.3">
      <c r="B38" s="81" t="s">
        <v>1280</v>
      </c>
      <c r="C38" s="122">
        <f>$D$24*'04-MO'!C35</f>
        <v>0</v>
      </c>
      <c r="D38" s="3">
        <f>($D$26+$D$20+$D$25)*'04-MO'!D35</f>
        <v>8342.1875</v>
      </c>
      <c r="E38" s="3">
        <f>($D$23+$D$27)*'04-MO'!E35</f>
        <v>0</v>
      </c>
      <c r="F38" s="3">
        <f>($D$21+$D$28)*'04-MO'!F35</f>
        <v>0</v>
      </c>
      <c r="G38" s="3">
        <f>($D$22+$D$29)*'04-MO'!G35</f>
        <v>0</v>
      </c>
      <c r="H38" s="271">
        <f t="shared" si="6"/>
        <v>8342.1875</v>
      </c>
      <c r="I38" s="166">
        <f t="shared" si="7"/>
        <v>6.5782556554024083E-2</v>
      </c>
      <c r="J38" s="127"/>
    </row>
    <row r="39" spans="2:10" ht="15.75" customHeight="1" x14ac:dyDescent="0.3">
      <c r="B39" s="81" t="s">
        <v>1188</v>
      </c>
      <c r="C39" s="122">
        <f>$D$24*'04-MO'!C36</f>
        <v>0</v>
      </c>
      <c r="D39" s="3">
        <f>($D$26+$D$20+$D$25)*'04-MO'!D36</f>
        <v>12976.736111111109</v>
      </c>
      <c r="E39" s="3">
        <f>($D$23+$D$27)*'04-MO'!E36</f>
        <v>0</v>
      </c>
      <c r="F39" s="3">
        <f>($D$21+$D$28)*'04-MO'!F36</f>
        <v>1682.2916666666667</v>
      </c>
      <c r="G39" s="3">
        <f>($D$22+$D$29)*'04-MO'!G36</f>
        <v>0</v>
      </c>
      <c r="H39" s="271">
        <f t="shared" si="6"/>
        <v>14659.027777777776</v>
      </c>
      <c r="I39" s="166">
        <f t="shared" si="7"/>
        <v>0.11559418004194662</v>
      </c>
      <c r="J39" s="127"/>
    </row>
    <row r="40" spans="2:10" ht="15.75" customHeight="1" x14ac:dyDescent="0.3">
      <c r="B40" s="81" t="s">
        <v>1225</v>
      </c>
      <c r="C40" s="122">
        <f>G51</f>
        <v>1666.6666666666665</v>
      </c>
      <c r="D40" s="3">
        <f>($D$26+$D$20+$D$25)*'04-MO'!D37</f>
        <v>0</v>
      </c>
      <c r="E40" s="3">
        <f>G75+G76</f>
        <v>6402.7777777777774</v>
      </c>
      <c r="F40" s="3">
        <f>($D$21+$D$28)*'04-MO'!F37</f>
        <v>0</v>
      </c>
      <c r="G40" s="3">
        <f>($D$22+$D$29)*'04-MO'!G37</f>
        <v>0</v>
      </c>
      <c r="H40" s="271">
        <f t="shared" si="6"/>
        <v>8069.4444444444434</v>
      </c>
      <c r="I40" s="166">
        <f t="shared" si="7"/>
        <v>6.3631833440116525E-2</v>
      </c>
      <c r="J40" s="127"/>
    </row>
    <row r="41" spans="2:10" ht="15.75" customHeight="1" x14ac:dyDescent="0.3">
      <c r="C41" s="128">
        <f t="shared" ref="C41:I41" si="8">SUM(C35:C40)</f>
        <v>25000.000000000004</v>
      </c>
      <c r="D41" s="128">
        <f t="shared" si="8"/>
        <v>44491.666666666664</v>
      </c>
      <c r="E41" s="128">
        <f t="shared" si="8"/>
        <v>11822.916666666666</v>
      </c>
      <c r="F41" s="128">
        <f t="shared" si="8"/>
        <v>26916.666666666668</v>
      </c>
      <c r="G41" s="128">
        <f t="shared" si="8"/>
        <v>18583.333333333332</v>
      </c>
      <c r="H41" s="128">
        <f t="shared" si="8"/>
        <v>126814.58333333333</v>
      </c>
      <c r="I41" s="167">
        <f t="shared" si="8"/>
        <v>1</v>
      </c>
      <c r="J41" s="19"/>
    </row>
    <row r="42" spans="2:10" ht="15.75" customHeight="1" x14ac:dyDescent="0.3">
      <c r="E42" s="19"/>
      <c r="F42" s="96"/>
      <c r="G42" s="19"/>
      <c r="H42" s="19"/>
      <c r="I42" s="19"/>
      <c r="J42" s="19"/>
    </row>
    <row r="43" spans="2:10" ht="15.75" customHeight="1" x14ac:dyDescent="0.3">
      <c r="E43" s="19"/>
      <c r="F43" s="96"/>
      <c r="G43" s="19"/>
      <c r="H43" s="19"/>
      <c r="I43" s="19"/>
      <c r="J43" s="19"/>
    </row>
    <row r="44" spans="2:10" ht="15.75" customHeight="1" x14ac:dyDescent="0.3">
      <c r="B44" s="95" t="s">
        <v>1124</v>
      </c>
      <c r="C44" s="123" t="s">
        <v>1149</v>
      </c>
      <c r="D44" s="16" t="s">
        <v>1241</v>
      </c>
      <c r="E44" s="98" t="s">
        <v>1150</v>
      </c>
      <c r="F44" s="105" t="s">
        <v>1181</v>
      </c>
      <c r="G44" s="97" t="s">
        <v>1416</v>
      </c>
    </row>
    <row r="45" spans="2:10" ht="15.75" customHeight="1" x14ac:dyDescent="0.3">
      <c r="C45" s="53">
        <v>1</v>
      </c>
      <c r="D45" s="15" t="s">
        <v>1229</v>
      </c>
      <c r="E45" s="99" t="s">
        <v>1204</v>
      </c>
      <c r="F45" s="104">
        <v>20</v>
      </c>
      <c r="G45" s="126">
        <f>$D$24*F45</f>
        <v>2777.7777777777778</v>
      </c>
      <c r="H45" s="127"/>
      <c r="J45" s="23"/>
    </row>
    <row r="46" spans="2:10" ht="15.75" customHeight="1" x14ac:dyDescent="0.3">
      <c r="C46" s="53">
        <v>2</v>
      </c>
      <c r="D46" s="15" t="s">
        <v>1230</v>
      </c>
      <c r="E46" s="99" t="s">
        <v>1203</v>
      </c>
      <c r="F46" s="104">
        <v>20</v>
      </c>
      <c r="G46" s="126">
        <f t="shared" ref="G46:G53" si="9">$D$24*F46</f>
        <v>2777.7777777777778</v>
      </c>
      <c r="H46" s="127"/>
      <c r="J46" s="23"/>
    </row>
    <row r="47" spans="2:10" ht="15.75" customHeight="1" x14ac:dyDescent="0.3">
      <c r="C47" s="53">
        <v>3</v>
      </c>
      <c r="D47" s="15" t="s">
        <v>1231</v>
      </c>
      <c r="E47" s="99" t="s">
        <v>1202</v>
      </c>
      <c r="F47" s="104">
        <v>20</v>
      </c>
      <c r="G47" s="126">
        <f t="shared" si="9"/>
        <v>2777.7777777777778</v>
      </c>
      <c r="H47" s="127"/>
      <c r="J47" s="23"/>
    </row>
    <row r="48" spans="2:10" ht="15.75" customHeight="1" x14ac:dyDescent="0.3">
      <c r="C48" s="53">
        <v>6</v>
      </c>
      <c r="D48" s="15" t="s">
        <v>1234</v>
      </c>
      <c r="E48" s="99" t="s">
        <v>1200</v>
      </c>
      <c r="F48" s="104">
        <v>18</v>
      </c>
      <c r="G48" s="126">
        <f t="shared" si="9"/>
        <v>2500</v>
      </c>
      <c r="H48" s="127"/>
      <c r="J48" s="23"/>
    </row>
    <row r="49" spans="2:10" ht="15.75" customHeight="1" x14ac:dyDescent="0.3">
      <c r="C49" s="53">
        <v>7</v>
      </c>
      <c r="D49" s="15" t="s">
        <v>1235</v>
      </c>
      <c r="E49" s="99" t="s">
        <v>1195</v>
      </c>
      <c r="F49" s="104">
        <v>12</v>
      </c>
      <c r="G49" s="126">
        <f t="shared" si="9"/>
        <v>1666.6666666666665</v>
      </c>
      <c r="H49" s="127"/>
      <c r="J49" s="23"/>
    </row>
    <row r="50" spans="2:10" ht="15.75" customHeight="1" x14ac:dyDescent="0.3">
      <c r="C50" s="53">
        <v>8</v>
      </c>
      <c r="D50" s="15" t="s">
        <v>1236</v>
      </c>
      <c r="E50" s="99" t="s">
        <v>1196</v>
      </c>
      <c r="F50" s="104">
        <v>18</v>
      </c>
      <c r="G50" s="126">
        <f t="shared" si="9"/>
        <v>2500</v>
      </c>
      <c r="H50" s="127"/>
    </row>
    <row r="51" spans="2:10" ht="15.75" customHeight="1" x14ac:dyDescent="0.3">
      <c r="C51" s="53">
        <v>9</v>
      </c>
      <c r="D51" s="15" t="s">
        <v>1271</v>
      </c>
      <c r="E51" s="99" t="s">
        <v>1226</v>
      </c>
      <c r="F51" s="104">
        <v>12</v>
      </c>
      <c r="G51" s="126">
        <f t="shared" si="9"/>
        <v>1666.6666666666665</v>
      </c>
      <c r="H51" s="209"/>
    </row>
    <row r="52" spans="2:10" ht="15.75" customHeight="1" x14ac:dyDescent="0.3">
      <c r="C52" s="53">
        <v>10</v>
      </c>
      <c r="D52" s="15" t="s">
        <v>1245</v>
      </c>
      <c r="E52" s="99" t="s">
        <v>1205</v>
      </c>
      <c r="F52" s="104">
        <v>20</v>
      </c>
      <c r="G52" s="126">
        <f>$D$24*F52</f>
        <v>2777.7777777777778</v>
      </c>
    </row>
    <row r="53" spans="2:10" ht="15.75" customHeight="1" x14ac:dyDescent="0.3">
      <c r="C53" s="53">
        <v>11</v>
      </c>
      <c r="D53" s="15" t="s">
        <v>1246</v>
      </c>
      <c r="E53" s="99" t="s">
        <v>1206</v>
      </c>
      <c r="F53" s="104">
        <v>20</v>
      </c>
      <c r="G53" s="126">
        <f t="shared" si="9"/>
        <v>2777.7777777777778</v>
      </c>
    </row>
    <row r="54" spans="2:10" ht="15.75" customHeight="1" x14ac:dyDescent="0.3">
      <c r="C54" s="124">
        <v>12</v>
      </c>
      <c r="D54" s="15" t="s">
        <v>1247</v>
      </c>
      <c r="E54" s="108" t="s">
        <v>1207</v>
      </c>
      <c r="F54" s="104">
        <v>20</v>
      </c>
      <c r="G54" s="126">
        <f>$D$24*F54</f>
        <v>2777.7777777777778</v>
      </c>
    </row>
    <row r="55" spans="2:10" ht="15.75" customHeight="1" x14ac:dyDescent="0.3">
      <c r="C55" s="125"/>
      <c r="D55" s="1"/>
      <c r="E55" s="112"/>
      <c r="F55" s="107">
        <v>240</v>
      </c>
      <c r="G55" s="129">
        <f>SUM(G45:G54)</f>
        <v>25000</v>
      </c>
      <c r="H55" s="127"/>
    </row>
    <row r="56" spans="2:10" ht="15.75" customHeight="1" x14ac:dyDescent="0.3">
      <c r="C56" s="103"/>
      <c r="D56" s="1"/>
      <c r="E56" s="100"/>
      <c r="F56" s="106"/>
      <c r="G56" s="35"/>
    </row>
    <row r="57" spans="2:10" ht="15.75" customHeight="1" x14ac:dyDescent="0.3">
      <c r="B57" s="95" t="s">
        <v>1125</v>
      </c>
      <c r="C57" s="123" t="s">
        <v>1149</v>
      </c>
      <c r="D57" s="16" t="s">
        <v>1241</v>
      </c>
      <c r="E57" s="98" t="s">
        <v>1150</v>
      </c>
      <c r="F57" s="105" t="s">
        <v>1181</v>
      </c>
      <c r="G57" s="97" t="s">
        <v>1416</v>
      </c>
    </row>
    <row r="58" spans="2:10" ht="15.75" customHeight="1" x14ac:dyDescent="0.3">
      <c r="C58" s="53">
        <v>1</v>
      </c>
      <c r="D58" s="15" t="s">
        <v>1239</v>
      </c>
      <c r="E58" s="99" t="s">
        <v>1197</v>
      </c>
      <c r="F58" s="104">
        <v>22</v>
      </c>
      <c r="G58" s="126">
        <f>($D$25+$D$26+$D$20)*F58</f>
        <v>4078.4027777777783</v>
      </c>
    </row>
    <row r="59" spans="2:10" ht="15.75" customHeight="1" x14ac:dyDescent="0.3">
      <c r="C59" s="53">
        <v>2</v>
      </c>
      <c r="D59" s="15" t="s">
        <v>1237</v>
      </c>
      <c r="E59" s="99" t="s">
        <v>1198</v>
      </c>
      <c r="F59" s="104">
        <v>25</v>
      </c>
      <c r="G59" s="126">
        <f t="shared" ref="G59:G69" si="10">($D$25+$D$26+$D$20)*F59</f>
        <v>4634.5486111111113</v>
      </c>
    </row>
    <row r="60" spans="2:10" ht="15.75" customHeight="1" x14ac:dyDescent="0.3">
      <c r="C60" s="53">
        <v>3</v>
      </c>
      <c r="D60" s="15" t="s">
        <v>1238</v>
      </c>
      <c r="E60" s="99" t="s">
        <v>1199</v>
      </c>
      <c r="F60" s="104">
        <v>30</v>
      </c>
      <c r="G60" s="126">
        <f t="shared" si="10"/>
        <v>5561.4583333333339</v>
      </c>
    </row>
    <row r="61" spans="2:10" ht="15.75" customHeight="1" x14ac:dyDescent="0.3">
      <c r="C61" s="53">
        <v>4</v>
      </c>
      <c r="D61" s="15" t="s">
        <v>1245</v>
      </c>
      <c r="E61" s="99" t="s">
        <v>1205</v>
      </c>
      <c r="F61" s="104">
        <v>16</v>
      </c>
      <c r="G61" s="126">
        <f t="shared" si="10"/>
        <v>2966.1111111111113</v>
      </c>
    </row>
    <row r="62" spans="2:10" ht="15.75" customHeight="1" x14ac:dyDescent="0.3">
      <c r="C62" s="53">
        <v>5</v>
      </c>
      <c r="D62" s="15" t="s">
        <v>1246</v>
      </c>
      <c r="E62" s="99" t="s">
        <v>1206</v>
      </c>
      <c r="F62" s="104">
        <v>16</v>
      </c>
      <c r="G62" s="126">
        <f t="shared" si="10"/>
        <v>2966.1111111111113</v>
      </c>
    </row>
    <row r="63" spans="2:10" ht="15.75" customHeight="1" x14ac:dyDescent="0.3">
      <c r="C63" s="53">
        <v>6</v>
      </c>
      <c r="D63" s="15" t="s">
        <v>1247</v>
      </c>
      <c r="E63" s="99" t="s">
        <v>1207</v>
      </c>
      <c r="F63" s="104">
        <v>16</v>
      </c>
      <c r="G63" s="126">
        <f t="shared" si="10"/>
        <v>2966.1111111111113</v>
      </c>
    </row>
    <row r="64" spans="2:10" ht="15.75" customHeight="1" x14ac:dyDescent="0.3">
      <c r="C64" s="53">
        <v>7</v>
      </c>
      <c r="D64" s="15" t="s">
        <v>1262</v>
      </c>
      <c r="E64" s="99" t="s">
        <v>1217</v>
      </c>
      <c r="F64" s="104">
        <v>30</v>
      </c>
      <c r="G64" s="126">
        <f t="shared" si="10"/>
        <v>5561.4583333333339</v>
      </c>
    </row>
    <row r="65" spans="2:8" ht="15.75" customHeight="1" x14ac:dyDescent="0.3">
      <c r="C65" s="53">
        <v>8</v>
      </c>
      <c r="D65" s="15" t="s">
        <v>1266</v>
      </c>
      <c r="E65" s="99" t="s">
        <v>1218</v>
      </c>
      <c r="F65" s="104">
        <v>15</v>
      </c>
      <c r="G65" s="126">
        <f t="shared" si="10"/>
        <v>2780.729166666667</v>
      </c>
    </row>
    <row r="66" spans="2:8" ht="15.75" customHeight="1" x14ac:dyDescent="0.3">
      <c r="C66" s="53">
        <v>9</v>
      </c>
      <c r="D66" s="15" t="s">
        <v>1263</v>
      </c>
      <c r="E66" s="99" t="s">
        <v>1243</v>
      </c>
      <c r="F66" s="104">
        <v>15</v>
      </c>
      <c r="G66" s="126">
        <f t="shared" si="10"/>
        <v>2780.729166666667</v>
      </c>
    </row>
    <row r="67" spans="2:8" ht="15.75" customHeight="1" x14ac:dyDescent="0.3">
      <c r="C67" s="53">
        <v>10</v>
      </c>
      <c r="D67" s="15" t="s">
        <v>1268</v>
      </c>
      <c r="E67" s="99" t="s">
        <v>1220</v>
      </c>
      <c r="F67" s="104">
        <v>25</v>
      </c>
      <c r="G67" s="126">
        <f t="shared" si="10"/>
        <v>4634.5486111111113</v>
      </c>
    </row>
    <row r="68" spans="2:8" ht="15.75" customHeight="1" x14ac:dyDescent="0.3">
      <c r="C68" s="53">
        <v>11</v>
      </c>
      <c r="D68" s="15" t="s">
        <v>1269</v>
      </c>
      <c r="E68" s="99" t="s">
        <v>1221</v>
      </c>
      <c r="F68" s="104">
        <v>10</v>
      </c>
      <c r="G68" s="126">
        <f t="shared" si="10"/>
        <v>1853.8194444444446</v>
      </c>
    </row>
    <row r="69" spans="2:8" ht="15.75" customHeight="1" x14ac:dyDescent="0.3">
      <c r="C69" s="53">
        <v>12</v>
      </c>
      <c r="D69" s="15" t="s">
        <v>1270</v>
      </c>
      <c r="E69" s="99" t="s">
        <v>1242</v>
      </c>
      <c r="F69" s="104">
        <v>20</v>
      </c>
      <c r="G69" s="126">
        <f t="shared" si="10"/>
        <v>3707.6388888888891</v>
      </c>
    </row>
    <row r="70" spans="2:8" ht="15.75" customHeight="1" x14ac:dyDescent="0.3">
      <c r="C70" s="103"/>
      <c r="D70" s="1"/>
      <c r="E70" s="100"/>
      <c r="F70" s="107">
        <v>240</v>
      </c>
      <c r="G70" s="129">
        <f>SUM(G58:G69)</f>
        <v>44491.666666666672</v>
      </c>
    </row>
    <row r="71" spans="2:8" ht="15.75" customHeight="1" x14ac:dyDescent="0.3">
      <c r="C71" s="103"/>
      <c r="D71" s="1"/>
      <c r="E71" s="100"/>
      <c r="F71" s="106"/>
      <c r="G71" s="35"/>
    </row>
    <row r="72" spans="2:8" s="64" customFormat="1" ht="15.75" customHeight="1" x14ac:dyDescent="0.3">
      <c r="B72" s="95" t="s">
        <v>1176</v>
      </c>
      <c r="C72" s="123" t="s">
        <v>1149</v>
      </c>
      <c r="D72" s="16" t="s">
        <v>1241</v>
      </c>
      <c r="E72" s="98" t="s">
        <v>1150</v>
      </c>
      <c r="F72" s="105" t="s">
        <v>1181</v>
      </c>
      <c r="G72" s="97" t="s">
        <v>1416</v>
      </c>
    </row>
    <row r="73" spans="2:8" ht="15.75" customHeight="1" x14ac:dyDescent="0.3">
      <c r="C73" s="53">
        <v>1</v>
      </c>
      <c r="D73" s="15" t="s">
        <v>1252</v>
      </c>
      <c r="E73" s="99" t="s">
        <v>1178</v>
      </c>
      <c r="F73" s="104">
        <v>70</v>
      </c>
      <c r="G73" s="126">
        <f>($D$23+$D$30)*F73</f>
        <v>5420.1388888888887</v>
      </c>
    </row>
    <row r="74" spans="2:8" ht="15.75" customHeight="1" x14ac:dyDescent="0.3">
      <c r="C74" s="53">
        <v>2</v>
      </c>
      <c r="D74" s="15" t="s">
        <v>1455</v>
      </c>
      <c r="E74" s="99" t="s">
        <v>1227</v>
      </c>
      <c r="F74" s="104">
        <v>78</v>
      </c>
      <c r="G74" s="126">
        <v>0</v>
      </c>
    </row>
    <row r="75" spans="2:8" ht="15.75" customHeight="1" x14ac:dyDescent="0.3">
      <c r="C75" s="53">
        <v>3</v>
      </c>
      <c r="D75" s="15" t="s">
        <v>1271</v>
      </c>
      <c r="E75" s="99" t="s">
        <v>1228</v>
      </c>
      <c r="F75" s="104">
        <v>12</v>
      </c>
      <c r="G75" s="126">
        <f>D27*F75</f>
        <v>208.33333333333331</v>
      </c>
    </row>
    <row r="76" spans="2:8" ht="15.75" customHeight="1" x14ac:dyDescent="0.3">
      <c r="C76" s="124">
        <v>4</v>
      </c>
      <c r="D76" s="15" t="s">
        <v>1454</v>
      </c>
      <c r="E76" s="108" t="s">
        <v>1226</v>
      </c>
      <c r="F76" s="104">
        <v>80</v>
      </c>
      <c r="G76" s="126">
        <f>($D$23+$D$30)*F76</f>
        <v>6194.4444444444443</v>
      </c>
    </row>
    <row r="77" spans="2:8" ht="15.75" customHeight="1" x14ac:dyDescent="0.3">
      <c r="C77" s="125"/>
      <c r="D77" s="1"/>
      <c r="E77" s="110"/>
      <c r="F77" s="107">
        <v>240</v>
      </c>
      <c r="G77" s="129">
        <f>SUM(G73:G76)</f>
        <v>11822.916666666666</v>
      </c>
      <c r="H77" s="127"/>
    </row>
    <row r="78" spans="2:8" ht="15.75" customHeight="1" x14ac:dyDescent="0.3">
      <c r="C78" s="103"/>
      <c r="D78" s="1"/>
      <c r="E78" s="100"/>
      <c r="F78" s="106"/>
      <c r="G78" s="35"/>
    </row>
    <row r="79" spans="2:8" s="64" customFormat="1" ht="14.4" x14ac:dyDescent="0.3">
      <c r="B79" s="95" t="s">
        <v>1126</v>
      </c>
      <c r="C79" s="123" t="s">
        <v>1149</v>
      </c>
      <c r="D79" s="16" t="s">
        <v>1241</v>
      </c>
      <c r="E79" s="98" t="s">
        <v>1150</v>
      </c>
      <c r="F79" s="105" t="s">
        <v>1181</v>
      </c>
      <c r="G79" s="97" t="s">
        <v>1416</v>
      </c>
    </row>
    <row r="80" spans="2:8" ht="15.75" customHeight="1" x14ac:dyDescent="0.3">
      <c r="C80" s="53">
        <v>1</v>
      </c>
      <c r="D80" s="15" t="s">
        <v>1270</v>
      </c>
      <c r="E80" s="99" t="s">
        <v>1242</v>
      </c>
      <c r="F80" s="104">
        <v>15</v>
      </c>
      <c r="G80" s="126">
        <f>($D$21+$D$28)*F80</f>
        <v>1682.2916666666667</v>
      </c>
    </row>
    <row r="81" spans="2:9" ht="15.75" customHeight="1" x14ac:dyDescent="0.3">
      <c r="C81" s="53">
        <v>2</v>
      </c>
      <c r="D81" s="15" t="s">
        <v>1245</v>
      </c>
      <c r="E81" s="99" t="s">
        <v>1205</v>
      </c>
      <c r="F81" s="104">
        <v>30</v>
      </c>
      <c r="G81" s="126">
        <f t="shared" ref="G81:G88" si="11">($D$21+$D$28)*F81</f>
        <v>3364.5833333333335</v>
      </c>
    </row>
    <row r="82" spans="2:9" ht="15.75" customHeight="1" x14ac:dyDescent="0.3">
      <c r="C82" s="53">
        <v>3</v>
      </c>
      <c r="D82" s="15" t="s">
        <v>1252</v>
      </c>
      <c r="E82" s="99" t="s">
        <v>1178</v>
      </c>
      <c r="F82" s="104">
        <v>30</v>
      </c>
      <c r="G82" s="126">
        <f t="shared" si="11"/>
        <v>3364.5833333333335</v>
      </c>
    </row>
    <row r="83" spans="2:9" ht="15.75" customHeight="1" x14ac:dyDescent="0.3">
      <c r="C83" s="53">
        <v>4</v>
      </c>
      <c r="D83" s="15" t="s">
        <v>1250</v>
      </c>
      <c r="E83" s="99" t="s">
        <v>1210</v>
      </c>
      <c r="F83" s="104">
        <v>24</v>
      </c>
      <c r="G83" s="126">
        <f t="shared" si="11"/>
        <v>2691.666666666667</v>
      </c>
    </row>
    <row r="84" spans="2:9" ht="15.75" customHeight="1" x14ac:dyDescent="0.3">
      <c r="C84" s="53">
        <v>5</v>
      </c>
      <c r="D84" s="15" t="s">
        <v>1251</v>
      </c>
      <c r="E84" s="99" t="s">
        <v>1240</v>
      </c>
      <c r="F84" s="104">
        <v>30</v>
      </c>
      <c r="G84" s="126">
        <f t="shared" si="11"/>
        <v>3364.5833333333335</v>
      </c>
    </row>
    <row r="85" spans="2:9" ht="15.75" customHeight="1" x14ac:dyDescent="0.3">
      <c r="C85" s="53">
        <v>6</v>
      </c>
      <c r="D85" s="15" t="s">
        <v>1253</v>
      </c>
      <c r="E85" s="99" t="s">
        <v>1244</v>
      </c>
      <c r="F85" s="104">
        <v>27</v>
      </c>
      <c r="G85" s="126">
        <f t="shared" si="11"/>
        <v>3028.125</v>
      </c>
    </row>
    <row r="86" spans="2:9" ht="15.75" customHeight="1" x14ac:dyDescent="0.3">
      <c r="C86" s="53">
        <v>7</v>
      </c>
      <c r="D86" s="15" t="s">
        <v>1254</v>
      </c>
      <c r="E86" s="99" t="s">
        <v>1222</v>
      </c>
      <c r="F86" s="104">
        <v>30</v>
      </c>
      <c r="G86" s="126">
        <f t="shared" si="11"/>
        <v>3364.5833333333335</v>
      </c>
    </row>
    <row r="87" spans="2:9" ht="15.75" customHeight="1" x14ac:dyDescent="0.3">
      <c r="C87" s="53">
        <v>8</v>
      </c>
      <c r="D87" s="15" t="s">
        <v>1248</v>
      </c>
      <c r="E87" s="99" t="s">
        <v>1208</v>
      </c>
      <c r="F87" s="104">
        <v>27</v>
      </c>
      <c r="G87" s="126">
        <f t="shared" si="11"/>
        <v>3028.125</v>
      </c>
    </row>
    <row r="88" spans="2:9" ht="15.75" customHeight="1" x14ac:dyDescent="0.3">
      <c r="C88" s="124">
        <v>9</v>
      </c>
      <c r="D88" s="15" t="s">
        <v>1249</v>
      </c>
      <c r="E88" s="108" t="s">
        <v>1209</v>
      </c>
      <c r="F88" s="104">
        <v>27</v>
      </c>
      <c r="G88" s="126">
        <f t="shared" si="11"/>
        <v>3028.125</v>
      </c>
    </row>
    <row r="89" spans="2:9" ht="15.75" customHeight="1" x14ac:dyDescent="0.3">
      <c r="C89" s="125"/>
      <c r="D89" s="1"/>
      <c r="E89" s="110"/>
      <c r="F89" s="107">
        <v>240</v>
      </c>
      <c r="G89" s="129">
        <f>SUM(G80:G88)</f>
        <v>26916.666666666668</v>
      </c>
    </row>
    <row r="90" spans="2:9" ht="15.75" customHeight="1" x14ac:dyDescent="0.3">
      <c r="C90" s="103"/>
      <c r="D90" s="1"/>
      <c r="E90" s="100"/>
      <c r="F90" s="106"/>
      <c r="G90" s="35"/>
    </row>
    <row r="91" spans="2:9" s="64" customFormat="1" ht="15.75" customHeight="1" x14ac:dyDescent="0.3">
      <c r="B91" s="95" t="s">
        <v>1177</v>
      </c>
      <c r="C91" s="123" t="s">
        <v>1149</v>
      </c>
      <c r="D91" s="16" t="s">
        <v>1241</v>
      </c>
      <c r="E91" s="98" t="s">
        <v>1150</v>
      </c>
      <c r="F91" s="105" t="s">
        <v>1181</v>
      </c>
      <c r="G91" s="97" t="s">
        <v>1416</v>
      </c>
    </row>
    <row r="92" spans="2:9" ht="15.75" customHeight="1" x14ac:dyDescent="0.3">
      <c r="C92" s="53">
        <v>1</v>
      </c>
      <c r="D92" s="15" t="s">
        <v>1255</v>
      </c>
      <c r="E92" s="99" t="s">
        <v>1179</v>
      </c>
      <c r="F92" s="104">
        <v>70</v>
      </c>
      <c r="G92" s="126">
        <f>$G$37/SUM($F$92:$F$94)*F92</f>
        <v>5420.1388888888887</v>
      </c>
    </row>
    <row r="93" spans="2:9" ht="15.75" customHeight="1" x14ac:dyDescent="0.3">
      <c r="C93" s="53">
        <v>2</v>
      </c>
      <c r="D93" s="15" t="s">
        <v>1251</v>
      </c>
      <c r="E93" s="99" t="s">
        <v>1240</v>
      </c>
      <c r="F93" s="104">
        <v>70</v>
      </c>
      <c r="G93" s="126">
        <f>$G$37/SUM($F$92:$F$94)*F93</f>
        <v>5420.1388888888887</v>
      </c>
    </row>
    <row r="94" spans="2:9" ht="15.75" customHeight="1" x14ac:dyDescent="0.3">
      <c r="C94" s="124">
        <v>3</v>
      </c>
      <c r="D94" s="15" t="s">
        <v>1252</v>
      </c>
      <c r="E94" s="108" t="s">
        <v>1178</v>
      </c>
      <c r="F94" s="104">
        <v>100</v>
      </c>
      <c r="G94" s="126">
        <f>$G$37/SUM($F$92:$F$94)*F94</f>
        <v>7743.0555555555557</v>
      </c>
    </row>
    <row r="95" spans="2:9" ht="15.75" customHeight="1" x14ac:dyDescent="0.25">
      <c r="C95" s="125"/>
      <c r="D95" s="109"/>
      <c r="E95" s="111"/>
      <c r="F95" s="107">
        <v>240</v>
      </c>
      <c r="G95" s="129">
        <f>SUM(G92:G94)</f>
        <v>18583.333333333332</v>
      </c>
    </row>
    <row r="96" spans="2:9" ht="15.75" customHeight="1" x14ac:dyDescent="0.3">
      <c r="C96" s="103"/>
      <c r="E96" s="19"/>
      <c r="F96" s="96"/>
      <c r="G96" s="19"/>
      <c r="H96" s="19"/>
      <c r="I96" s="19"/>
    </row>
    <row r="97" spans="3:10" ht="15.75" customHeight="1" x14ac:dyDescent="0.3">
      <c r="C97" s="103"/>
      <c r="E97" s="19"/>
      <c r="F97" s="96"/>
      <c r="G97" s="19"/>
      <c r="H97" s="19"/>
      <c r="I97" s="19"/>
    </row>
    <row r="98" spans="3:10" ht="15.75" customHeight="1" x14ac:dyDescent="0.3">
      <c r="C98" s="103"/>
      <c r="E98" s="19"/>
      <c r="F98" s="96"/>
      <c r="G98" s="19"/>
      <c r="H98" s="19"/>
      <c r="I98" s="19"/>
      <c r="J98" s="19"/>
    </row>
    <row r="99" spans="3:10" ht="15.75" customHeight="1" x14ac:dyDescent="0.3">
      <c r="C99" s="103"/>
      <c r="E99" s="19"/>
      <c r="F99" s="96"/>
      <c r="G99" s="19"/>
      <c r="H99" s="19"/>
      <c r="I99" s="19"/>
      <c r="J99" s="19"/>
    </row>
    <row r="100" spans="3:10" ht="15.75" customHeight="1" x14ac:dyDescent="0.3">
      <c r="C100" s="103"/>
      <c r="E100" s="19"/>
      <c r="F100" s="96"/>
      <c r="G100" s="19"/>
      <c r="H100" s="19"/>
      <c r="I100" s="19"/>
      <c r="J100" s="19"/>
    </row>
    <row r="101" spans="3:10" ht="15.75" customHeight="1" x14ac:dyDescent="0.3">
      <c r="C101" s="103"/>
      <c r="E101" s="19"/>
      <c r="F101" s="96"/>
      <c r="G101" s="19"/>
      <c r="H101" s="19"/>
      <c r="I101" s="19"/>
      <c r="J101" s="19"/>
    </row>
    <row r="102" spans="3:10" ht="15.75" customHeight="1" x14ac:dyDescent="0.3">
      <c r="C102" s="103"/>
      <c r="E102" s="19"/>
      <c r="F102" s="96"/>
      <c r="G102" s="19"/>
      <c r="H102" s="19"/>
      <c r="I102" s="19"/>
      <c r="J102" s="19"/>
    </row>
    <row r="103" spans="3:10" ht="15.75" customHeight="1" x14ac:dyDescent="0.3">
      <c r="C103" s="103"/>
      <c r="E103" s="19"/>
      <c r="F103" s="96"/>
      <c r="G103" s="19"/>
      <c r="H103" s="19"/>
      <c r="I103" s="19"/>
      <c r="J103" s="19"/>
    </row>
    <row r="104" spans="3:10" ht="15.75" customHeight="1" x14ac:dyDescent="0.3">
      <c r="C104" s="103"/>
      <c r="E104" s="19"/>
      <c r="F104" s="96"/>
      <c r="G104" s="19"/>
      <c r="H104" s="19"/>
      <c r="I104" s="19"/>
      <c r="J104" s="19"/>
    </row>
    <row r="105" spans="3:10" ht="15.75" customHeight="1" x14ac:dyDescent="0.3">
      <c r="C105" s="103"/>
      <c r="E105" s="19"/>
      <c r="F105" s="96"/>
      <c r="G105" s="19"/>
      <c r="H105" s="19"/>
      <c r="I105" s="19"/>
      <c r="J105" s="19"/>
    </row>
    <row r="106" spans="3:10" ht="15.75" customHeight="1" x14ac:dyDescent="0.3">
      <c r="C106" s="103"/>
      <c r="E106" s="19"/>
      <c r="F106" s="96"/>
      <c r="G106" s="19"/>
      <c r="H106" s="19"/>
      <c r="I106" s="19"/>
      <c r="J106" s="19"/>
    </row>
    <row r="107" spans="3:10" ht="15.75" customHeight="1" x14ac:dyDescent="0.3">
      <c r="C107" s="103"/>
      <c r="E107" s="19"/>
      <c r="F107" s="96"/>
      <c r="G107" s="19"/>
      <c r="H107" s="19"/>
      <c r="I107" s="19"/>
      <c r="J107" s="19"/>
    </row>
    <row r="108" spans="3:10" ht="15.75" customHeight="1" x14ac:dyDescent="0.3">
      <c r="C108" s="103"/>
      <c r="E108" s="19"/>
      <c r="F108" s="96"/>
      <c r="G108" s="19"/>
      <c r="H108" s="19"/>
      <c r="I108" s="19"/>
      <c r="J108" s="19"/>
    </row>
    <row r="109" spans="3:10" ht="15.75" customHeight="1" x14ac:dyDescent="0.3">
      <c r="C109" s="103"/>
      <c r="E109" s="19"/>
      <c r="F109" s="96"/>
      <c r="G109" s="19"/>
      <c r="H109" s="19"/>
      <c r="I109" s="19"/>
      <c r="J109" s="19"/>
    </row>
    <row r="110" spans="3:10" ht="15.75" customHeight="1" x14ac:dyDescent="0.3">
      <c r="C110" s="103"/>
      <c r="E110" s="19"/>
      <c r="F110" s="96"/>
      <c r="G110" s="19"/>
      <c r="H110" s="19"/>
      <c r="I110" s="19"/>
      <c r="J110" s="19"/>
    </row>
    <row r="111" spans="3:10" ht="15.75" customHeight="1" x14ac:dyDescent="0.3">
      <c r="C111" s="103"/>
      <c r="E111" s="19"/>
      <c r="F111" s="96"/>
      <c r="G111" s="19"/>
      <c r="H111" s="19"/>
      <c r="I111" s="19"/>
      <c r="J111" s="19"/>
    </row>
    <row r="112" spans="3:10" ht="15.75" customHeight="1" x14ac:dyDescent="0.3">
      <c r="C112" s="103"/>
      <c r="E112" s="19"/>
      <c r="F112" s="96"/>
      <c r="G112" s="19"/>
      <c r="H112" s="19"/>
      <c r="I112" s="19"/>
      <c r="J112" s="19"/>
    </row>
    <row r="113" spans="3:10" ht="15.75" customHeight="1" x14ac:dyDescent="0.3">
      <c r="C113" s="103"/>
      <c r="E113" s="19"/>
      <c r="F113" s="96"/>
      <c r="G113" s="19"/>
      <c r="H113" s="19"/>
      <c r="I113" s="19"/>
      <c r="J113" s="19"/>
    </row>
    <row r="114" spans="3:10" ht="15.75" customHeight="1" x14ac:dyDescent="0.3">
      <c r="C114" s="103"/>
      <c r="E114" s="19"/>
      <c r="F114" s="96"/>
      <c r="G114" s="19"/>
      <c r="H114" s="19"/>
      <c r="I114" s="19"/>
      <c r="J114" s="19"/>
    </row>
    <row r="115" spans="3:10" ht="15.75" customHeight="1" x14ac:dyDescent="0.3">
      <c r="C115" s="103"/>
      <c r="E115" s="19"/>
      <c r="F115" s="96"/>
      <c r="G115" s="19"/>
      <c r="H115" s="19"/>
      <c r="I115" s="19"/>
      <c r="J115" s="19"/>
    </row>
    <row r="116" spans="3:10" ht="15.75" customHeight="1" x14ac:dyDescent="0.3">
      <c r="C116" s="103"/>
      <c r="E116" s="19"/>
      <c r="F116" s="96"/>
      <c r="G116" s="19"/>
      <c r="H116" s="19"/>
      <c r="I116" s="19"/>
      <c r="J116" s="19"/>
    </row>
    <row r="117" spans="3:10" ht="15.75" customHeight="1" x14ac:dyDescent="0.3">
      <c r="C117" s="103"/>
      <c r="E117" s="19"/>
      <c r="F117" s="96"/>
      <c r="G117" s="19"/>
      <c r="H117" s="19"/>
      <c r="I117" s="19"/>
      <c r="J117" s="19"/>
    </row>
    <row r="118" spans="3:10" ht="15.75" customHeight="1" x14ac:dyDescent="0.3">
      <c r="C118" s="103"/>
      <c r="E118" s="19"/>
      <c r="F118" s="96"/>
      <c r="G118" s="19"/>
      <c r="H118" s="19"/>
      <c r="I118" s="19"/>
      <c r="J118" s="19"/>
    </row>
    <row r="119" spans="3:10" ht="15.75" customHeight="1" x14ac:dyDescent="0.3">
      <c r="C119" s="103"/>
      <c r="E119" s="19"/>
      <c r="F119" s="96"/>
      <c r="G119" s="19"/>
      <c r="H119" s="19"/>
      <c r="I119" s="19"/>
      <c r="J119" s="19"/>
    </row>
    <row r="120" spans="3:10" ht="15.75" customHeight="1" x14ac:dyDescent="0.3">
      <c r="C120" s="103"/>
      <c r="E120" s="19"/>
      <c r="F120" s="96"/>
      <c r="G120" s="19"/>
      <c r="H120" s="19"/>
      <c r="I120" s="19"/>
      <c r="J120" s="19"/>
    </row>
    <row r="121" spans="3:10" ht="15.75" customHeight="1" x14ac:dyDescent="0.3">
      <c r="C121" s="103"/>
      <c r="E121" s="19"/>
      <c r="F121" s="96"/>
      <c r="G121" s="19"/>
      <c r="H121" s="19"/>
      <c r="I121" s="19"/>
      <c r="J121" s="19"/>
    </row>
    <row r="122" spans="3:10" ht="15.75" customHeight="1" x14ac:dyDescent="0.3">
      <c r="C122" s="103"/>
      <c r="E122" s="19"/>
      <c r="F122" s="96"/>
      <c r="G122" s="19"/>
      <c r="H122" s="19"/>
      <c r="I122" s="19"/>
      <c r="J122" s="19"/>
    </row>
    <row r="123" spans="3:10" ht="15.75" customHeight="1" x14ac:dyDescent="0.3">
      <c r="C123" s="103"/>
      <c r="E123" s="19"/>
      <c r="F123" s="96"/>
      <c r="G123" s="19"/>
      <c r="H123" s="19"/>
      <c r="I123" s="19"/>
      <c r="J123" s="19"/>
    </row>
    <row r="124" spans="3:10" ht="15.75" customHeight="1" x14ac:dyDescent="0.3">
      <c r="C124" s="103"/>
      <c r="E124" s="19"/>
      <c r="F124" s="96"/>
      <c r="G124" s="19"/>
      <c r="H124" s="19"/>
      <c r="I124" s="19"/>
      <c r="J124" s="19"/>
    </row>
    <row r="125" spans="3:10" ht="15.75" customHeight="1" x14ac:dyDescent="0.3">
      <c r="C125" s="103"/>
      <c r="E125" s="19"/>
      <c r="F125" s="96"/>
      <c r="G125" s="19"/>
      <c r="H125" s="19"/>
      <c r="I125" s="19"/>
      <c r="J125" s="19"/>
    </row>
    <row r="126" spans="3:10" ht="15.75" customHeight="1" x14ac:dyDescent="0.3">
      <c r="C126" s="103"/>
      <c r="E126" s="19"/>
      <c r="F126" s="96"/>
      <c r="G126" s="19"/>
      <c r="H126" s="19"/>
      <c r="I126" s="19"/>
      <c r="J126" s="19"/>
    </row>
    <row r="127" spans="3:10" ht="15.75" customHeight="1" x14ac:dyDescent="0.3">
      <c r="C127" s="103"/>
      <c r="E127" s="19"/>
      <c r="F127" s="96"/>
      <c r="G127" s="19"/>
      <c r="H127" s="19"/>
      <c r="I127" s="19"/>
      <c r="J127" s="19"/>
    </row>
    <row r="128" spans="3:10" ht="15.75" customHeight="1" x14ac:dyDescent="0.3">
      <c r="C128" s="103"/>
      <c r="E128" s="19"/>
      <c r="F128" s="96"/>
      <c r="G128" s="19"/>
      <c r="H128" s="19"/>
      <c r="I128" s="19"/>
      <c r="J128" s="19"/>
    </row>
    <row r="129" spans="3:10" ht="15.75" customHeight="1" x14ac:dyDescent="0.3">
      <c r="C129" s="103"/>
      <c r="E129" s="19"/>
      <c r="F129" s="96"/>
      <c r="G129" s="19"/>
      <c r="H129" s="19"/>
      <c r="I129" s="19"/>
      <c r="J129" s="19"/>
    </row>
    <row r="130" spans="3:10" ht="15.75" customHeight="1" x14ac:dyDescent="0.3">
      <c r="C130" s="103"/>
      <c r="E130" s="19"/>
      <c r="F130" s="96"/>
      <c r="G130" s="19"/>
      <c r="H130" s="19"/>
      <c r="I130" s="19"/>
      <c r="J130" s="19"/>
    </row>
    <row r="131" spans="3:10" ht="15.75" customHeight="1" x14ac:dyDescent="0.3">
      <c r="C131" s="103"/>
      <c r="E131" s="19"/>
      <c r="F131" s="96"/>
      <c r="G131" s="19"/>
      <c r="H131" s="19"/>
      <c r="I131" s="19"/>
      <c r="J131" s="19"/>
    </row>
    <row r="132" spans="3:10" ht="15.75" customHeight="1" x14ac:dyDescent="0.3">
      <c r="C132" s="103"/>
      <c r="E132" s="19"/>
      <c r="F132" s="96"/>
      <c r="G132" s="19"/>
      <c r="H132" s="19"/>
      <c r="I132" s="19"/>
      <c r="J132" s="19"/>
    </row>
    <row r="133" spans="3:10" ht="15.75" customHeight="1" x14ac:dyDescent="0.3">
      <c r="C133" s="103"/>
      <c r="E133" s="19"/>
      <c r="F133" s="96"/>
      <c r="G133" s="19"/>
      <c r="H133" s="19"/>
      <c r="I133" s="19"/>
      <c r="J133" s="19"/>
    </row>
    <row r="134" spans="3:10" ht="15.75" customHeight="1" x14ac:dyDescent="0.3">
      <c r="C134" s="103"/>
      <c r="E134" s="19"/>
      <c r="F134" s="96"/>
      <c r="G134" s="19"/>
      <c r="H134" s="19"/>
      <c r="I134" s="19"/>
      <c r="J134" s="19"/>
    </row>
    <row r="135" spans="3:10" ht="15.75" customHeight="1" x14ac:dyDescent="0.3">
      <c r="C135" s="103"/>
      <c r="E135" s="19"/>
      <c r="F135" s="96"/>
      <c r="G135" s="19"/>
      <c r="H135" s="19"/>
      <c r="I135" s="19"/>
      <c r="J135" s="19"/>
    </row>
    <row r="136" spans="3:10" ht="15.75" customHeight="1" x14ac:dyDescent="0.3">
      <c r="C136" s="103"/>
      <c r="E136" s="19"/>
      <c r="F136" s="96"/>
      <c r="G136" s="19"/>
      <c r="H136" s="19"/>
      <c r="I136" s="19"/>
      <c r="J136" s="19"/>
    </row>
    <row r="137" spans="3:10" ht="15.75" customHeight="1" x14ac:dyDescent="0.3">
      <c r="C137" s="103"/>
      <c r="E137" s="19"/>
      <c r="F137" s="96"/>
      <c r="G137" s="19"/>
      <c r="H137" s="19"/>
      <c r="I137" s="19"/>
      <c r="J137" s="19"/>
    </row>
    <row r="138" spans="3:10" ht="15.75" customHeight="1" x14ac:dyDescent="0.3">
      <c r="C138" s="103"/>
      <c r="E138" s="19"/>
      <c r="F138" s="96"/>
      <c r="G138" s="19"/>
      <c r="H138" s="19"/>
      <c r="I138" s="19"/>
      <c r="J138" s="19"/>
    </row>
    <row r="139" spans="3:10" ht="15.75" customHeight="1" x14ac:dyDescent="0.3">
      <c r="C139" s="103"/>
      <c r="E139" s="19"/>
      <c r="F139" s="96"/>
      <c r="G139" s="19"/>
      <c r="H139" s="19"/>
      <c r="I139" s="19"/>
      <c r="J139" s="19"/>
    </row>
    <row r="140" spans="3:10" ht="15.75" customHeight="1" x14ac:dyDescent="0.3">
      <c r="C140" s="103"/>
      <c r="E140" s="19"/>
      <c r="F140" s="96"/>
      <c r="G140" s="19"/>
      <c r="H140" s="19"/>
      <c r="I140" s="19"/>
      <c r="J140" s="19"/>
    </row>
    <row r="141" spans="3:10" ht="15.75" customHeight="1" x14ac:dyDescent="0.3">
      <c r="C141" s="103"/>
      <c r="E141" s="19"/>
      <c r="F141" s="96"/>
      <c r="G141" s="19"/>
      <c r="H141" s="19"/>
      <c r="I141" s="19"/>
      <c r="J141" s="19"/>
    </row>
    <row r="142" spans="3:10" ht="15.75" customHeight="1" x14ac:dyDescent="0.3">
      <c r="C142" s="103"/>
      <c r="E142" s="19"/>
      <c r="F142" s="96"/>
      <c r="G142" s="19"/>
      <c r="H142" s="19"/>
      <c r="I142" s="19"/>
      <c r="J142" s="19"/>
    </row>
    <row r="143" spans="3:10" ht="15.75" customHeight="1" x14ac:dyDescent="0.3">
      <c r="C143" s="103"/>
      <c r="E143" s="19"/>
      <c r="F143" s="96"/>
      <c r="G143" s="19"/>
      <c r="H143" s="19"/>
      <c r="I143" s="19"/>
      <c r="J143" s="19"/>
    </row>
    <row r="144" spans="3:10" ht="15.75" customHeight="1" x14ac:dyDescent="0.3">
      <c r="C144" s="103"/>
      <c r="E144" s="19"/>
      <c r="F144" s="96"/>
      <c r="G144" s="19"/>
      <c r="H144" s="19"/>
      <c r="I144" s="19"/>
      <c r="J144" s="19"/>
    </row>
    <row r="145" spans="3:10" ht="15.75" customHeight="1" x14ac:dyDescent="0.3">
      <c r="C145" s="103"/>
      <c r="E145" s="19"/>
      <c r="F145" s="96"/>
      <c r="G145" s="19"/>
      <c r="H145" s="19"/>
      <c r="I145" s="19"/>
      <c r="J145" s="19"/>
    </row>
    <row r="146" spans="3:10" ht="15.75" customHeight="1" x14ac:dyDescent="0.3">
      <c r="C146" s="103"/>
      <c r="E146" s="19"/>
      <c r="F146" s="96"/>
      <c r="G146" s="19"/>
      <c r="H146" s="19"/>
      <c r="I146" s="19"/>
      <c r="J146" s="19"/>
    </row>
    <row r="147" spans="3:10" ht="15.75" customHeight="1" x14ac:dyDescent="0.3">
      <c r="C147" s="103"/>
      <c r="E147" s="19"/>
      <c r="F147" s="96"/>
      <c r="G147" s="19"/>
      <c r="H147" s="19"/>
      <c r="I147" s="19"/>
      <c r="J147" s="19"/>
    </row>
    <row r="148" spans="3:10" ht="15.75" customHeight="1" x14ac:dyDescent="0.3">
      <c r="C148" s="103"/>
      <c r="E148" s="19"/>
      <c r="F148" s="96"/>
      <c r="G148" s="19"/>
      <c r="H148" s="19"/>
      <c r="I148" s="19"/>
      <c r="J148" s="19"/>
    </row>
    <row r="149" spans="3:10" ht="15.75" customHeight="1" x14ac:dyDescent="0.3">
      <c r="C149" s="103"/>
      <c r="E149" s="19"/>
      <c r="F149" s="96"/>
      <c r="G149" s="19"/>
      <c r="H149" s="19"/>
      <c r="I149" s="19"/>
      <c r="J149" s="19"/>
    </row>
    <row r="150" spans="3:10" ht="15.75" customHeight="1" x14ac:dyDescent="0.3">
      <c r="C150" s="103"/>
      <c r="E150" s="19"/>
      <c r="F150" s="96"/>
      <c r="G150" s="19"/>
      <c r="H150" s="19"/>
      <c r="I150" s="19"/>
      <c r="J150" s="19"/>
    </row>
    <row r="151" spans="3:10" ht="15.75" customHeight="1" x14ac:dyDescent="0.3">
      <c r="C151" s="103"/>
      <c r="E151" s="19"/>
      <c r="F151" s="96"/>
      <c r="G151" s="19"/>
      <c r="H151" s="19"/>
      <c r="I151" s="19"/>
      <c r="J151" s="19"/>
    </row>
    <row r="152" spans="3:10" ht="15.75" customHeight="1" x14ac:dyDescent="0.3">
      <c r="C152" s="103"/>
      <c r="E152" s="19"/>
      <c r="F152" s="96"/>
      <c r="G152" s="19"/>
      <c r="H152" s="19"/>
      <c r="I152" s="19"/>
      <c r="J152" s="19"/>
    </row>
    <row r="153" spans="3:10" ht="15.75" customHeight="1" x14ac:dyDescent="0.3">
      <c r="C153" s="103"/>
      <c r="E153" s="19"/>
      <c r="F153" s="96"/>
      <c r="G153" s="19"/>
      <c r="H153" s="19"/>
      <c r="I153" s="19"/>
      <c r="J153" s="19"/>
    </row>
    <row r="154" spans="3:10" ht="15.75" customHeight="1" x14ac:dyDescent="0.3">
      <c r="C154" s="103"/>
      <c r="E154" s="19"/>
      <c r="F154" s="96"/>
      <c r="G154" s="19"/>
      <c r="H154" s="19"/>
      <c r="I154" s="19"/>
      <c r="J154" s="19"/>
    </row>
    <row r="155" spans="3:10" ht="15.75" customHeight="1" x14ac:dyDescent="0.3">
      <c r="C155" s="103"/>
      <c r="E155" s="19"/>
      <c r="F155" s="96"/>
      <c r="G155" s="19"/>
      <c r="H155" s="19"/>
      <c r="I155" s="19"/>
      <c r="J155" s="19"/>
    </row>
    <row r="156" spans="3:10" ht="15.75" customHeight="1" x14ac:dyDescent="0.3">
      <c r="C156" s="103"/>
      <c r="E156" s="19"/>
      <c r="F156" s="96"/>
      <c r="G156" s="19"/>
      <c r="H156" s="19"/>
      <c r="I156" s="19"/>
      <c r="J156" s="19"/>
    </row>
    <row r="157" spans="3:10" ht="15.75" customHeight="1" x14ac:dyDescent="0.3">
      <c r="C157" s="103"/>
      <c r="E157" s="19"/>
      <c r="F157" s="96"/>
      <c r="G157" s="19"/>
      <c r="H157" s="19"/>
      <c r="I157" s="19"/>
      <c r="J157" s="19"/>
    </row>
    <row r="158" spans="3:10" ht="15.75" customHeight="1" x14ac:dyDescent="0.3">
      <c r="C158" s="103"/>
      <c r="E158" s="19"/>
      <c r="F158" s="96"/>
      <c r="G158" s="19"/>
      <c r="H158" s="19"/>
      <c r="I158" s="19"/>
      <c r="J158" s="19"/>
    </row>
    <row r="159" spans="3:10" ht="15.75" customHeight="1" x14ac:dyDescent="0.3">
      <c r="C159" s="103"/>
      <c r="E159" s="19"/>
      <c r="F159" s="96"/>
      <c r="G159" s="19"/>
      <c r="H159" s="19"/>
      <c r="I159" s="19"/>
      <c r="J159" s="19"/>
    </row>
    <row r="160" spans="3:10" ht="15.75" customHeight="1" x14ac:dyDescent="0.3">
      <c r="C160" s="103"/>
      <c r="E160" s="19"/>
      <c r="F160" s="96"/>
      <c r="G160" s="19"/>
      <c r="H160" s="19"/>
      <c r="I160" s="19"/>
      <c r="J160" s="19"/>
    </row>
    <row r="161" spans="3:10" ht="15.75" customHeight="1" x14ac:dyDescent="0.3">
      <c r="C161" s="103"/>
      <c r="E161" s="19"/>
      <c r="F161" s="96"/>
      <c r="G161" s="19"/>
      <c r="H161" s="19"/>
      <c r="I161" s="19"/>
      <c r="J161" s="19"/>
    </row>
    <row r="162" spans="3:10" ht="15.75" customHeight="1" x14ac:dyDescent="0.3">
      <c r="C162" s="103"/>
      <c r="E162" s="19"/>
      <c r="F162" s="96"/>
      <c r="G162" s="19"/>
      <c r="H162" s="19"/>
      <c r="I162" s="19"/>
      <c r="J162" s="19"/>
    </row>
    <row r="163" spans="3:10" ht="15.75" customHeight="1" x14ac:dyDescent="0.3">
      <c r="C163" s="103"/>
      <c r="E163" s="19"/>
      <c r="F163" s="96"/>
      <c r="G163" s="19"/>
      <c r="H163" s="19"/>
      <c r="I163" s="19"/>
      <c r="J163" s="19"/>
    </row>
    <row r="164" spans="3:10" ht="15.75" customHeight="1" x14ac:dyDescent="0.3">
      <c r="E164" s="19"/>
      <c r="F164" s="96"/>
      <c r="G164" s="19"/>
      <c r="H164" s="19"/>
      <c r="I164" s="19"/>
      <c r="J164" s="19"/>
    </row>
    <row r="165" spans="3:10" ht="15.75" customHeight="1" x14ac:dyDescent="0.3">
      <c r="E165" s="19"/>
      <c r="F165" s="96"/>
      <c r="G165" s="19"/>
      <c r="H165" s="19"/>
      <c r="I165" s="19"/>
      <c r="J165" s="19"/>
    </row>
    <row r="166" spans="3:10" ht="15.75" customHeight="1" x14ac:dyDescent="0.3">
      <c r="E166" s="19"/>
      <c r="F166" s="96"/>
      <c r="G166" s="19"/>
      <c r="H166" s="19"/>
      <c r="I166" s="19"/>
      <c r="J166" s="19"/>
    </row>
    <row r="167" spans="3:10" ht="15.75" customHeight="1" x14ac:dyDescent="0.3">
      <c r="E167" s="19"/>
      <c r="F167" s="96"/>
      <c r="G167" s="19"/>
      <c r="H167" s="19"/>
      <c r="I167" s="19"/>
      <c r="J167" s="19"/>
    </row>
    <row r="168" spans="3:10" ht="15.75" customHeight="1" x14ac:dyDescent="0.3">
      <c r="E168" s="19"/>
      <c r="F168" s="96"/>
      <c r="G168" s="19"/>
      <c r="H168" s="19"/>
      <c r="I168" s="19"/>
      <c r="J168" s="19"/>
    </row>
    <row r="169" spans="3:10" ht="15.75" customHeight="1" x14ac:dyDescent="0.3">
      <c r="E169" s="19"/>
      <c r="F169" s="96"/>
      <c r="G169" s="19"/>
      <c r="H169" s="19"/>
      <c r="I169" s="19"/>
      <c r="J169" s="19"/>
    </row>
    <row r="170" spans="3:10" ht="15.75" customHeight="1" x14ac:dyDescent="0.3">
      <c r="E170" s="19"/>
      <c r="F170" s="96"/>
      <c r="G170" s="19"/>
      <c r="H170" s="19"/>
      <c r="I170" s="19"/>
      <c r="J170" s="19"/>
    </row>
    <row r="171" spans="3:10" ht="15.75" customHeight="1" x14ac:dyDescent="0.3">
      <c r="E171" s="19"/>
      <c r="F171" s="96"/>
      <c r="G171" s="19"/>
      <c r="H171" s="19"/>
      <c r="I171" s="19"/>
      <c r="J171" s="19"/>
    </row>
    <row r="172" spans="3:10" ht="15.75" customHeight="1" x14ac:dyDescent="0.3">
      <c r="E172" s="19"/>
      <c r="F172" s="96"/>
      <c r="G172" s="19"/>
      <c r="H172" s="19"/>
      <c r="I172" s="19"/>
      <c r="J172" s="19"/>
    </row>
    <row r="173" spans="3:10" ht="15.75" customHeight="1" x14ac:dyDescent="0.3">
      <c r="E173" s="19"/>
      <c r="F173" s="96"/>
      <c r="G173" s="19"/>
      <c r="H173" s="19"/>
      <c r="I173" s="19"/>
      <c r="J173" s="19"/>
    </row>
    <row r="174" spans="3:10" ht="15.75" customHeight="1" x14ac:dyDescent="0.3">
      <c r="E174" s="19"/>
      <c r="F174" s="96"/>
      <c r="G174" s="19"/>
      <c r="H174" s="19"/>
      <c r="I174" s="19"/>
      <c r="J174" s="19"/>
    </row>
    <row r="175" spans="3:10" ht="15.75" customHeight="1" x14ac:dyDescent="0.3">
      <c r="E175" s="19"/>
      <c r="F175" s="96"/>
      <c r="G175" s="19"/>
      <c r="H175" s="19"/>
      <c r="I175" s="19"/>
      <c r="J175" s="19"/>
    </row>
    <row r="176" spans="3:10" ht="15.75" customHeight="1" x14ac:dyDescent="0.3">
      <c r="E176" s="19"/>
      <c r="F176" s="96"/>
      <c r="G176" s="19"/>
      <c r="H176" s="19"/>
      <c r="I176" s="19"/>
      <c r="J176" s="19"/>
    </row>
    <row r="177" spans="5:10" ht="15.75" customHeight="1" x14ac:dyDescent="0.3">
      <c r="E177" s="19"/>
      <c r="F177" s="96"/>
      <c r="G177" s="19"/>
      <c r="H177" s="19"/>
      <c r="I177" s="19"/>
      <c r="J177" s="19"/>
    </row>
    <row r="178" spans="5:10" ht="15.75" customHeight="1" x14ac:dyDescent="0.3">
      <c r="E178" s="19"/>
      <c r="F178" s="96"/>
      <c r="G178" s="19"/>
      <c r="H178" s="19"/>
      <c r="I178" s="19"/>
      <c r="J178" s="19"/>
    </row>
    <row r="179" spans="5:10" ht="15.75" customHeight="1" x14ac:dyDescent="0.3">
      <c r="E179" s="19"/>
      <c r="F179" s="96"/>
      <c r="G179" s="19"/>
      <c r="H179" s="19"/>
      <c r="I179" s="19"/>
      <c r="J179" s="19"/>
    </row>
    <row r="180" spans="5:10" ht="15.75" customHeight="1" x14ac:dyDescent="0.3">
      <c r="E180" s="19"/>
      <c r="F180" s="96"/>
      <c r="G180" s="19"/>
      <c r="H180" s="19"/>
      <c r="I180" s="19"/>
      <c r="J180" s="19"/>
    </row>
    <row r="181" spans="5:10" ht="15.75" customHeight="1" x14ac:dyDescent="0.3">
      <c r="E181" s="19"/>
      <c r="F181" s="96"/>
      <c r="G181" s="19"/>
      <c r="H181" s="19"/>
      <c r="I181" s="19"/>
      <c r="J181" s="19"/>
    </row>
    <row r="182" spans="5:10" ht="15.75" customHeight="1" x14ac:dyDescent="0.3">
      <c r="E182" s="19"/>
      <c r="F182" s="96"/>
      <c r="G182" s="19"/>
      <c r="H182" s="19"/>
      <c r="I182" s="19"/>
      <c r="J182" s="19"/>
    </row>
    <row r="183" spans="5:10" ht="15.75" customHeight="1" x14ac:dyDescent="0.3">
      <c r="E183" s="19"/>
      <c r="F183" s="96"/>
      <c r="G183" s="19"/>
      <c r="H183" s="19"/>
      <c r="I183" s="19"/>
      <c r="J183" s="19"/>
    </row>
    <row r="184" spans="5:10" ht="15.75" customHeight="1" x14ac:dyDescent="0.3">
      <c r="E184" s="19"/>
      <c r="F184" s="96"/>
      <c r="G184" s="19"/>
      <c r="H184" s="19"/>
      <c r="I184" s="19"/>
      <c r="J184" s="19"/>
    </row>
    <row r="185" spans="5:10" ht="15.75" customHeight="1" x14ac:dyDescent="0.3">
      <c r="E185" s="19"/>
      <c r="F185" s="96"/>
      <c r="G185" s="19"/>
      <c r="H185" s="19"/>
      <c r="I185" s="19"/>
      <c r="J185" s="19"/>
    </row>
    <row r="186" spans="5:10" ht="15.75" customHeight="1" x14ac:dyDescent="0.3">
      <c r="E186" s="19"/>
      <c r="F186" s="96"/>
      <c r="G186" s="19"/>
      <c r="H186" s="19"/>
      <c r="I186" s="19"/>
      <c r="J186" s="19"/>
    </row>
    <row r="187" spans="5:10" ht="15.75" customHeight="1" x14ac:dyDescent="0.3">
      <c r="E187" s="19"/>
      <c r="F187" s="96"/>
      <c r="G187" s="19"/>
      <c r="H187" s="19"/>
      <c r="I187" s="19"/>
      <c r="J187" s="19"/>
    </row>
    <row r="188" spans="5:10" ht="15.75" customHeight="1" x14ac:dyDescent="0.3">
      <c r="E188" s="19"/>
      <c r="F188" s="96"/>
      <c r="G188" s="19"/>
      <c r="H188" s="19"/>
      <c r="I188" s="19"/>
      <c r="J188" s="19"/>
    </row>
    <row r="189" spans="5:10" ht="15.75" customHeight="1" x14ac:dyDescent="0.3">
      <c r="E189" s="19"/>
      <c r="F189" s="96"/>
      <c r="G189" s="19"/>
      <c r="H189" s="19"/>
      <c r="I189" s="19"/>
      <c r="J189" s="19"/>
    </row>
    <row r="190" spans="5:10" ht="15.75" customHeight="1" x14ac:dyDescent="0.3">
      <c r="E190" s="19"/>
      <c r="F190" s="96"/>
      <c r="G190" s="19"/>
      <c r="H190" s="19"/>
      <c r="I190" s="19"/>
      <c r="J190" s="19"/>
    </row>
    <row r="191" spans="5:10" ht="15.75" customHeight="1" x14ac:dyDescent="0.3">
      <c r="E191" s="19"/>
      <c r="F191" s="96"/>
      <c r="G191" s="19"/>
      <c r="H191" s="19"/>
      <c r="I191" s="19"/>
      <c r="J191" s="19"/>
    </row>
    <row r="192" spans="5:10" ht="15.75" customHeight="1" x14ac:dyDescent="0.3">
      <c r="E192" s="19"/>
      <c r="F192" s="96"/>
      <c r="G192" s="19"/>
      <c r="H192" s="19"/>
      <c r="I192" s="19"/>
      <c r="J192" s="19"/>
    </row>
    <row r="193" spans="5:10" ht="15.75" customHeight="1" x14ac:dyDescent="0.3">
      <c r="E193" s="19"/>
      <c r="F193" s="96"/>
      <c r="G193" s="19"/>
      <c r="H193" s="19"/>
      <c r="I193" s="19"/>
      <c r="J193" s="19"/>
    </row>
    <row r="194" spans="5:10" ht="15.75" customHeight="1" x14ac:dyDescent="0.3">
      <c r="E194" s="19"/>
      <c r="F194" s="96"/>
      <c r="G194" s="19"/>
      <c r="H194" s="19"/>
      <c r="I194" s="19"/>
      <c r="J194" s="19"/>
    </row>
    <row r="195" spans="5:10" ht="15.75" customHeight="1" x14ac:dyDescent="0.3">
      <c r="E195" s="19"/>
      <c r="F195" s="96"/>
      <c r="G195" s="19"/>
      <c r="H195" s="19"/>
      <c r="I195" s="19"/>
      <c r="J195" s="19"/>
    </row>
    <row r="196" spans="5:10" ht="15.75" customHeight="1" x14ac:dyDescent="0.3">
      <c r="E196" s="19"/>
      <c r="F196" s="96"/>
      <c r="G196" s="19"/>
      <c r="H196" s="19"/>
      <c r="I196" s="19"/>
      <c r="J196" s="19"/>
    </row>
    <row r="197" spans="5:10" ht="15.75" customHeight="1" x14ac:dyDescent="0.3">
      <c r="E197" s="19"/>
      <c r="F197" s="96"/>
      <c r="G197" s="19"/>
      <c r="H197" s="19"/>
      <c r="I197" s="19"/>
      <c r="J197" s="19"/>
    </row>
    <row r="198" spans="5:10" ht="15.75" customHeight="1" x14ac:dyDescent="0.3">
      <c r="E198" s="19"/>
      <c r="F198" s="96"/>
      <c r="G198" s="19"/>
      <c r="H198" s="19"/>
      <c r="I198" s="19"/>
      <c r="J198" s="19"/>
    </row>
    <row r="199" spans="5:10" ht="15.75" customHeight="1" x14ac:dyDescent="0.3">
      <c r="E199" s="19"/>
      <c r="F199" s="96"/>
      <c r="G199" s="19"/>
      <c r="H199" s="19"/>
      <c r="I199" s="19"/>
      <c r="J199" s="19"/>
    </row>
    <row r="200" spans="5:10" ht="15.75" customHeight="1" x14ac:dyDescent="0.3">
      <c r="E200" s="19"/>
      <c r="F200" s="96"/>
      <c r="G200" s="19"/>
      <c r="H200" s="19"/>
      <c r="I200" s="19"/>
      <c r="J200" s="19"/>
    </row>
    <row r="201" spans="5:10" ht="15.75" customHeight="1" x14ac:dyDescent="0.3">
      <c r="E201" s="19"/>
      <c r="F201" s="96"/>
      <c r="G201" s="19"/>
      <c r="H201" s="19"/>
      <c r="I201" s="19"/>
      <c r="J201" s="19"/>
    </row>
    <row r="202" spans="5:10" ht="15.75" customHeight="1" x14ac:dyDescent="0.3">
      <c r="E202" s="19"/>
      <c r="F202" s="96"/>
      <c r="G202" s="19"/>
      <c r="H202" s="19"/>
      <c r="I202" s="19"/>
      <c r="J202" s="19"/>
    </row>
    <row r="203" spans="5:10" ht="15.75" customHeight="1" x14ac:dyDescent="0.3">
      <c r="E203" s="19"/>
      <c r="F203" s="96"/>
      <c r="G203" s="19"/>
      <c r="H203" s="19"/>
      <c r="I203" s="19"/>
      <c r="J203" s="19"/>
    </row>
    <row r="204" spans="5:10" ht="15.75" customHeight="1" x14ac:dyDescent="0.3">
      <c r="E204" s="19"/>
      <c r="F204" s="96"/>
      <c r="G204" s="19"/>
      <c r="H204" s="19"/>
      <c r="I204" s="19"/>
      <c r="J204" s="19"/>
    </row>
    <row r="205" spans="5:10" ht="15.75" customHeight="1" x14ac:dyDescent="0.3">
      <c r="E205" s="19"/>
      <c r="F205" s="96"/>
      <c r="G205" s="19"/>
      <c r="H205" s="19"/>
      <c r="I205" s="19"/>
      <c r="J205" s="19"/>
    </row>
    <row r="206" spans="5:10" ht="15.75" customHeight="1" x14ac:dyDescent="0.3">
      <c r="E206" s="19"/>
      <c r="F206" s="96"/>
      <c r="G206" s="19"/>
      <c r="H206" s="19"/>
      <c r="I206" s="19"/>
      <c r="J206" s="19"/>
    </row>
    <row r="207" spans="5:10" ht="15.75" customHeight="1" x14ac:dyDescent="0.3">
      <c r="E207" s="19"/>
      <c r="F207" s="96"/>
      <c r="G207" s="19"/>
      <c r="H207" s="19"/>
      <c r="I207" s="19"/>
      <c r="J207" s="19"/>
    </row>
    <row r="208" spans="5:10" ht="15.75" customHeight="1" x14ac:dyDescent="0.3">
      <c r="E208" s="19"/>
      <c r="F208" s="96"/>
      <c r="G208" s="19"/>
      <c r="H208" s="19"/>
      <c r="I208" s="19"/>
      <c r="J208" s="19"/>
    </row>
    <row r="209" spans="5:10" ht="15.75" customHeight="1" x14ac:dyDescent="0.3">
      <c r="E209" s="19"/>
      <c r="F209" s="96"/>
      <c r="G209" s="19"/>
      <c r="H209" s="19"/>
      <c r="I209" s="19"/>
      <c r="J209" s="19"/>
    </row>
    <row r="210" spans="5:10" ht="15.75" customHeight="1" x14ac:dyDescent="0.3">
      <c r="E210" s="19"/>
      <c r="F210" s="96"/>
      <c r="G210" s="19"/>
      <c r="H210" s="19"/>
      <c r="I210" s="19"/>
      <c r="J210" s="19"/>
    </row>
    <row r="211" spans="5:10" ht="15.75" customHeight="1" x14ac:dyDescent="0.3">
      <c r="E211" s="19"/>
      <c r="F211" s="96"/>
      <c r="G211" s="19"/>
      <c r="H211" s="19"/>
      <c r="I211" s="19"/>
      <c r="J211" s="19"/>
    </row>
    <row r="212" spans="5:10" ht="15.75" customHeight="1" x14ac:dyDescent="0.3">
      <c r="E212" s="19"/>
      <c r="F212" s="96"/>
      <c r="G212" s="19"/>
      <c r="H212" s="19"/>
      <c r="I212" s="19"/>
      <c r="J212" s="19"/>
    </row>
    <row r="213" spans="5:10" ht="15.75" customHeight="1" x14ac:dyDescent="0.3">
      <c r="E213" s="19"/>
      <c r="F213" s="96"/>
      <c r="G213" s="19"/>
      <c r="H213" s="19"/>
      <c r="I213" s="19"/>
      <c r="J213" s="19"/>
    </row>
    <row r="214" spans="5:10" ht="15.75" customHeight="1" x14ac:dyDescent="0.3">
      <c r="E214" s="19"/>
      <c r="F214" s="96"/>
      <c r="G214" s="19"/>
      <c r="H214" s="19"/>
      <c r="I214" s="19"/>
      <c r="J214" s="19"/>
    </row>
    <row r="215" spans="5:10" ht="15.75" customHeight="1" x14ac:dyDescent="0.3">
      <c r="E215" s="19"/>
      <c r="F215" s="96"/>
      <c r="G215" s="19"/>
      <c r="H215" s="19"/>
      <c r="I215" s="19"/>
      <c r="J215" s="19"/>
    </row>
    <row r="216" spans="5:10" ht="15.75" customHeight="1" x14ac:dyDescent="0.3">
      <c r="E216" s="19"/>
      <c r="F216" s="96"/>
      <c r="G216" s="19"/>
      <c r="H216" s="19"/>
      <c r="I216" s="19"/>
      <c r="J216" s="19"/>
    </row>
    <row r="217" spans="5:10" ht="15.75" customHeight="1" x14ac:dyDescent="0.3">
      <c r="E217" s="19"/>
      <c r="F217" s="96"/>
      <c r="G217" s="19"/>
      <c r="H217" s="19"/>
      <c r="I217" s="19"/>
      <c r="J217" s="19"/>
    </row>
    <row r="218" spans="5:10" ht="15.75" customHeight="1" x14ac:dyDescent="0.3">
      <c r="E218" s="19"/>
      <c r="F218" s="96"/>
      <c r="G218" s="19"/>
      <c r="H218" s="19"/>
      <c r="I218" s="19"/>
      <c r="J218" s="19"/>
    </row>
    <row r="219" spans="5:10" ht="15.75" customHeight="1" x14ac:dyDescent="0.3">
      <c r="E219" s="19"/>
      <c r="F219" s="96"/>
      <c r="G219" s="19"/>
      <c r="H219" s="19"/>
      <c r="I219" s="19"/>
      <c r="J219" s="19"/>
    </row>
    <row r="220" spans="5:10" ht="15.75" customHeight="1" x14ac:dyDescent="0.3">
      <c r="E220" s="19"/>
      <c r="F220" s="96"/>
      <c r="G220" s="19"/>
      <c r="H220" s="19"/>
      <c r="I220" s="19"/>
      <c r="J220" s="19"/>
    </row>
    <row r="221" spans="5:10" ht="15.75" customHeight="1" x14ac:dyDescent="0.3">
      <c r="E221" s="19"/>
      <c r="F221" s="96"/>
      <c r="G221" s="19"/>
      <c r="H221" s="19"/>
      <c r="I221" s="19"/>
      <c r="J221" s="19"/>
    </row>
    <row r="222" spans="5:10" ht="15.75" customHeight="1" x14ac:dyDescent="0.3">
      <c r="E222" s="19"/>
      <c r="F222" s="96"/>
      <c r="G222" s="19"/>
      <c r="H222" s="19"/>
      <c r="I222" s="19"/>
      <c r="J222" s="19"/>
    </row>
    <row r="223" spans="5:10" ht="15.75" customHeight="1" x14ac:dyDescent="0.3">
      <c r="E223" s="19"/>
      <c r="F223" s="96"/>
      <c r="G223" s="19"/>
      <c r="H223" s="19"/>
      <c r="I223" s="19"/>
      <c r="J223" s="19"/>
    </row>
    <row r="224" spans="5:10" ht="15.75" customHeight="1" x14ac:dyDescent="0.3">
      <c r="E224" s="19"/>
      <c r="F224" s="96"/>
      <c r="G224" s="19"/>
      <c r="H224" s="19"/>
      <c r="I224" s="19"/>
      <c r="J224" s="19"/>
    </row>
    <row r="225" spans="5:10" ht="15.75" customHeight="1" x14ac:dyDescent="0.3">
      <c r="E225" s="19"/>
      <c r="F225" s="96"/>
      <c r="G225" s="19"/>
      <c r="H225" s="19"/>
      <c r="I225" s="19"/>
      <c r="J225" s="19"/>
    </row>
    <row r="226" spans="5:10" ht="15.75" customHeight="1" x14ac:dyDescent="0.3">
      <c r="E226" s="19"/>
      <c r="F226" s="96"/>
      <c r="G226" s="19"/>
      <c r="H226" s="19"/>
      <c r="I226" s="19"/>
      <c r="J226" s="19"/>
    </row>
    <row r="227" spans="5:10" ht="15.75" customHeight="1" x14ac:dyDescent="0.3">
      <c r="E227" s="19"/>
      <c r="F227" s="96"/>
      <c r="G227" s="19"/>
      <c r="H227" s="19"/>
      <c r="I227" s="19"/>
      <c r="J227" s="19"/>
    </row>
    <row r="228" spans="5:10" ht="15.75" customHeight="1" x14ac:dyDescent="0.3">
      <c r="E228" s="19"/>
      <c r="F228" s="96"/>
      <c r="G228" s="19"/>
      <c r="H228" s="19"/>
      <c r="I228" s="19"/>
      <c r="J228" s="19"/>
    </row>
    <row r="229" spans="5:10" ht="15.75" customHeight="1" x14ac:dyDescent="0.3">
      <c r="E229" s="19"/>
      <c r="F229" s="96"/>
      <c r="G229" s="19"/>
      <c r="H229" s="19"/>
      <c r="I229" s="19"/>
      <c r="J229" s="19"/>
    </row>
    <row r="230" spans="5:10" ht="15.75" customHeight="1" x14ac:dyDescent="0.3">
      <c r="E230" s="19"/>
      <c r="F230" s="96"/>
      <c r="G230" s="19"/>
      <c r="H230" s="19"/>
      <c r="I230" s="19"/>
      <c r="J230" s="19"/>
    </row>
    <row r="231" spans="5:10" ht="15.75" customHeight="1" x14ac:dyDescent="0.3">
      <c r="E231" s="19"/>
      <c r="F231" s="96"/>
      <c r="G231" s="19"/>
      <c r="H231" s="19"/>
      <c r="I231" s="19"/>
      <c r="J231" s="19"/>
    </row>
    <row r="232" spans="5:10" ht="15.75" customHeight="1" x14ac:dyDescent="0.3">
      <c r="E232" s="19"/>
      <c r="F232" s="96"/>
      <c r="G232" s="19"/>
      <c r="H232" s="19"/>
      <c r="I232" s="19"/>
      <c r="J232" s="19"/>
    </row>
    <row r="233" spans="5:10" ht="15.75" customHeight="1" x14ac:dyDescent="0.3">
      <c r="E233" s="19"/>
      <c r="F233" s="96"/>
      <c r="G233" s="19"/>
      <c r="H233" s="19"/>
      <c r="I233" s="19"/>
      <c r="J233" s="19"/>
    </row>
    <row r="234" spans="5:10" ht="15.75" customHeight="1" x14ac:dyDescent="0.3">
      <c r="E234" s="19"/>
      <c r="F234" s="96"/>
      <c r="G234" s="19"/>
      <c r="H234" s="19"/>
      <c r="I234" s="19"/>
      <c r="J234" s="19"/>
    </row>
    <row r="235" spans="5:10" ht="15.75" customHeight="1" x14ac:dyDescent="0.3">
      <c r="E235" s="19"/>
      <c r="F235" s="96"/>
      <c r="G235" s="19"/>
      <c r="H235" s="19"/>
      <c r="I235" s="19"/>
      <c r="J235" s="19"/>
    </row>
    <row r="236" spans="5:10" ht="15.75" customHeight="1" x14ac:dyDescent="0.3">
      <c r="E236" s="19"/>
      <c r="F236" s="96"/>
      <c r="G236" s="19"/>
      <c r="H236" s="19"/>
      <c r="I236" s="19"/>
      <c r="J236" s="19"/>
    </row>
    <row r="237" spans="5:10" ht="15.75" customHeight="1" x14ac:dyDescent="0.3">
      <c r="E237" s="19"/>
      <c r="F237" s="96"/>
      <c r="G237" s="19"/>
      <c r="H237" s="19"/>
      <c r="I237" s="19"/>
      <c r="J237" s="19"/>
    </row>
    <row r="238" spans="5:10" ht="15.75" customHeight="1" x14ac:dyDescent="0.3">
      <c r="E238" s="19"/>
      <c r="F238" s="96"/>
      <c r="G238" s="19"/>
      <c r="H238" s="19"/>
      <c r="I238" s="19"/>
      <c r="J238" s="19"/>
    </row>
    <row r="239" spans="5:10" ht="15.75" customHeight="1" x14ac:dyDescent="0.3">
      <c r="E239" s="19"/>
      <c r="F239" s="96"/>
      <c r="G239" s="19"/>
      <c r="H239" s="19"/>
      <c r="I239" s="19"/>
      <c r="J239" s="19"/>
    </row>
    <row r="240" spans="5:10" ht="15.75" customHeight="1" x14ac:dyDescent="0.3">
      <c r="E240" s="19"/>
      <c r="F240" s="96"/>
      <c r="G240" s="19"/>
      <c r="H240" s="19"/>
      <c r="I240" s="19"/>
      <c r="J240" s="19"/>
    </row>
    <row r="241" spans="5:10" ht="15.75" customHeight="1" x14ac:dyDescent="0.3">
      <c r="E241" s="19"/>
      <c r="F241" s="96"/>
      <c r="G241" s="19"/>
      <c r="H241" s="19"/>
      <c r="I241" s="19"/>
      <c r="J241" s="19"/>
    </row>
    <row r="242" spans="5:10" ht="15.75" customHeight="1" x14ac:dyDescent="0.3">
      <c r="E242" s="19"/>
      <c r="F242" s="96"/>
      <c r="G242" s="19"/>
      <c r="H242" s="19"/>
      <c r="I242" s="19"/>
      <c r="J242" s="19"/>
    </row>
    <row r="243" spans="5:10" ht="15.75" customHeight="1" x14ac:dyDescent="0.3">
      <c r="E243" s="19"/>
      <c r="F243" s="96"/>
      <c r="G243" s="19"/>
      <c r="H243" s="19"/>
      <c r="I243" s="19"/>
      <c r="J243" s="19"/>
    </row>
    <row r="244" spans="5:10" ht="15.75" customHeight="1" x14ac:dyDescent="0.3">
      <c r="E244" s="19"/>
      <c r="F244" s="96"/>
      <c r="G244" s="19"/>
      <c r="H244" s="19"/>
      <c r="I244" s="19"/>
      <c r="J244" s="19"/>
    </row>
    <row r="245" spans="5:10" ht="15.75" customHeight="1" x14ac:dyDescent="0.3">
      <c r="E245" s="19"/>
      <c r="F245" s="96"/>
      <c r="G245" s="19"/>
      <c r="H245" s="19"/>
      <c r="I245" s="19"/>
      <c r="J245" s="19"/>
    </row>
    <row r="246" spans="5:10" ht="15.75" customHeight="1" x14ac:dyDescent="0.3">
      <c r="E246" s="19"/>
      <c r="F246" s="96"/>
      <c r="G246" s="19"/>
      <c r="H246" s="19"/>
      <c r="I246" s="19"/>
      <c r="J246" s="19"/>
    </row>
    <row r="247" spans="5:10" ht="15.75" customHeight="1" x14ac:dyDescent="0.3">
      <c r="E247" s="19"/>
      <c r="F247" s="96"/>
      <c r="G247" s="19"/>
      <c r="H247" s="19"/>
      <c r="I247" s="19"/>
      <c r="J247" s="19"/>
    </row>
    <row r="248" spans="5:10" ht="15.75" customHeight="1" x14ac:dyDescent="0.3">
      <c r="E248" s="19"/>
      <c r="F248" s="96"/>
      <c r="G248" s="19"/>
      <c r="H248" s="19"/>
      <c r="I248" s="19"/>
      <c r="J248" s="19"/>
    </row>
    <row r="249" spans="5:10" ht="15.75" customHeight="1" x14ac:dyDescent="0.3">
      <c r="E249" s="19"/>
      <c r="F249" s="96"/>
      <c r="G249" s="19"/>
      <c r="H249" s="19"/>
      <c r="I249" s="19"/>
      <c r="J249" s="19"/>
    </row>
    <row r="250" spans="5:10" ht="15.75" customHeight="1" x14ac:dyDescent="0.3">
      <c r="E250" s="19"/>
      <c r="F250" s="96"/>
      <c r="G250" s="19"/>
      <c r="H250" s="19"/>
      <c r="I250" s="19"/>
      <c r="J250" s="19"/>
    </row>
    <row r="251" spans="5:10" ht="15.75" customHeight="1" x14ac:dyDescent="0.3">
      <c r="E251" s="19"/>
      <c r="F251" s="96"/>
      <c r="G251" s="19"/>
      <c r="H251" s="19"/>
      <c r="I251" s="19"/>
      <c r="J251" s="19"/>
    </row>
    <row r="252" spans="5:10" ht="15.75" customHeight="1" x14ac:dyDescent="0.3">
      <c r="E252" s="19"/>
      <c r="F252" s="96"/>
      <c r="G252" s="19"/>
      <c r="H252" s="19"/>
      <c r="I252" s="19"/>
      <c r="J252" s="19"/>
    </row>
    <row r="253" spans="5:10" ht="15.75" customHeight="1" x14ac:dyDescent="0.3">
      <c r="E253" s="19"/>
      <c r="F253" s="96"/>
      <c r="G253" s="19"/>
      <c r="H253" s="19"/>
      <c r="I253" s="19"/>
      <c r="J253" s="19"/>
    </row>
    <row r="254" spans="5:10" ht="15.75" customHeight="1" x14ac:dyDescent="0.3">
      <c r="E254" s="19"/>
      <c r="F254" s="96"/>
      <c r="G254" s="19"/>
      <c r="H254" s="19"/>
      <c r="I254" s="19"/>
      <c r="J254" s="19"/>
    </row>
    <row r="255" spans="5:10" ht="15.75" customHeight="1" x14ac:dyDescent="0.3">
      <c r="E255" s="19"/>
      <c r="F255" s="96"/>
      <c r="G255" s="19"/>
      <c r="H255" s="19"/>
      <c r="I255" s="19"/>
      <c r="J255" s="19"/>
    </row>
    <row r="256" spans="5:10" ht="15.75" customHeight="1" x14ac:dyDescent="0.3">
      <c r="E256" s="19"/>
      <c r="F256" s="96"/>
      <c r="G256" s="19"/>
      <c r="H256" s="19"/>
      <c r="I256" s="19"/>
      <c r="J256" s="19"/>
    </row>
    <row r="257" spans="5:10" ht="15.75" customHeight="1" x14ac:dyDescent="0.3">
      <c r="E257" s="19"/>
      <c r="F257" s="96"/>
      <c r="G257" s="19"/>
      <c r="H257" s="19"/>
      <c r="I257" s="19"/>
      <c r="J257" s="19"/>
    </row>
    <row r="258" spans="5:10" ht="15.75" customHeight="1" x14ac:dyDescent="0.3">
      <c r="E258" s="19"/>
      <c r="F258" s="96"/>
      <c r="G258" s="19"/>
      <c r="H258" s="19"/>
      <c r="I258" s="19"/>
      <c r="J258" s="19"/>
    </row>
    <row r="259" spans="5:10" ht="15.75" customHeight="1" x14ac:dyDescent="0.3">
      <c r="E259" s="19"/>
      <c r="F259" s="96"/>
      <c r="G259" s="19"/>
      <c r="H259" s="19"/>
      <c r="I259" s="19"/>
      <c r="J259" s="19"/>
    </row>
    <row r="260" spans="5:10" ht="15.75" customHeight="1" x14ac:dyDescent="0.3">
      <c r="E260" s="19"/>
      <c r="F260" s="96"/>
      <c r="G260" s="19"/>
      <c r="H260" s="19"/>
      <c r="I260" s="19"/>
      <c r="J260" s="19"/>
    </row>
    <row r="261" spans="5:10" ht="15.75" customHeight="1" x14ac:dyDescent="0.3">
      <c r="E261" s="19"/>
      <c r="F261" s="96"/>
      <c r="G261" s="19"/>
      <c r="H261" s="19"/>
      <c r="I261" s="19"/>
      <c r="J261" s="19"/>
    </row>
    <row r="262" spans="5:10" ht="15.75" customHeight="1" x14ac:dyDescent="0.3">
      <c r="E262" s="19"/>
      <c r="F262" s="96"/>
      <c r="G262" s="19"/>
      <c r="H262" s="19"/>
      <c r="I262" s="19"/>
      <c r="J262" s="19"/>
    </row>
    <row r="263" spans="5:10" ht="15.75" customHeight="1" x14ac:dyDescent="0.3">
      <c r="E263" s="19"/>
      <c r="F263" s="96"/>
      <c r="G263" s="19"/>
      <c r="H263" s="19"/>
      <c r="I263" s="19"/>
      <c r="J263" s="19"/>
    </row>
    <row r="264" spans="5:10" ht="15.75" customHeight="1" x14ac:dyDescent="0.3">
      <c r="E264" s="19"/>
      <c r="F264" s="96"/>
      <c r="G264" s="19"/>
      <c r="H264" s="19"/>
      <c r="I264" s="19"/>
      <c r="J264" s="19"/>
    </row>
    <row r="265" spans="5:10" ht="15.75" customHeight="1" x14ac:dyDescent="0.3">
      <c r="E265" s="19"/>
      <c r="F265" s="96"/>
      <c r="G265" s="19"/>
      <c r="H265" s="19"/>
      <c r="I265" s="19"/>
      <c r="J265" s="19"/>
    </row>
    <row r="266" spans="5:10" ht="15.75" customHeight="1" x14ac:dyDescent="0.3">
      <c r="E266" s="19"/>
      <c r="F266" s="96"/>
      <c r="G266" s="19"/>
      <c r="H266" s="19"/>
      <c r="I266" s="19"/>
      <c r="J266" s="19"/>
    </row>
    <row r="267" spans="5:10" ht="15.75" customHeight="1" x14ac:dyDescent="0.3">
      <c r="E267" s="19"/>
      <c r="F267" s="96"/>
      <c r="G267" s="19"/>
      <c r="H267" s="19"/>
      <c r="I267" s="19"/>
      <c r="J267" s="19"/>
    </row>
    <row r="268" spans="5:10" ht="15.75" customHeight="1" x14ac:dyDescent="0.3">
      <c r="E268" s="19"/>
      <c r="F268" s="96"/>
      <c r="G268" s="19"/>
      <c r="H268" s="19"/>
      <c r="I268" s="19"/>
      <c r="J268" s="19"/>
    </row>
    <row r="269" spans="5:10" ht="15.75" customHeight="1" x14ac:dyDescent="0.3">
      <c r="E269" s="19"/>
      <c r="F269" s="96"/>
      <c r="G269" s="19"/>
      <c r="H269" s="19"/>
      <c r="I269" s="19"/>
      <c r="J269" s="19"/>
    </row>
    <row r="270" spans="5:10" ht="15.75" customHeight="1" x14ac:dyDescent="0.3">
      <c r="E270" s="19"/>
      <c r="F270" s="96"/>
      <c r="G270" s="19"/>
      <c r="H270" s="19"/>
      <c r="I270" s="19"/>
      <c r="J270" s="19"/>
    </row>
    <row r="271" spans="5:10" ht="15.75" customHeight="1" x14ac:dyDescent="0.3">
      <c r="E271" s="19"/>
      <c r="F271" s="96"/>
      <c r="G271" s="19"/>
      <c r="H271" s="19"/>
      <c r="I271" s="19"/>
      <c r="J271" s="19"/>
    </row>
    <row r="272" spans="5:10" ht="15.75" customHeight="1" x14ac:dyDescent="0.3">
      <c r="E272" s="19"/>
      <c r="F272" s="96"/>
      <c r="G272" s="19"/>
      <c r="H272" s="19"/>
      <c r="I272" s="19"/>
      <c r="J272" s="19"/>
    </row>
    <row r="273" spans="5:10" ht="15.75" customHeight="1" x14ac:dyDescent="0.3">
      <c r="E273" s="19"/>
      <c r="F273" s="96"/>
      <c r="G273" s="19"/>
      <c r="H273" s="19"/>
      <c r="I273" s="19"/>
      <c r="J273" s="19"/>
    </row>
    <row r="274" spans="5:10" ht="15.75" customHeight="1" x14ac:dyDescent="0.3">
      <c r="E274" s="19"/>
      <c r="F274" s="96"/>
      <c r="G274" s="19"/>
      <c r="H274" s="19"/>
      <c r="I274" s="19"/>
      <c r="J274" s="19"/>
    </row>
    <row r="275" spans="5:10" ht="15.75" customHeight="1" x14ac:dyDescent="0.3">
      <c r="E275" s="19"/>
      <c r="F275" s="96"/>
      <c r="G275" s="19"/>
      <c r="H275" s="19"/>
      <c r="I275" s="19"/>
      <c r="J275" s="19"/>
    </row>
    <row r="276" spans="5:10" ht="15.75" customHeight="1" x14ac:dyDescent="0.3">
      <c r="E276" s="19"/>
      <c r="F276" s="96"/>
      <c r="G276" s="19"/>
      <c r="H276" s="19"/>
      <c r="I276" s="19"/>
      <c r="J276" s="19"/>
    </row>
    <row r="277" spans="5:10" ht="15.75" customHeight="1" x14ac:dyDescent="0.3">
      <c r="E277" s="19"/>
      <c r="F277" s="96"/>
      <c r="G277" s="19"/>
      <c r="H277" s="19"/>
      <c r="I277" s="19"/>
      <c r="J277" s="19"/>
    </row>
    <row r="278" spans="5:10" ht="15.75" customHeight="1" x14ac:dyDescent="0.3">
      <c r="E278" s="19"/>
      <c r="F278" s="96"/>
      <c r="G278" s="19"/>
      <c r="H278" s="19"/>
      <c r="I278" s="19"/>
      <c r="J278" s="19"/>
    </row>
    <row r="279" spans="5:10" ht="15.75" customHeight="1" x14ac:dyDescent="0.3">
      <c r="E279" s="19"/>
      <c r="F279" s="96"/>
      <c r="G279" s="19"/>
      <c r="H279" s="19"/>
      <c r="I279" s="19"/>
      <c r="J279" s="19"/>
    </row>
    <row r="280" spans="5:10" ht="15.75" customHeight="1" x14ac:dyDescent="0.3">
      <c r="E280" s="19"/>
      <c r="F280" s="96"/>
      <c r="G280" s="19"/>
      <c r="H280" s="19"/>
      <c r="I280" s="19"/>
      <c r="J280" s="19"/>
    </row>
    <row r="281" spans="5:10" ht="15.75" customHeight="1" x14ac:dyDescent="0.3">
      <c r="E281" s="19"/>
      <c r="F281" s="96"/>
      <c r="G281" s="19"/>
      <c r="H281" s="19"/>
      <c r="I281" s="19"/>
      <c r="J281" s="19"/>
    </row>
    <row r="282" spans="5:10" ht="15.75" customHeight="1" x14ac:dyDescent="0.3">
      <c r="E282" s="19"/>
      <c r="F282" s="96"/>
      <c r="G282" s="19"/>
      <c r="H282" s="19"/>
      <c r="I282" s="19"/>
      <c r="J282" s="19"/>
    </row>
    <row r="283" spans="5:10" ht="15.75" customHeight="1" x14ac:dyDescent="0.3">
      <c r="E283" s="19"/>
      <c r="F283" s="96"/>
      <c r="G283" s="19"/>
      <c r="H283" s="19"/>
      <c r="I283" s="19"/>
      <c r="J283" s="19"/>
    </row>
    <row r="284" spans="5:10" ht="15.75" customHeight="1" x14ac:dyDescent="0.3">
      <c r="E284" s="19"/>
      <c r="F284" s="96"/>
      <c r="G284" s="19"/>
      <c r="H284" s="19"/>
      <c r="I284" s="19"/>
      <c r="J284" s="19"/>
    </row>
    <row r="285" spans="5:10" ht="15.75" customHeight="1" x14ac:dyDescent="0.3">
      <c r="E285" s="19"/>
      <c r="F285" s="96"/>
      <c r="G285" s="19"/>
      <c r="H285" s="19"/>
      <c r="I285" s="19"/>
      <c r="J285" s="19"/>
    </row>
    <row r="286" spans="5:10" ht="15.75" customHeight="1" x14ac:dyDescent="0.3">
      <c r="E286" s="19"/>
      <c r="F286" s="96"/>
      <c r="G286" s="19"/>
      <c r="H286" s="19"/>
      <c r="I286" s="19"/>
      <c r="J286" s="19"/>
    </row>
    <row r="287" spans="5:10" ht="15.75" customHeight="1" x14ac:dyDescent="0.3">
      <c r="E287" s="19"/>
      <c r="F287" s="96"/>
      <c r="G287" s="19"/>
      <c r="H287" s="19"/>
      <c r="I287" s="19"/>
      <c r="J287" s="19"/>
    </row>
    <row r="288" spans="5:10" ht="15.75" customHeight="1" x14ac:dyDescent="0.3">
      <c r="E288" s="19"/>
      <c r="F288" s="96"/>
      <c r="G288" s="19"/>
      <c r="H288" s="19"/>
      <c r="I288" s="19"/>
      <c r="J288" s="19"/>
    </row>
    <row r="289" spans="5:10" ht="15.75" customHeight="1" x14ac:dyDescent="0.3">
      <c r="E289" s="19"/>
      <c r="F289" s="96"/>
      <c r="G289" s="19"/>
      <c r="H289" s="19"/>
      <c r="I289" s="19"/>
      <c r="J289" s="19"/>
    </row>
    <row r="290" spans="5:10" ht="15.75" customHeight="1" x14ac:dyDescent="0.3">
      <c r="E290" s="19"/>
      <c r="F290" s="96"/>
      <c r="G290" s="19"/>
      <c r="H290" s="19"/>
      <c r="I290" s="19"/>
      <c r="J290" s="19"/>
    </row>
    <row r="291" spans="5:10" ht="15.75" customHeight="1" x14ac:dyDescent="0.3">
      <c r="E291" s="19"/>
      <c r="F291" s="96"/>
      <c r="G291" s="19"/>
      <c r="H291" s="19"/>
      <c r="I291" s="19"/>
      <c r="J291" s="19"/>
    </row>
    <row r="292" spans="5:10" ht="15.75" customHeight="1" x14ac:dyDescent="0.3">
      <c r="E292" s="19"/>
      <c r="F292" s="96"/>
      <c r="G292" s="19"/>
      <c r="H292" s="19"/>
      <c r="I292" s="19"/>
      <c r="J292" s="19"/>
    </row>
    <row r="293" spans="5:10" ht="15.75" customHeight="1" x14ac:dyDescent="0.3">
      <c r="E293" s="19"/>
      <c r="F293" s="96"/>
      <c r="G293" s="19"/>
      <c r="H293" s="19"/>
      <c r="I293" s="19"/>
      <c r="J293" s="19"/>
    </row>
    <row r="294" spans="5:10" ht="15.75" customHeight="1" x14ac:dyDescent="0.3">
      <c r="E294" s="19"/>
      <c r="F294" s="96"/>
      <c r="G294" s="19"/>
      <c r="H294" s="19"/>
      <c r="I294" s="19"/>
      <c r="J294" s="19"/>
    </row>
    <row r="295" spans="5:10" ht="15.75" customHeight="1" x14ac:dyDescent="0.3">
      <c r="E295" s="19"/>
      <c r="F295" s="96"/>
      <c r="G295" s="19"/>
      <c r="H295" s="19"/>
      <c r="I295" s="19"/>
      <c r="J295" s="19"/>
    </row>
    <row r="296" spans="5:10" ht="15.75" customHeight="1" x14ac:dyDescent="0.3">
      <c r="E296" s="19"/>
      <c r="F296" s="96"/>
      <c r="G296" s="19"/>
      <c r="H296" s="19"/>
      <c r="I296" s="19"/>
      <c r="J296" s="19"/>
    </row>
    <row r="297" spans="5:10" ht="15.75" customHeight="1" x14ac:dyDescent="0.3">
      <c r="E297" s="19"/>
      <c r="F297" s="96"/>
      <c r="G297" s="19"/>
      <c r="H297" s="19"/>
      <c r="I297" s="19"/>
      <c r="J297" s="19"/>
    </row>
    <row r="298" spans="5:10" ht="15.75" customHeight="1" x14ac:dyDescent="0.3">
      <c r="E298" s="19"/>
      <c r="F298" s="96"/>
      <c r="G298" s="19"/>
      <c r="H298" s="19"/>
      <c r="I298" s="19"/>
      <c r="J298" s="19"/>
    </row>
    <row r="299" spans="5:10" ht="15.75" customHeight="1" x14ac:dyDescent="0.3">
      <c r="E299" s="19"/>
      <c r="F299" s="96"/>
      <c r="G299" s="19"/>
      <c r="H299" s="19"/>
      <c r="I299" s="19"/>
      <c r="J299" s="19"/>
    </row>
    <row r="300" spans="5:10" ht="15.75" customHeight="1" x14ac:dyDescent="0.3">
      <c r="E300" s="19"/>
      <c r="F300" s="96"/>
      <c r="G300" s="19"/>
      <c r="H300" s="19"/>
      <c r="I300" s="19"/>
      <c r="J300" s="19"/>
    </row>
    <row r="301" spans="5:10" ht="15.75" customHeight="1" x14ac:dyDescent="0.3">
      <c r="E301" s="19"/>
      <c r="F301" s="96"/>
      <c r="G301" s="19"/>
      <c r="H301" s="19"/>
      <c r="I301" s="19"/>
      <c r="J301" s="19"/>
    </row>
    <row r="302" spans="5:10" ht="15.75" customHeight="1" x14ac:dyDescent="0.3">
      <c r="E302" s="19"/>
      <c r="F302" s="96"/>
      <c r="G302" s="19"/>
      <c r="H302" s="19"/>
      <c r="I302" s="19"/>
      <c r="J302" s="19"/>
    </row>
    <row r="303" spans="5:10" ht="15.75" customHeight="1" x14ac:dyDescent="0.3">
      <c r="E303" s="19"/>
      <c r="F303" s="96"/>
      <c r="G303" s="19"/>
      <c r="H303" s="19"/>
      <c r="I303" s="19"/>
      <c r="J303" s="19"/>
    </row>
    <row r="304" spans="5:10" ht="15.75" customHeight="1" x14ac:dyDescent="0.3">
      <c r="E304" s="19"/>
      <c r="F304" s="96"/>
      <c r="G304" s="19"/>
      <c r="H304" s="19"/>
      <c r="I304" s="19"/>
      <c r="J304" s="19"/>
    </row>
    <row r="305" spans="5:10" ht="15.75" customHeight="1" x14ac:dyDescent="0.3">
      <c r="E305" s="19"/>
      <c r="F305" s="96"/>
      <c r="G305" s="19"/>
      <c r="H305" s="19"/>
      <c r="I305" s="19"/>
      <c r="J305" s="19"/>
    </row>
    <row r="306" spans="5:10" ht="15.75" customHeight="1" x14ac:dyDescent="0.3">
      <c r="E306" s="19"/>
      <c r="F306" s="96"/>
      <c r="G306" s="19"/>
      <c r="H306" s="19"/>
      <c r="I306" s="19"/>
      <c r="J306" s="19"/>
    </row>
    <row r="307" spans="5:10" ht="15.75" customHeight="1" x14ac:dyDescent="0.3">
      <c r="E307" s="19"/>
      <c r="F307" s="96"/>
      <c r="G307" s="19"/>
      <c r="H307" s="19"/>
      <c r="I307" s="19"/>
      <c r="J307" s="19"/>
    </row>
    <row r="308" spans="5:10" ht="15.75" customHeight="1" x14ac:dyDescent="0.3">
      <c r="E308" s="19"/>
      <c r="F308" s="96"/>
      <c r="G308" s="19"/>
      <c r="H308" s="19"/>
      <c r="I308" s="19"/>
      <c r="J308" s="19"/>
    </row>
    <row r="309" spans="5:10" ht="15.75" customHeight="1" x14ac:dyDescent="0.3">
      <c r="E309" s="19"/>
      <c r="F309" s="96"/>
      <c r="G309" s="19"/>
      <c r="H309" s="19"/>
      <c r="I309" s="19"/>
      <c r="J309" s="19"/>
    </row>
    <row r="310" spans="5:10" ht="15.75" customHeight="1" x14ac:dyDescent="0.3">
      <c r="E310" s="19"/>
      <c r="F310" s="96"/>
      <c r="G310" s="19"/>
      <c r="H310" s="19"/>
      <c r="I310" s="19"/>
      <c r="J310" s="19"/>
    </row>
    <row r="311" spans="5:10" ht="15.75" customHeight="1" x14ac:dyDescent="0.3">
      <c r="E311" s="19"/>
      <c r="F311" s="96"/>
      <c r="G311" s="19"/>
      <c r="H311" s="19"/>
      <c r="I311" s="19"/>
      <c r="J311" s="19"/>
    </row>
    <row r="312" spans="5:10" ht="15.75" customHeight="1" x14ac:dyDescent="0.3">
      <c r="E312" s="19"/>
      <c r="F312" s="96"/>
      <c r="G312" s="19"/>
      <c r="H312" s="19"/>
      <c r="I312" s="19"/>
      <c r="J312" s="19"/>
    </row>
    <row r="313" spans="5:10" ht="15.75" customHeight="1" x14ac:dyDescent="0.3">
      <c r="E313" s="19"/>
      <c r="F313" s="96"/>
      <c r="G313" s="19"/>
      <c r="H313" s="19"/>
      <c r="I313" s="19"/>
      <c r="J313" s="19"/>
    </row>
    <row r="314" spans="5:10" ht="15.75" customHeight="1" x14ac:dyDescent="0.3">
      <c r="E314" s="19"/>
      <c r="F314" s="96"/>
      <c r="G314" s="19"/>
      <c r="H314" s="19"/>
      <c r="I314" s="19"/>
      <c r="J314" s="19"/>
    </row>
    <row r="315" spans="5:10" ht="15.75" customHeight="1" x14ac:dyDescent="0.3">
      <c r="E315" s="19"/>
      <c r="F315" s="96"/>
      <c r="G315" s="19"/>
      <c r="H315" s="19"/>
      <c r="I315" s="19"/>
      <c r="J315" s="19"/>
    </row>
    <row r="316" spans="5:10" ht="15.75" customHeight="1" x14ac:dyDescent="0.3">
      <c r="E316" s="19"/>
      <c r="F316" s="96"/>
      <c r="G316" s="19"/>
      <c r="H316" s="19"/>
      <c r="I316" s="19"/>
      <c r="J316" s="19"/>
    </row>
    <row r="317" spans="5:10" ht="15.75" customHeight="1" x14ac:dyDescent="0.3">
      <c r="E317" s="19"/>
      <c r="F317" s="96"/>
      <c r="G317" s="19"/>
      <c r="H317" s="19"/>
      <c r="I317" s="19"/>
      <c r="J317" s="19"/>
    </row>
    <row r="318" spans="5:10" ht="15.75" customHeight="1" x14ac:dyDescent="0.3">
      <c r="E318" s="19"/>
      <c r="F318" s="96"/>
      <c r="G318" s="19"/>
      <c r="H318" s="19"/>
      <c r="I318" s="19"/>
      <c r="J318" s="19"/>
    </row>
    <row r="319" spans="5:10" ht="15.75" customHeight="1" x14ac:dyDescent="0.3">
      <c r="E319" s="19"/>
      <c r="F319" s="96"/>
      <c r="G319" s="19"/>
      <c r="H319" s="19"/>
      <c r="I319" s="19"/>
      <c r="J319" s="19"/>
    </row>
    <row r="320" spans="5:10" ht="15.75" customHeight="1" x14ac:dyDescent="0.3">
      <c r="E320" s="19"/>
      <c r="F320" s="96"/>
      <c r="G320" s="19"/>
      <c r="H320" s="19"/>
      <c r="I320" s="19"/>
      <c r="J320" s="19"/>
    </row>
    <row r="321" spans="5:10" ht="15.75" customHeight="1" x14ac:dyDescent="0.3">
      <c r="E321" s="19"/>
      <c r="F321" s="96"/>
      <c r="G321" s="19"/>
      <c r="H321" s="19"/>
      <c r="I321" s="19"/>
      <c r="J321" s="19"/>
    </row>
    <row r="322" spans="5:10" ht="15.75" customHeight="1" x14ac:dyDescent="0.3">
      <c r="E322" s="19"/>
      <c r="F322" s="96"/>
      <c r="G322" s="19"/>
      <c r="H322" s="19"/>
      <c r="I322" s="19"/>
      <c r="J322" s="19"/>
    </row>
    <row r="323" spans="5:10" ht="15.75" customHeight="1" x14ac:dyDescent="0.3">
      <c r="E323" s="19"/>
      <c r="F323" s="96"/>
      <c r="G323" s="19"/>
      <c r="H323" s="19"/>
      <c r="I323" s="19"/>
      <c r="J323" s="19"/>
    </row>
    <row r="324" spans="5:10" ht="15.75" customHeight="1" x14ac:dyDescent="0.3">
      <c r="E324" s="19"/>
      <c r="F324" s="96"/>
      <c r="G324" s="19"/>
      <c r="H324" s="19"/>
      <c r="I324" s="19"/>
      <c r="J324" s="19"/>
    </row>
    <row r="325" spans="5:10" ht="15.75" customHeight="1" x14ac:dyDescent="0.3">
      <c r="E325" s="19"/>
      <c r="F325" s="96"/>
      <c r="G325" s="19"/>
      <c r="H325" s="19"/>
      <c r="I325" s="19"/>
      <c r="J325" s="19"/>
    </row>
    <row r="326" spans="5:10" ht="15.75" customHeight="1" x14ac:dyDescent="0.3">
      <c r="E326" s="19"/>
      <c r="F326" s="96"/>
      <c r="G326" s="19"/>
      <c r="H326" s="19"/>
      <c r="I326" s="19"/>
      <c r="J326" s="19"/>
    </row>
    <row r="327" spans="5:10" ht="15.75" customHeight="1" x14ac:dyDescent="0.3">
      <c r="E327" s="19"/>
      <c r="F327" s="96"/>
      <c r="G327" s="19"/>
      <c r="H327" s="19"/>
      <c r="I327" s="19"/>
      <c r="J327" s="19"/>
    </row>
    <row r="328" spans="5:10" ht="15.75" customHeight="1" x14ac:dyDescent="0.3">
      <c r="E328" s="19"/>
      <c r="F328" s="96"/>
      <c r="G328" s="19"/>
      <c r="H328" s="19"/>
      <c r="I328" s="19"/>
      <c r="J328" s="19"/>
    </row>
    <row r="329" spans="5:10" ht="15.75" customHeight="1" x14ac:dyDescent="0.3">
      <c r="E329" s="19"/>
      <c r="F329" s="96"/>
      <c r="G329" s="19"/>
      <c r="H329" s="19"/>
      <c r="I329" s="19"/>
      <c r="J329" s="19"/>
    </row>
    <row r="330" spans="5:10" ht="15.75" customHeight="1" x14ac:dyDescent="0.3">
      <c r="E330" s="19"/>
      <c r="F330" s="96"/>
      <c r="G330" s="19"/>
      <c r="H330" s="19"/>
      <c r="I330" s="19"/>
      <c r="J330" s="19"/>
    </row>
    <row r="331" spans="5:10" ht="15.75" customHeight="1" x14ac:dyDescent="0.3">
      <c r="E331" s="19"/>
      <c r="F331" s="96"/>
      <c r="G331" s="19"/>
      <c r="H331" s="19"/>
      <c r="I331" s="19"/>
      <c r="J331" s="19"/>
    </row>
    <row r="332" spans="5:10" ht="15.75" customHeight="1" x14ac:dyDescent="0.3">
      <c r="E332" s="19"/>
      <c r="F332" s="96"/>
      <c r="G332" s="19"/>
      <c r="H332" s="19"/>
      <c r="I332" s="19"/>
      <c r="J332" s="19"/>
    </row>
    <row r="333" spans="5:10" ht="15.75" customHeight="1" x14ac:dyDescent="0.3">
      <c r="E333" s="19"/>
      <c r="F333" s="96"/>
      <c r="G333" s="19"/>
      <c r="H333" s="19"/>
      <c r="I333" s="19"/>
      <c r="J333" s="19"/>
    </row>
    <row r="334" spans="5:10" ht="15.75" customHeight="1" x14ac:dyDescent="0.3">
      <c r="E334" s="19"/>
      <c r="F334" s="96"/>
      <c r="G334" s="19"/>
      <c r="H334" s="19"/>
      <c r="I334" s="19"/>
      <c r="J334" s="19"/>
    </row>
    <row r="335" spans="5:10" ht="15.75" customHeight="1" x14ac:dyDescent="0.3">
      <c r="E335" s="19"/>
      <c r="F335" s="96"/>
      <c r="G335" s="19"/>
      <c r="H335" s="19"/>
      <c r="I335" s="19"/>
      <c r="J335" s="19"/>
    </row>
    <row r="336" spans="5:10" ht="15.75" customHeight="1" x14ac:dyDescent="0.3">
      <c r="E336" s="19"/>
      <c r="F336" s="96"/>
      <c r="G336" s="19"/>
      <c r="H336" s="19"/>
      <c r="I336" s="19"/>
      <c r="J336" s="19"/>
    </row>
    <row r="337" spans="5:10" ht="15.75" customHeight="1" x14ac:dyDescent="0.3">
      <c r="E337" s="19"/>
      <c r="F337" s="96"/>
      <c r="G337" s="19"/>
      <c r="H337" s="19"/>
      <c r="I337" s="19"/>
      <c r="J337" s="19"/>
    </row>
    <row r="338" spans="5:10" ht="15.75" customHeight="1" x14ac:dyDescent="0.3">
      <c r="E338" s="19"/>
      <c r="F338" s="96"/>
      <c r="G338" s="19"/>
      <c r="H338" s="19"/>
      <c r="I338" s="19"/>
      <c r="J338" s="19"/>
    </row>
    <row r="339" spans="5:10" ht="15.75" customHeight="1" x14ac:dyDescent="0.3">
      <c r="E339" s="19"/>
      <c r="F339" s="96"/>
      <c r="G339" s="19"/>
      <c r="H339" s="19"/>
      <c r="I339" s="19"/>
      <c r="J339" s="19"/>
    </row>
    <row r="340" spans="5:10" ht="15.75" customHeight="1" x14ac:dyDescent="0.3">
      <c r="E340" s="19"/>
      <c r="F340" s="96"/>
      <c r="G340" s="19"/>
      <c r="H340" s="19"/>
      <c r="I340" s="19"/>
      <c r="J340" s="19"/>
    </row>
    <row r="341" spans="5:10" ht="15.75" customHeight="1" x14ac:dyDescent="0.3">
      <c r="E341" s="19"/>
      <c r="F341" s="96"/>
      <c r="G341" s="19"/>
      <c r="H341" s="19"/>
      <c r="I341" s="19"/>
      <c r="J341" s="19"/>
    </row>
    <row r="342" spans="5:10" ht="15.75" customHeight="1" x14ac:dyDescent="0.3">
      <c r="E342" s="19"/>
      <c r="F342" s="96"/>
      <c r="G342" s="19"/>
      <c r="H342" s="19"/>
      <c r="I342" s="19"/>
      <c r="J342" s="19"/>
    </row>
    <row r="343" spans="5:10" ht="15.75" customHeight="1" x14ac:dyDescent="0.3">
      <c r="E343" s="19"/>
      <c r="F343" s="96"/>
      <c r="G343" s="19"/>
      <c r="H343" s="19"/>
      <c r="I343" s="19"/>
      <c r="J343" s="19"/>
    </row>
    <row r="344" spans="5:10" ht="15.75" customHeight="1" x14ac:dyDescent="0.3">
      <c r="E344" s="19"/>
      <c r="F344" s="96"/>
      <c r="G344" s="19"/>
      <c r="H344" s="19"/>
      <c r="I344" s="19"/>
      <c r="J344" s="19"/>
    </row>
    <row r="345" spans="5:10" ht="15.75" customHeight="1" x14ac:dyDescent="0.3">
      <c r="E345" s="19"/>
      <c r="F345" s="96"/>
      <c r="G345" s="19"/>
      <c r="H345" s="19"/>
      <c r="I345" s="19"/>
      <c r="J345" s="19"/>
    </row>
    <row r="346" spans="5:10" ht="15.75" customHeight="1" x14ac:dyDescent="0.3">
      <c r="E346" s="19"/>
      <c r="F346" s="96"/>
      <c r="G346" s="19"/>
      <c r="H346" s="19"/>
      <c r="I346" s="19"/>
      <c r="J346" s="19"/>
    </row>
    <row r="347" spans="5:10" ht="15.75" customHeight="1" x14ac:dyDescent="0.3">
      <c r="E347" s="19"/>
      <c r="F347" s="96"/>
      <c r="G347" s="19"/>
      <c r="H347" s="19"/>
      <c r="I347" s="19"/>
      <c r="J347" s="19"/>
    </row>
    <row r="348" spans="5:10" ht="15.75" customHeight="1" x14ac:dyDescent="0.3">
      <c r="E348" s="19"/>
      <c r="F348" s="96"/>
      <c r="G348" s="19"/>
      <c r="H348" s="19"/>
      <c r="I348" s="19"/>
      <c r="J348" s="19"/>
    </row>
    <row r="349" spans="5:10" ht="15.75" customHeight="1" x14ac:dyDescent="0.3">
      <c r="E349" s="19"/>
      <c r="F349" s="96"/>
      <c r="G349" s="19"/>
      <c r="H349" s="19"/>
      <c r="I349" s="19"/>
      <c r="J349" s="19"/>
    </row>
    <row r="350" spans="5:10" ht="15.75" customHeight="1" x14ac:dyDescent="0.3">
      <c r="E350" s="19"/>
      <c r="F350" s="96"/>
      <c r="G350" s="19"/>
      <c r="H350" s="19"/>
      <c r="I350" s="19"/>
      <c r="J350" s="19"/>
    </row>
    <row r="351" spans="5:10" ht="15.75" customHeight="1" x14ac:dyDescent="0.3">
      <c r="E351" s="19"/>
      <c r="F351" s="96"/>
      <c r="G351" s="19"/>
      <c r="H351" s="19"/>
      <c r="I351" s="19"/>
      <c r="J351" s="19"/>
    </row>
    <row r="352" spans="5:10" ht="15.75" customHeight="1" x14ac:dyDescent="0.3">
      <c r="E352" s="19"/>
      <c r="F352" s="96"/>
      <c r="G352" s="19"/>
      <c r="H352" s="19"/>
      <c r="I352" s="19"/>
      <c r="J352" s="19"/>
    </row>
    <row r="353" spans="5:10" ht="15.75" customHeight="1" x14ac:dyDescent="0.3">
      <c r="E353" s="19"/>
      <c r="F353" s="96"/>
      <c r="G353" s="19"/>
      <c r="H353" s="19"/>
      <c r="I353" s="19"/>
      <c r="J353" s="19"/>
    </row>
    <row r="354" spans="5:10" ht="15.75" customHeight="1" x14ac:dyDescent="0.3">
      <c r="E354" s="19"/>
      <c r="F354" s="96"/>
      <c r="G354" s="19"/>
      <c r="H354" s="19"/>
      <c r="I354" s="19"/>
      <c r="J354" s="19"/>
    </row>
    <row r="355" spans="5:10" ht="15.75" customHeight="1" x14ac:dyDescent="0.3">
      <c r="E355" s="19"/>
      <c r="F355" s="96"/>
      <c r="G355" s="19"/>
      <c r="H355" s="19"/>
      <c r="I355" s="19"/>
      <c r="J355" s="19"/>
    </row>
    <row r="356" spans="5:10" ht="15.75" customHeight="1" x14ac:dyDescent="0.3">
      <c r="E356" s="19"/>
      <c r="F356" s="96"/>
      <c r="G356" s="19"/>
      <c r="H356" s="19"/>
      <c r="I356" s="19"/>
      <c r="J356" s="19"/>
    </row>
    <row r="357" spans="5:10" ht="15.75" customHeight="1" x14ac:dyDescent="0.3">
      <c r="E357" s="19"/>
      <c r="F357" s="96"/>
      <c r="G357" s="19"/>
      <c r="H357" s="19"/>
      <c r="I357" s="19"/>
      <c r="J357" s="19"/>
    </row>
    <row r="358" spans="5:10" ht="15.75" customHeight="1" x14ac:dyDescent="0.3">
      <c r="E358" s="19"/>
      <c r="F358" s="96"/>
      <c r="G358" s="19"/>
      <c r="H358" s="19"/>
      <c r="I358" s="19"/>
      <c r="J358" s="19"/>
    </row>
    <row r="359" spans="5:10" ht="15.75" customHeight="1" x14ac:dyDescent="0.3">
      <c r="E359" s="19"/>
      <c r="F359" s="96"/>
      <c r="G359" s="19"/>
      <c r="H359" s="19"/>
      <c r="I359" s="19"/>
      <c r="J359" s="19"/>
    </row>
    <row r="360" spans="5:10" ht="15.75" customHeight="1" x14ac:dyDescent="0.3">
      <c r="E360" s="19"/>
      <c r="F360" s="96"/>
      <c r="G360" s="19"/>
      <c r="H360" s="19"/>
      <c r="I360" s="19"/>
      <c r="J360" s="19"/>
    </row>
    <row r="361" spans="5:10" ht="15.75" customHeight="1" x14ac:dyDescent="0.3">
      <c r="E361" s="19"/>
      <c r="F361" s="96"/>
      <c r="G361" s="19"/>
      <c r="H361" s="19"/>
      <c r="I361" s="19"/>
      <c r="J361" s="19"/>
    </row>
    <row r="362" spans="5:10" ht="15.75" customHeight="1" x14ac:dyDescent="0.3">
      <c r="E362" s="19"/>
      <c r="F362" s="96"/>
      <c r="G362" s="19"/>
      <c r="H362" s="19"/>
      <c r="I362" s="19"/>
      <c r="J362" s="19"/>
    </row>
    <row r="363" spans="5:10" ht="15.75" customHeight="1" x14ac:dyDescent="0.3">
      <c r="E363" s="19"/>
      <c r="F363" s="96"/>
      <c r="G363" s="19"/>
      <c r="H363" s="19"/>
      <c r="I363" s="19"/>
      <c r="J363" s="19"/>
    </row>
    <row r="364" spans="5:10" ht="15.75" customHeight="1" x14ac:dyDescent="0.3">
      <c r="E364" s="19"/>
      <c r="F364" s="96"/>
      <c r="G364" s="19"/>
      <c r="H364" s="19"/>
      <c r="I364" s="19"/>
      <c r="J364" s="19"/>
    </row>
    <row r="365" spans="5:10" ht="15.75" customHeight="1" x14ac:dyDescent="0.3">
      <c r="E365" s="19"/>
      <c r="F365" s="96"/>
      <c r="G365" s="19"/>
      <c r="H365" s="19"/>
      <c r="I365" s="19"/>
      <c r="J365" s="19"/>
    </row>
    <row r="366" spans="5:10" ht="15.75" customHeight="1" x14ac:dyDescent="0.3">
      <c r="E366" s="19"/>
      <c r="F366" s="96"/>
      <c r="G366" s="19"/>
      <c r="H366" s="19"/>
      <c r="I366" s="19"/>
      <c r="J366" s="19"/>
    </row>
    <row r="367" spans="5:10" ht="15.75" customHeight="1" x14ac:dyDescent="0.3">
      <c r="E367" s="19"/>
      <c r="F367" s="96"/>
      <c r="G367" s="19"/>
      <c r="H367" s="19"/>
      <c r="I367" s="19"/>
      <c r="J367" s="19"/>
    </row>
    <row r="368" spans="5:10" ht="15.75" customHeight="1" x14ac:dyDescent="0.3">
      <c r="E368" s="19"/>
      <c r="F368" s="96"/>
      <c r="G368" s="19"/>
      <c r="H368" s="19"/>
      <c r="I368" s="19"/>
      <c r="J368" s="19"/>
    </row>
    <row r="369" spans="5:10" ht="15.75" customHeight="1" x14ac:dyDescent="0.3">
      <c r="E369" s="19"/>
      <c r="F369" s="96"/>
      <c r="G369" s="19"/>
      <c r="H369" s="19"/>
      <c r="I369" s="19"/>
      <c r="J369" s="19"/>
    </row>
    <row r="370" spans="5:10" ht="15.75" customHeight="1" x14ac:dyDescent="0.3">
      <c r="E370" s="19"/>
      <c r="F370" s="96"/>
      <c r="G370" s="19"/>
      <c r="H370" s="19"/>
      <c r="I370" s="19"/>
      <c r="J370" s="19"/>
    </row>
    <row r="371" spans="5:10" ht="15.75" customHeight="1" x14ac:dyDescent="0.3">
      <c r="E371" s="19"/>
      <c r="F371" s="96"/>
      <c r="G371" s="19"/>
      <c r="H371" s="19"/>
      <c r="I371" s="19"/>
      <c r="J371" s="19"/>
    </row>
    <row r="372" spans="5:10" ht="15.75" customHeight="1" x14ac:dyDescent="0.3">
      <c r="E372" s="19"/>
      <c r="F372" s="96"/>
      <c r="G372" s="19"/>
      <c r="H372" s="19"/>
      <c r="I372" s="19"/>
      <c r="J372" s="19"/>
    </row>
    <row r="373" spans="5:10" ht="15.75" customHeight="1" x14ac:dyDescent="0.3">
      <c r="E373" s="19"/>
      <c r="F373" s="96"/>
      <c r="G373" s="19"/>
      <c r="H373" s="19"/>
      <c r="I373" s="19"/>
      <c r="J373" s="19"/>
    </row>
    <row r="374" spans="5:10" ht="15.75" customHeight="1" x14ac:dyDescent="0.3">
      <c r="E374" s="19"/>
      <c r="F374" s="96"/>
      <c r="G374" s="19"/>
      <c r="H374" s="19"/>
      <c r="I374" s="19"/>
      <c r="J374" s="19"/>
    </row>
    <row r="375" spans="5:10" ht="15.75" customHeight="1" x14ac:dyDescent="0.3">
      <c r="E375" s="19"/>
      <c r="F375" s="96"/>
      <c r="G375" s="19"/>
      <c r="H375" s="19"/>
      <c r="I375" s="19"/>
      <c r="J375" s="19"/>
    </row>
    <row r="376" spans="5:10" ht="15.75" customHeight="1" x14ac:dyDescent="0.3">
      <c r="E376" s="19"/>
      <c r="F376" s="96"/>
      <c r="G376" s="19"/>
      <c r="H376" s="19"/>
      <c r="I376" s="19"/>
      <c r="J376" s="19"/>
    </row>
    <row r="377" spans="5:10" ht="15.75" customHeight="1" x14ac:dyDescent="0.3">
      <c r="E377" s="19"/>
      <c r="F377" s="96"/>
      <c r="G377" s="19"/>
      <c r="H377" s="19"/>
      <c r="I377" s="19"/>
      <c r="J377" s="19"/>
    </row>
    <row r="378" spans="5:10" ht="15.75" customHeight="1" x14ac:dyDescent="0.3">
      <c r="E378" s="19"/>
      <c r="F378" s="96"/>
      <c r="G378" s="19"/>
      <c r="H378" s="19"/>
      <c r="I378" s="19"/>
      <c r="J378" s="19"/>
    </row>
    <row r="379" spans="5:10" ht="15.75" customHeight="1" x14ac:dyDescent="0.3">
      <c r="E379" s="19"/>
      <c r="F379" s="96"/>
      <c r="G379" s="19"/>
      <c r="H379" s="19"/>
      <c r="I379" s="19"/>
      <c r="J379" s="19"/>
    </row>
    <row r="380" spans="5:10" ht="15.75" customHeight="1" x14ac:dyDescent="0.3">
      <c r="E380" s="19"/>
      <c r="F380" s="96"/>
      <c r="G380" s="19"/>
      <c r="H380" s="19"/>
      <c r="I380" s="19"/>
      <c r="J380" s="19"/>
    </row>
    <row r="381" spans="5:10" ht="15.75" customHeight="1" x14ac:dyDescent="0.3">
      <c r="E381" s="19"/>
      <c r="F381" s="96"/>
      <c r="G381" s="19"/>
      <c r="H381" s="19"/>
      <c r="I381" s="19"/>
      <c r="J381" s="19"/>
    </row>
    <row r="382" spans="5:10" ht="15.75" customHeight="1" x14ac:dyDescent="0.3">
      <c r="E382" s="19"/>
      <c r="F382" s="96"/>
      <c r="G382" s="19"/>
      <c r="H382" s="19"/>
      <c r="I382" s="19"/>
      <c r="J382" s="19"/>
    </row>
    <row r="383" spans="5:10" ht="15.75" customHeight="1" x14ac:dyDescent="0.3">
      <c r="E383" s="19"/>
      <c r="F383" s="96"/>
      <c r="G383" s="19"/>
      <c r="H383" s="19"/>
      <c r="I383" s="19"/>
      <c r="J383" s="19"/>
    </row>
    <row r="384" spans="5:10" ht="15.75" customHeight="1" x14ac:dyDescent="0.3">
      <c r="E384" s="19"/>
      <c r="F384" s="96"/>
      <c r="G384" s="19"/>
      <c r="H384" s="19"/>
      <c r="I384" s="19"/>
      <c r="J384" s="19"/>
    </row>
    <row r="385" spans="5:10" ht="15.75" customHeight="1" x14ac:dyDescent="0.3">
      <c r="E385" s="19"/>
      <c r="F385" s="96"/>
      <c r="G385" s="19"/>
      <c r="H385" s="19"/>
      <c r="I385" s="19"/>
      <c r="J385" s="19"/>
    </row>
    <row r="386" spans="5:10" ht="15.75" customHeight="1" x14ac:dyDescent="0.3">
      <c r="E386" s="19"/>
      <c r="F386" s="96"/>
      <c r="G386" s="19"/>
      <c r="H386" s="19"/>
      <c r="I386" s="19"/>
      <c r="J386" s="19"/>
    </row>
    <row r="387" spans="5:10" ht="15.75" customHeight="1" x14ac:dyDescent="0.3">
      <c r="E387" s="19"/>
      <c r="F387" s="96"/>
      <c r="G387" s="19"/>
      <c r="H387" s="19"/>
      <c r="I387" s="19"/>
      <c r="J387" s="19"/>
    </row>
    <row r="388" spans="5:10" ht="15.75" customHeight="1" x14ac:dyDescent="0.3">
      <c r="E388" s="19"/>
      <c r="F388" s="96"/>
      <c r="G388" s="19"/>
      <c r="H388" s="19"/>
      <c r="I388" s="19"/>
      <c r="J388" s="19"/>
    </row>
    <row r="389" spans="5:10" ht="15.75" customHeight="1" x14ac:dyDescent="0.3">
      <c r="E389" s="19"/>
      <c r="F389" s="96"/>
      <c r="G389" s="19"/>
      <c r="H389" s="19"/>
      <c r="I389" s="19"/>
      <c r="J389" s="19"/>
    </row>
    <row r="390" spans="5:10" ht="15.75" customHeight="1" x14ac:dyDescent="0.3">
      <c r="E390" s="19"/>
      <c r="F390" s="96"/>
      <c r="G390" s="19"/>
      <c r="H390" s="19"/>
      <c r="I390" s="19"/>
      <c r="J390" s="19"/>
    </row>
    <row r="391" spans="5:10" ht="15.75" customHeight="1" x14ac:dyDescent="0.3">
      <c r="E391" s="19"/>
      <c r="F391" s="96"/>
      <c r="G391" s="19"/>
      <c r="H391" s="19"/>
      <c r="I391" s="19"/>
      <c r="J391" s="19"/>
    </row>
    <row r="392" spans="5:10" ht="15.75" customHeight="1" x14ac:dyDescent="0.3">
      <c r="E392" s="19"/>
      <c r="F392" s="96"/>
      <c r="G392" s="19"/>
      <c r="H392" s="19"/>
      <c r="I392" s="19"/>
      <c r="J392" s="19"/>
    </row>
    <row r="393" spans="5:10" ht="15.75" customHeight="1" x14ac:dyDescent="0.3">
      <c r="E393" s="19"/>
      <c r="F393" s="96"/>
      <c r="G393" s="19"/>
      <c r="H393" s="19"/>
      <c r="I393" s="19"/>
      <c r="J393" s="19"/>
    </row>
    <row r="394" spans="5:10" ht="15.75" customHeight="1" x14ac:dyDescent="0.3">
      <c r="E394" s="19"/>
      <c r="F394" s="96"/>
      <c r="G394" s="19"/>
      <c r="H394" s="19"/>
      <c r="I394" s="19"/>
      <c r="J394" s="19"/>
    </row>
    <row r="395" spans="5:10" ht="15.75" customHeight="1" x14ac:dyDescent="0.3">
      <c r="E395" s="19"/>
      <c r="F395" s="96"/>
      <c r="G395" s="19"/>
      <c r="H395" s="19"/>
      <c r="I395" s="19"/>
      <c r="J395" s="19"/>
    </row>
    <row r="396" spans="5:10" ht="15.75" customHeight="1" x14ac:dyDescent="0.3">
      <c r="E396" s="19"/>
      <c r="F396" s="96"/>
      <c r="G396" s="19"/>
      <c r="H396" s="19"/>
      <c r="I396" s="19"/>
      <c r="J396" s="19"/>
    </row>
    <row r="397" spans="5:10" ht="15.75" customHeight="1" x14ac:dyDescent="0.3">
      <c r="E397" s="19"/>
      <c r="F397" s="96"/>
      <c r="G397" s="19"/>
      <c r="H397" s="19"/>
      <c r="I397" s="19"/>
      <c r="J397" s="19"/>
    </row>
    <row r="398" spans="5:10" ht="15.75" customHeight="1" x14ac:dyDescent="0.3">
      <c r="E398" s="19"/>
      <c r="F398" s="96"/>
      <c r="G398" s="19"/>
      <c r="H398" s="19"/>
      <c r="I398" s="19"/>
      <c r="J398" s="19"/>
    </row>
    <row r="399" spans="5:10" ht="15.75" customHeight="1" x14ac:dyDescent="0.3">
      <c r="E399" s="19"/>
      <c r="F399" s="96"/>
      <c r="G399" s="19"/>
      <c r="H399" s="19"/>
      <c r="I399" s="19"/>
      <c r="J399" s="19"/>
    </row>
    <row r="400" spans="5:10" ht="15.75" customHeight="1" x14ac:dyDescent="0.3">
      <c r="E400" s="19"/>
      <c r="F400" s="96"/>
      <c r="G400" s="19"/>
      <c r="H400" s="19"/>
      <c r="I400" s="19"/>
      <c r="J400" s="19"/>
    </row>
    <row r="401" spans="5:10" ht="15.75" customHeight="1" x14ac:dyDescent="0.3">
      <c r="E401" s="19"/>
      <c r="F401" s="96"/>
      <c r="G401" s="19"/>
      <c r="H401" s="19"/>
      <c r="I401" s="19"/>
      <c r="J401" s="19"/>
    </row>
    <row r="402" spans="5:10" ht="15.75" customHeight="1" x14ac:dyDescent="0.3">
      <c r="E402" s="19"/>
      <c r="F402" s="96"/>
      <c r="G402" s="19"/>
      <c r="H402" s="19"/>
      <c r="I402" s="19"/>
      <c r="J402" s="19"/>
    </row>
    <row r="403" spans="5:10" ht="15.75" customHeight="1" x14ac:dyDescent="0.3">
      <c r="E403" s="19"/>
      <c r="F403" s="96"/>
      <c r="G403" s="19"/>
      <c r="H403" s="19"/>
      <c r="I403" s="19"/>
      <c r="J403" s="19"/>
    </row>
    <row r="404" spans="5:10" ht="15.75" customHeight="1" x14ac:dyDescent="0.3">
      <c r="E404" s="19"/>
      <c r="F404" s="96"/>
      <c r="G404" s="19"/>
      <c r="H404" s="19"/>
      <c r="I404" s="19"/>
      <c r="J404" s="19"/>
    </row>
    <row r="405" spans="5:10" ht="15.75" customHeight="1" x14ac:dyDescent="0.3">
      <c r="E405" s="19"/>
      <c r="F405" s="96"/>
      <c r="G405" s="19"/>
      <c r="H405" s="19"/>
      <c r="I405" s="19"/>
      <c r="J405" s="19"/>
    </row>
    <row r="406" spans="5:10" ht="15.75" customHeight="1" x14ac:dyDescent="0.3">
      <c r="E406" s="19"/>
      <c r="F406" s="96"/>
      <c r="G406" s="19"/>
      <c r="H406" s="19"/>
      <c r="I406" s="19"/>
      <c r="J406" s="19"/>
    </row>
    <row r="407" spans="5:10" ht="15.75" customHeight="1" x14ac:dyDescent="0.3">
      <c r="E407" s="19"/>
      <c r="F407" s="96"/>
      <c r="G407" s="19"/>
      <c r="H407" s="19"/>
      <c r="I407" s="19"/>
      <c r="J407" s="19"/>
    </row>
    <row r="408" spans="5:10" ht="15.75" customHeight="1" x14ac:dyDescent="0.3">
      <c r="E408" s="19"/>
      <c r="F408" s="96"/>
      <c r="G408" s="19"/>
      <c r="H408" s="19"/>
      <c r="I408" s="19"/>
      <c r="J408" s="19"/>
    </row>
    <row r="409" spans="5:10" ht="15.75" customHeight="1" x14ac:dyDescent="0.3">
      <c r="E409" s="19"/>
      <c r="F409" s="96"/>
      <c r="G409" s="19"/>
      <c r="H409" s="19"/>
      <c r="I409" s="19"/>
      <c r="J409" s="19"/>
    </row>
    <row r="410" spans="5:10" ht="15.75" customHeight="1" x14ac:dyDescent="0.3">
      <c r="E410" s="19"/>
      <c r="F410" s="96"/>
      <c r="G410" s="19"/>
      <c r="H410" s="19"/>
      <c r="I410" s="19"/>
      <c r="J410" s="19"/>
    </row>
    <row r="411" spans="5:10" ht="15.75" customHeight="1" x14ac:dyDescent="0.3">
      <c r="E411" s="19"/>
      <c r="F411" s="96"/>
      <c r="G411" s="19"/>
      <c r="H411" s="19"/>
      <c r="I411" s="19"/>
      <c r="J411" s="19"/>
    </row>
    <row r="412" spans="5:10" ht="15.75" customHeight="1" x14ac:dyDescent="0.3">
      <c r="E412" s="19"/>
      <c r="F412" s="96"/>
      <c r="G412" s="19"/>
      <c r="H412" s="19"/>
      <c r="I412" s="19"/>
      <c r="J412" s="19"/>
    </row>
    <row r="413" spans="5:10" ht="15.75" customHeight="1" x14ac:dyDescent="0.3">
      <c r="E413" s="19"/>
      <c r="F413" s="96"/>
      <c r="G413" s="19"/>
      <c r="H413" s="19"/>
      <c r="I413" s="19"/>
      <c r="J413" s="19"/>
    </row>
    <row r="414" spans="5:10" ht="15.75" customHeight="1" x14ac:dyDescent="0.3">
      <c r="E414" s="19"/>
      <c r="F414" s="96"/>
      <c r="G414" s="19"/>
      <c r="H414" s="19"/>
      <c r="I414" s="19"/>
      <c r="J414" s="19"/>
    </row>
    <row r="415" spans="5:10" ht="15.75" customHeight="1" x14ac:dyDescent="0.3">
      <c r="E415" s="19"/>
      <c r="F415" s="96"/>
      <c r="G415" s="19"/>
      <c r="H415" s="19"/>
      <c r="I415" s="19"/>
      <c r="J415" s="19"/>
    </row>
    <row r="416" spans="5:10" ht="15.75" customHeight="1" x14ac:dyDescent="0.3">
      <c r="E416" s="19"/>
      <c r="F416" s="96"/>
      <c r="G416" s="19"/>
      <c r="H416" s="19"/>
      <c r="I416" s="19"/>
      <c r="J416" s="19"/>
    </row>
    <row r="417" spans="5:10" ht="15.75" customHeight="1" x14ac:dyDescent="0.3">
      <c r="E417" s="19"/>
      <c r="F417" s="96"/>
      <c r="G417" s="19"/>
      <c r="H417" s="19"/>
      <c r="I417" s="19"/>
      <c r="J417" s="19"/>
    </row>
    <row r="418" spans="5:10" ht="15.75" customHeight="1" x14ac:dyDescent="0.3">
      <c r="E418" s="19"/>
      <c r="F418" s="96"/>
      <c r="G418" s="19"/>
      <c r="H418" s="19"/>
      <c r="I418" s="19"/>
      <c r="J418" s="19"/>
    </row>
    <row r="419" spans="5:10" ht="15.75" customHeight="1" x14ac:dyDescent="0.3">
      <c r="E419" s="19"/>
      <c r="F419" s="96"/>
      <c r="G419" s="19"/>
      <c r="H419" s="19"/>
      <c r="I419" s="19"/>
      <c r="J419" s="19"/>
    </row>
    <row r="420" spans="5:10" ht="15.75" customHeight="1" x14ac:dyDescent="0.3">
      <c r="E420" s="19"/>
      <c r="F420" s="96"/>
      <c r="G420" s="19"/>
      <c r="H420" s="19"/>
      <c r="I420" s="19"/>
      <c r="J420" s="19"/>
    </row>
    <row r="421" spans="5:10" ht="15.75" customHeight="1" x14ac:dyDescent="0.3">
      <c r="E421" s="19"/>
      <c r="F421" s="96"/>
      <c r="G421" s="19"/>
      <c r="H421" s="19"/>
      <c r="I421" s="19"/>
      <c r="J421" s="19"/>
    </row>
    <row r="422" spans="5:10" ht="15.75" customHeight="1" x14ac:dyDescent="0.3">
      <c r="E422" s="19"/>
      <c r="F422" s="96"/>
      <c r="G422" s="19"/>
      <c r="H422" s="19"/>
      <c r="I422" s="19"/>
      <c r="J422" s="19"/>
    </row>
    <row r="423" spans="5:10" ht="15.75" customHeight="1" x14ac:dyDescent="0.3">
      <c r="E423" s="19"/>
      <c r="F423" s="96"/>
      <c r="G423" s="19"/>
      <c r="H423" s="19"/>
      <c r="I423" s="19"/>
      <c r="J423" s="19"/>
    </row>
    <row r="424" spans="5:10" ht="15.75" customHeight="1" x14ac:dyDescent="0.3">
      <c r="E424" s="19"/>
      <c r="F424" s="96"/>
      <c r="G424" s="19"/>
      <c r="H424" s="19"/>
      <c r="I424" s="19"/>
      <c r="J424" s="19"/>
    </row>
    <row r="425" spans="5:10" ht="15.75" customHeight="1" x14ac:dyDescent="0.3">
      <c r="E425" s="19"/>
      <c r="F425" s="96"/>
      <c r="G425" s="19"/>
      <c r="H425" s="19"/>
      <c r="I425" s="19"/>
      <c r="J425" s="19"/>
    </row>
    <row r="426" spans="5:10" ht="15.75" customHeight="1" x14ac:dyDescent="0.3">
      <c r="E426" s="19"/>
      <c r="F426" s="96"/>
      <c r="G426" s="19"/>
      <c r="H426" s="19"/>
      <c r="I426" s="19"/>
      <c r="J426" s="19"/>
    </row>
    <row r="427" spans="5:10" ht="15.75" customHeight="1" x14ac:dyDescent="0.3">
      <c r="E427" s="19"/>
      <c r="F427" s="96"/>
      <c r="G427" s="19"/>
      <c r="H427" s="19"/>
      <c r="I427" s="19"/>
      <c r="J427" s="19"/>
    </row>
    <row r="428" spans="5:10" ht="15.75" customHeight="1" x14ac:dyDescent="0.3">
      <c r="E428" s="19"/>
      <c r="F428" s="96"/>
      <c r="G428" s="19"/>
      <c r="H428" s="19"/>
      <c r="I428" s="19"/>
      <c r="J428" s="19"/>
    </row>
    <row r="429" spans="5:10" ht="15.75" customHeight="1" x14ac:dyDescent="0.3">
      <c r="E429" s="19"/>
      <c r="F429" s="96"/>
      <c r="G429" s="19"/>
      <c r="H429" s="19"/>
      <c r="I429" s="19"/>
      <c r="J429" s="19"/>
    </row>
    <row r="430" spans="5:10" ht="15.75" customHeight="1" x14ac:dyDescent="0.3">
      <c r="E430" s="19"/>
      <c r="F430" s="96"/>
      <c r="G430" s="19"/>
      <c r="H430" s="19"/>
      <c r="I430" s="19"/>
      <c r="J430" s="19"/>
    </row>
    <row r="431" spans="5:10" ht="15.75" customHeight="1" x14ac:dyDescent="0.3">
      <c r="E431" s="19"/>
      <c r="F431" s="96"/>
      <c r="G431" s="19"/>
      <c r="H431" s="19"/>
      <c r="I431" s="19"/>
      <c r="J431" s="19"/>
    </row>
    <row r="432" spans="5:10" ht="15.75" customHeight="1" x14ac:dyDescent="0.3">
      <c r="E432" s="19"/>
      <c r="F432" s="96"/>
      <c r="G432" s="19"/>
      <c r="H432" s="19"/>
      <c r="I432" s="19"/>
      <c r="J432" s="19"/>
    </row>
    <row r="433" spans="5:10" ht="15.75" customHeight="1" x14ac:dyDescent="0.3">
      <c r="E433" s="19"/>
      <c r="F433" s="96"/>
      <c r="G433" s="19"/>
      <c r="H433" s="19"/>
      <c r="I433" s="19"/>
      <c r="J433" s="19"/>
    </row>
    <row r="434" spans="5:10" ht="15.75" customHeight="1" x14ac:dyDescent="0.3">
      <c r="E434" s="19"/>
      <c r="F434" s="96"/>
      <c r="G434" s="19"/>
      <c r="H434" s="19"/>
      <c r="I434" s="19"/>
      <c r="J434" s="19"/>
    </row>
    <row r="435" spans="5:10" ht="15.75" customHeight="1" x14ac:dyDescent="0.3">
      <c r="E435" s="19"/>
      <c r="F435" s="96"/>
      <c r="G435" s="19"/>
      <c r="H435" s="19"/>
      <c r="I435" s="19"/>
      <c r="J435" s="19"/>
    </row>
    <row r="436" spans="5:10" ht="15.75" customHeight="1" x14ac:dyDescent="0.3">
      <c r="E436" s="19"/>
      <c r="F436" s="96"/>
      <c r="G436" s="19"/>
      <c r="H436" s="19"/>
      <c r="I436" s="19"/>
      <c r="J436" s="19"/>
    </row>
    <row r="437" spans="5:10" ht="15.75" customHeight="1" x14ac:dyDescent="0.3">
      <c r="E437" s="19"/>
      <c r="F437" s="96"/>
      <c r="G437" s="19"/>
      <c r="H437" s="19"/>
      <c r="I437" s="19"/>
      <c r="J437" s="19"/>
    </row>
    <row r="438" spans="5:10" ht="15.75" customHeight="1" x14ac:dyDescent="0.3">
      <c r="E438" s="19"/>
      <c r="F438" s="96"/>
      <c r="G438" s="19"/>
      <c r="H438" s="19"/>
      <c r="I438" s="19"/>
      <c r="J438" s="19"/>
    </row>
    <row r="439" spans="5:10" ht="15.75" customHeight="1" x14ac:dyDescent="0.3">
      <c r="E439" s="19"/>
      <c r="F439" s="96"/>
      <c r="G439" s="19"/>
      <c r="H439" s="19"/>
      <c r="I439" s="19"/>
      <c r="J439" s="19"/>
    </row>
    <row r="440" spans="5:10" ht="15.75" customHeight="1" x14ac:dyDescent="0.3">
      <c r="E440" s="19"/>
      <c r="F440" s="96"/>
      <c r="G440" s="19"/>
      <c r="H440" s="19"/>
      <c r="I440" s="19"/>
      <c r="J440" s="19"/>
    </row>
    <row r="441" spans="5:10" ht="15.75" customHeight="1" x14ac:dyDescent="0.3">
      <c r="E441" s="19"/>
      <c r="F441" s="96"/>
      <c r="G441" s="19"/>
      <c r="H441" s="19"/>
      <c r="I441" s="19"/>
      <c r="J441" s="19"/>
    </row>
    <row r="442" spans="5:10" ht="15.75" customHeight="1" x14ac:dyDescent="0.3">
      <c r="E442" s="19"/>
      <c r="F442" s="96"/>
      <c r="G442" s="19"/>
      <c r="H442" s="19"/>
      <c r="I442" s="19"/>
      <c r="J442" s="19"/>
    </row>
    <row r="443" spans="5:10" ht="15.75" customHeight="1" x14ac:dyDescent="0.3">
      <c r="E443" s="19"/>
      <c r="F443" s="96"/>
      <c r="G443" s="19"/>
      <c r="H443" s="19"/>
      <c r="I443" s="19"/>
      <c r="J443" s="19"/>
    </row>
    <row r="444" spans="5:10" ht="15.75" customHeight="1" x14ac:dyDescent="0.3">
      <c r="E444" s="19"/>
      <c r="F444" s="96"/>
      <c r="G444" s="19"/>
      <c r="H444" s="19"/>
      <c r="I444" s="19"/>
      <c r="J444" s="19"/>
    </row>
    <row r="445" spans="5:10" ht="15.75" customHeight="1" x14ac:dyDescent="0.3">
      <c r="E445" s="19"/>
      <c r="F445" s="96"/>
      <c r="G445" s="19"/>
      <c r="H445" s="19"/>
      <c r="I445" s="19"/>
      <c r="J445" s="19"/>
    </row>
    <row r="446" spans="5:10" ht="15.75" customHeight="1" x14ac:dyDescent="0.3">
      <c r="E446" s="19"/>
      <c r="F446" s="96"/>
      <c r="G446" s="19"/>
      <c r="H446" s="19"/>
      <c r="I446" s="19"/>
      <c r="J446" s="19"/>
    </row>
    <row r="447" spans="5:10" ht="15.75" customHeight="1" x14ac:dyDescent="0.3">
      <c r="E447" s="19"/>
      <c r="F447" s="96"/>
      <c r="G447" s="19"/>
      <c r="H447" s="19"/>
      <c r="I447" s="19"/>
      <c r="J447" s="19"/>
    </row>
    <row r="448" spans="5:10" ht="15.75" customHeight="1" x14ac:dyDescent="0.3">
      <c r="E448" s="19"/>
      <c r="F448" s="96"/>
      <c r="G448" s="19"/>
      <c r="H448" s="19"/>
      <c r="I448" s="19"/>
      <c r="J448" s="19"/>
    </row>
    <row r="449" spans="5:10" ht="15.75" customHeight="1" x14ac:dyDescent="0.3">
      <c r="E449" s="19"/>
      <c r="F449" s="96"/>
      <c r="G449" s="19"/>
      <c r="H449" s="19"/>
      <c r="I449" s="19"/>
      <c r="J449" s="19"/>
    </row>
    <row r="450" spans="5:10" ht="15.75" customHeight="1" x14ac:dyDescent="0.3">
      <c r="E450" s="19"/>
      <c r="F450" s="96"/>
      <c r="G450" s="19"/>
      <c r="H450" s="19"/>
      <c r="I450" s="19"/>
      <c r="J450" s="19"/>
    </row>
    <row r="451" spans="5:10" ht="15.75" customHeight="1" x14ac:dyDescent="0.3">
      <c r="E451" s="19"/>
      <c r="F451" s="96"/>
      <c r="G451" s="19"/>
      <c r="H451" s="19"/>
      <c r="I451" s="19"/>
      <c r="J451" s="19"/>
    </row>
    <row r="452" spans="5:10" ht="15.75" customHeight="1" x14ac:dyDescent="0.3">
      <c r="E452" s="19"/>
      <c r="F452" s="96"/>
      <c r="G452" s="19"/>
      <c r="H452" s="19"/>
      <c r="I452" s="19"/>
      <c r="J452" s="19"/>
    </row>
    <row r="453" spans="5:10" ht="15.75" customHeight="1" x14ac:dyDescent="0.3">
      <c r="E453" s="19"/>
      <c r="F453" s="96"/>
      <c r="G453" s="19"/>
      <c r="H453" s="19"/>
      <c r="I453" s="19"/>
      <c r="J453" s="19"/>
    </row>
    <row r="454" spans="5:10" ht="15.75" customHeight="1" x14ac:dyDescent="0.3">
      <c r="E454" s="19"/>
      <c r="F454" s="96"/>
      <c r="G454" s="19"/>
      <c r="H454" s="19"/>
      <c r="I454" s="19"/>
      <c r="J454" s="19"/>
    </row>
    <row r="455" spans="5:10" ht="15.75" customHeight="1" x14ac:dyDescent="0.3">
      <c r="E455" s="19"/>
      <c r="F455" s="96"/>
      <c r="G455" s="19"/>
      <c r="H455" s="19"/>
      <c r="I455" s="19"/>
      <c r="J455" s="19"/>
    </row>
    <row r="456" spans="5:10" ht="15.75" customHeight="1" x14ac:dyDescent="0.3">
      <c r="E456" s="19"/>
      <c r="F456" s="96"/>
      <c r="G456" s="19"/>
      <c r="H456" s="19"/>
      <c r="I456" s="19"/>
      <c r="J456" s="19"/>
    </row>
    <row r="457" spans="5:10" ht="15.75" customHeight="1" x14ac:dyDescent="0.3">
      <c r="E457" s="19"/>
      <c r="F457" s="96"/>
      <c r="G457" s="19"/>
      <c r="H457" s="19"/>
      <c r="I457" s="19"/>
      <c r="J457" s="19"/>
    </row>
    <row r="458" spans="5:10" ht="15.75" customHeight="1" x14ac:dyDescent="0.3">
      <c r="E458" s="19"/>
      <c r="F458" s="96"/>
      <c r="G458" s="19"/>
      <c r="H458" s="19"/>
      <c r="I458" s="19"/>
      <c r="J458" s="19"/>
    </row>
    <row r="459" spans="5:10" ht="15.75" customHeight="1" x14ac:dyDescent="0.3">
      <c r="E459" s="19"/>
      <c r="F459" s="96"/>
      <c r="G459" s="19"/>
      <c r="H459" s="19"/>
      <c r="I459" s="19"/>
      <c r="J459" s="19"/>
    </row>
    <row r="460" spans="5:10" ht="15.75" customHeight="1" x14ac:dyDescent="0.3">
      <c r="E460" s="19"/>
      <c r="F460" s="96"/>
      <c r="G460" s="19"/>
      <c r="H460" s="19"/>
      <c r="I460" s="19"/>
      <c r="J460" s="19"/>
    </row>
    <row r="461" spans="5:10" ht="15.75" customHeight="1" x14ac:dyDescent="0.3">
      <c r="E461" s="19"/>
      <c r="F461" s="96"/>
      <c r="G461" s="19"/>
      <c r="H461" s="19"/>
      <c r="I461" s="19"/>
      <c r="J461" s="19"/>
    </row>
    <row r="462" spans="5:10" ht="15.75" customHeight="1" x14ac:dyDescent="0.3">
      <c r="E462" s="19"/>
      <c r="F462" s="96"/>
      <c r="G462" s="19"/>
      <c r="H462" s="19"/>
      <c r="I462" s="19"/>
      <c r="J462" s="19"/>
    </row>
    <row r="463" spans="5:10" ht="15.75" customHeight="1" x14ac:dyDescent="0.3">
      <c r="E463" s="19"/>
      <c r="F463" s="96"/>
      <c r="G463" s="19"/>
      <c r="H463" s="19"/>
      <c r="I463" s="19"/>
      <c r="J463" s="19"/>
    </row>
    <row r="464" spans="5:10" ht="15.75" customHeight="1" x14ac:dyDescent="0.3">
      <c r="E464" s="19"/>
      <c r="F464" s="96"/>
      <c r="G464" s="19"/>
      <c r="H464" s="19"/>
      <c r="I464" s="19"/>
      <c r="J464" s="19"/>
    </row>
    <row r="465" spans="5:10" ht="15.75" customHeight="1" x14ac:dyDescent="0.3">
      <c r="E465" s="19"/>
      <c r="F465" s="96"/>
      <c r="G465" s="19"/>
      <c r="H465" s="19"/>
      <c r="I465" s="19"/>
      <c r="J465" s="19"/>
    </row>
    <row r="466" spans="5:10" ht="15.75" customHeight="1" x14ac:dyDescent="0.3">
      <c r="E466" s="19"/>
      <c r="F466" s="96"/>
      <c r="G466" s="19"/>
      <c r="H466" s="19"/>
      <c r="I466" s="19"/>
      <c r="J466" s="19"/>
    </row>
    <row r="467" spans="5:10" ht="15.75" customHeight="1" x14ac:dyDescent="0.3">
      <c r="E467" s="19"/>
      <c r="F467" s="96"/>
      <c r="G467" s="19"/>
      <c r="H467" s="19"/>
      <c r="I467" s="19"/>
      <c r="J467" s="19"/>
    </row>
    <row r="468" spans="5:10" ht="15.75" customHeight="1" x14ac:dyDescent="0.3">
      <c r="E468" s="19"/>
      <c r="F468" s="96"/>
      <c r="G468" s="19"/>
      <c r="H468" s="19"/>
      <c r="I468" s="19"/>
      <c r="J468" s="19"/>
    </row>
    <row r="469" spans="5:10" ht="15.75" customHeight="1" x14ac:dyDescent="0.3">
      <c r="E469" s="19"/>
      <c r="F469" s="96"/>
      <c r="G469" s="19"/>
      <c r="H469" s="19"/>
      <c r="I469" s="19"/>
      <c r="J469" s="19"/>
    </row>
    <row r="470" spans="5:10" ht="15.75" customHeight="1" x14ac:dyDescent="0.3">
      <c r="E470" s="19"/>
      <c r="F470" s="96"/>
      <c r="G470" s="19"/>
      <c r="H470" s="19"/>
      <c r="I470" s="19"/>
      <c r="J470" s="19"/>
    </row>
    <row r="471" spans="5:10" ht="15.75" customHeight="1" x14ac:dyDescent="0.3">
      <c r="E471" s="19"/>
      <c r="F471" s="96"/>
      <c r="G471" s="19"/>
      <c r="H471" s="19"/>
      <c r="I471" s="19"/>
      <c r="J471" s="19"/>
    </row>
    <row r="472" spans="5:10" ht="15.75" customHeight="1" x14ac:dyDescent="0.3">
      <c r="E472" s="19"/>
      <c r="F472" s="96"/>
      <c r="G472" s="19"/>
      <c r="H472" s="19"/>
      <c r="I472" s="19"/>
      <c r="J472" s="19"/>
    </row>
    <row r="473" spans="5:10" ht="15.75" customHeight="1" x14ac:dyDescent="0.3">
      <c r="E473" s="19"/>
      <c r="F473" s="96"/>
      <c r="G473" s="19"/>
      <c r="H473" s="19"/>
      <c r="I473" s="19"/>
      <c r="J473" s="19"/>
    </row>
    <row r="474" spans="5:10" ht="15.75" customHeight="1" x14ac:dyDescent="0.3">
      <c r="E474" s="19"/>
      <c r="F474" s="96"/>
      <c r="G474" s="19"/>
      <c r="H474" s="19"/>
      <c r="I474" s="19"/>
      <c r="J474" s="19"/>
    </row>
    <row r="475" spans="5:10" ht="15.75" customHeight="1" x14ac:dyDescent="0.3">
      <c r="E475" s="19"/>
      <c r="F475" s="96"/>
      <c r="G475" s="19"/>
      <c r="H475" s="19"/>
      <c r="I475" s="19"/>
      <c r="J475" s="19"/>
    </row>
    <row r="476" spans="5:10" ht="15.75" customHeight="1" x14ac:dyDescent="0.3">
      <c r="E476" s="19"/>
      <c r="F476" s="96"/>
      <c r="G476" s="19"/>
      <c r="H476" s="19"/>
      <c r="I476" s="19"/>
      <c r="J476" s="19"/>
    </row>
    <row r="477" spans="5:10" ht="15.75" customHeight="1" x14ac:dyDescent="0.3">
      <c r="E477" s="19"/>
      <c r="F477" s="96"/>
      <c r="G477" s="19"/>
      <c r="H477" s="19"/>
      <c r="I477" s="19"/>
      <c r="J477" s="19"/>
    </row>
    <row r="478" spans="5:10" ht="15.75" customHeight="1" x14ac:dyDescent="0.3">
      <c r="E478" s="19"/>
      <c r="F478" s="96"/>
      <c r="G478" s="19"/>
      <c r="H478" s="19"/>
      <c r="I478" s="19"/>
      <c r="J478" s="19"/>
    </row>
    <row r="479" spans="5:10" ht="15.75" customHeight="1" x14ac:dyDescent="0.3">
      <c r="E479" s="19"/>
      <c r="F479" s="96"/>
      <c r="G479" s="19"/>
      <c r="H479" s="19"/>
      <c r="I479" s="19"/>
      <c r="J479" s="19"/>
    </row>
    <row r="480" spans="5:10" ht="15.75" customHeight="1" x14ac:dyDescent="0.3">
      <c r="E480" s="19"/>
      <c r="F480" s="96"/>
      <c r="G480" s="19"/>
      <c r="H480" s="19"/>
      <c r="I480" s="19"/>
      <c r="J480" s="19"/>
    </row>
    <row r="481" spans="5:10" ht="15.75" customHeight="1" x14ac:dyDescent="0.3">
      <c r="E481" s="19"/>
      <c r="F481" s="96"/>
      <c r="G481" s="19"/>
      <c r="H481" s="19"/>
      <c r="I481" s="19"/>
      <c r="J481" s="19"/>
    </row>
    <row r="482" spans="5:10" ht="15.75" customHeight="1" x14ac:dyDescent="0.3">
      <c r="E482" s="19"/>
      <c r="F482" s="96"/>
      <c r="G482" s="19"/>
      <c r="H482" s="19"/>
      <c r="I482" s="19"/>
      <c r="J482" s="19"/>
    </row>
    <row r="483" spans="5:10" ht="15.75" customHeight="1" x14ac:dyDescent="0.3">
      <c r="E483" s="19"/>
      <c r="F483" s="96"/>
      <c r="G483" s="19"/>
      <c r="H483" s="19"/>
      <c r="I483" s="19"/>
      <c r="J483" s="19"/>
    </row>
    <row r="484" spans="5:10" ht="15.75" customHeight="1" x14ac:dyDescent="0.3">
      <c r="E484" s="19"/>
      <c r="F484" s="96"/>
      <c r="G484" s="19"/>
      <c r="H484" s="19"/>
      <c r="I484" s="19"/>
      <c r="J484" s="19"/>
    </row>
    <row r="485" spans="5:10" ht="15.75" customHeight="1" x14ac:dyDescent="0.3">
      <c r="E485" s="19"/>
      <c r="F485" s="96"/>
      <c r="G485" s="19"/>
      <c r="H485" s="19"/>
      <c r="I485" s="19"/>
      <c r="J485" s="19"/>
    </row>
    <row r="486" spans="5:10" ht="15.75" customHeight="1" x14ac:dyDescent="0.3">
      <c r="E486" s="19"/>
      <c r="F486" s="96"/>
      <c r="G486" s="19"/>
      <c r="H486" s="19"/>
      <c r="I486" s="19"/>
      <c r="J486" s="19"/>
    </row>
    <row r="487" spans="5:10" ht="15.75" customHeight="1" x14ac:dyDescent="0.3">
      <c r="E487" s="19"/>
      <c r="F487" s="96"/>
      <c r="G487" s="19"/>
      <c r="H487" s="19"/>
      <c r="I487" s="19"/>
      <c r="J487" s="19"/>
    </row>
    <row r="488" spans="5:10" ht="15.75" customHeight="1" x14ac:dyDescent="0.3">
      <c r="E488" s="19"/>
      <c r="F488" s="96"/>
      <c r="G488" s="19"/>
      <c r="H488" s="19"/>
      <c r="I488" s="19"/>
      <c r="J488" s="19"/>
    </row>
    <row r="489" spans="5:10" ht="15.75" customHeight="1" x14ac:dyDescent="0.3">
      <c r="E489" s="19"/>
      <c r="F489" s="96"/>
      <c r="G489" s="19"/>
      <c r="H489" s="19"/>
      <c r="I489" s="19"/>
      <c r="J489" s="19"/>
    </row>
    <row r="490" spans="5:10" ht="15.75" customHeight="1" x14ac:dyDescent="0.3">
      <c r="E490" s="19"/>
      <c r="F490" s="96"/>
      <c r="G490" s="19"/>
      <c r="H490" s="19"/>
      <c r="I490" s="19"/>
      <c r="J490" s="19"/>
    </row>
    <row r="491" spans="5:10" ht="15.75" customHeight="1" x14ac:dyDescent="0.3">
      <c r="E491" s="19"/>
      <c r="F491" s="96"/>
      <c r="G491" s="19"/>
      <c r="H491" s="19"/>
      <c r="I491" s="19"/>
      <c r="J491" s="19"/>
    </row>
    <row r="492" spans="5:10" ht="15.75" customHeight="1" x14ac:dyDescent="0.3">
      <c r="E492" s="19"/>
      <c r="F492" s="96"/>
      <c r="G492" s="19"/>
      <c r="H492" s="19"/>
      <c r="I492" s="19"/>
      <c r="J492" s="19"/>
    </row>
    <row r="493" spans="5:10" ht="15.75" customHeight="1" x14ac:dyDescent="0.3">
      <c r="E493" s="19"/>
      <c r="F493" s="96"/>
      <c r="G493" s="19"/>
      <c r="H493" s="19"/>
      <c r="I493" s="19"/>
      <c r="J493" s="19"/>
    </row>
    <row r="494" spans="5:10" ht="15.75" customHeight="1" x14ac:dyDescent="0.3">
      <c r="E494" s="19"/>
      <c r="F494" s="96"/>
      <c r="G494" s="19"/>
      <c r="H494" s="19"/>
      <c r="I494" s="19"/>
      <c r="J494" s="19"/>
    </row>
    <row r="495" spans="5:10" ht="15.75" customHeight="1" x14ac:dyDescent="0.3">
      <c r="E495" s="19"/>
      <c r="F495" s="96"/>
      <c r="G495" s="19"/>
      <c r="H495" s="19"/>
      <c r="I495" s="19"/>
      <c r="J495" s="19"/>
    </row>
    <row r="496" spans="5:10" ht="15.75" customHeight="1" x14ac:dyDescent="0.3">
      <c r="E496" s="19"/>
      <c r="F496" s="96"/>
      <c r="G496" s="19"/>
      <c r="H496" s="19"/>
      <c r="I496" s="19"/>
      <c r="J496" s="19"/>
    </row>
    <row r="497" spans="5:10" ht="15.75" customHeight="1" x14ac:dyDescent="0.3">
      <c r="E497" s="19"/>
      <c r="F497" s="96"/>
      <c r="G497" s="19"/>
      <c r="H497" s="19"/>
      <c r="I497" s="19"/>
      <c r="J497" s="19"/>
    </row>
    <row r="498" spans="5:10" ht="15.75" customHeight="1" x14ac:dyDescent="0.3">
      <c r="E498" s="19"/>
      <c r="F498" s="96"/>
      <c r="G498" s="19"/>
      <c r="H498" s="19"/>
      <c r="I498" s="19"/>
      <c r="J498" s="19"/>
    </row>
    <row r="499" spans="5:10" ht="15.75" customHeight="1" x14ac:dyDescent="0.3">
      <c r="E499" s="19"/>
      <c r="F499" s="96"/>
      <c r="G499" s="19"/>
      <c r="H499" s="19"/>
      <c r="I499" s="19"/>
      <c r="J499" s="19"/>
    </row>
    <row r="500" spans="5:10" ht="15.75" customHeight="1" x14ac:dyDescent="0.3">
      <c r="E500" s="19"/>
      <c r="F500" s="96"/>
      <c r="G500" s="19"/>
      <c r="H500" s="19"/>
      <c r="I500" s="19"/>
      <c r="J500" s="19"/>
    </row>
    <row r="501" spans="5:10" ht="15.75" customHeight="1" x14ac:dyDescent="0.3">
      <c r="E501" s="19"/>
      <c r="F501" s="96"/>
      <c r="G501" s="19"/>
      <c r="H501" s="19"/>
      <c r="I501" s="19"/>
      <c r="J501" s="19"/>
    </row>
    <row r="502" spans="5:10" ht="15.75" customHeight="1" x14ac:dyDescent="0.3">
      <c r="E502" s="19"/>
      <c r="F502" s="96"/>
      <c r="G502" s="19"/>
      <c r="H502" s="19"/>
      <c r="I502" s="19"/>
      <c r="J502" s="19"/>
    </row>
    <row r="503" spans="5:10" ht="15.75" customHeight="1" x14ac:dyDescent="0.3">
      <c r="E503" s="19"/>
      <c r="F503" s="96"/>
      <c r="G503" s="19"/>
      <c r="H503" s="19"/>
      <c r="I503" s="19"/>
      <c r="J503" s="19"/>
    </row>
    <row r="504" spans="5:10" ht="15.75" customHeight="1" x14ac:dyDescent="0.3">
      <c r="E504" s="19"/>
      <c r="F504" s="96"/>
      <c r="G504" s="19"/>
      <c r="H504" s="19"/>
      <c r="I504" s="19"/>
      <c r="J504" s="19"/>
    </row>
    <row r="505" spans="5:10" ht="15.75" customHeight="1" x14ac:dyDescent="0.3">
      <c r="E505" s="19"/>
      <c r="F505" s="96"/>
      <c r="G505" s="19"/>
      <c r="H505" s="19"/>
      <c r="I505" s="19"/>
      <c r="J505" s="19"/>
    </row>
    <row r="506" spans="5:10" ht="15.75" customHeight="1" x14ac:dyDescent="0.3">
      <c r="E506" s="19"/>
      <c r="F506" s="96"/>
      <c r="G506" s="19"/>
      <c r="H506" s="19"/>
      <c r="I506" s="19"/>
      <c r="J506" s="19"/>
    </row>
    <row r="507" spans="5:10" ht="15.75" customHeight="1" x14ac:dyDescent="0.3">
      <c r="E507" s="19"/>
      <c r="F507" s="96"/>
      <c r="G507" s="19"/>
      <c r="H507" s="19"/>
      <c r="I507" s="19"/>
      <c r="J507" s="19"/>
    </row>
    <row r="508" spans="5:10" ht="15.75" customHeight="1" x14ac:dyDescent="0.3">
      <c r="E508" s="19"/>
      <c r="F508" s="96"/>
      <c r="G508" s="19"/>
      <c r="H508" s="19"/>
      <c r="I508" s="19"/>
      <c r="J508" s="19"/>
    </row>
    <row r="509" spans="5:10" ht="15.75" customHeight="1" x14ac:dyDescent="0.3">
      <c r="E509" s="19"/>
      <c r="F509" s="96"/>
      <c r="G509" s="19"/>
      <c r="H509" s="19"/>
      <c r="I509" s="19"/>
      <c r="J509" s="19"/>
    </row>
    <row r="510" spans="5:10" ht="15.75" customHeight="1" x14ac:dyDescent="0.3">
      <c r="E510" s="19"/>
      <c r="F510" s="96"/>
      <c r="G510" s="19"/>
      <c r="H510" s="19"/>
      <c r="I510" s="19"/>
      <c r="J510" s="19"/>
    </row>
    <row r="511" spans="5:10" ht="15.75" customHeight="1" x14ac:dyDescent="0.3">
      <c r="E511" s="19"/>
      <c r="F511" s="96"/>
      <c r="G511" s="19"/>
      <c r="H511" s="19"/>
      <c r="I511" s="19"/>
      <c r="J511" s="19"/>
    </row>
    <row r="512" spans="5:10" ht="15.75" customHeight="1" x14ac:dyDescent="0.3">
      <c r="E512" s="19"/>
      <c r="F512" s="96"/>
      <c r="G512" s="19"/>
      <c r="H512" s="19"/>
      <c r="I512" s="19"/>
      <c r="J512" s="19"/>
    </row>
    <row r="513" spans="5:10" ht="15.75" customHeight="1" x14ac:dyDescent="0.3">
      <c r="E513" s="19"/>
      <c r="F513" s="96"/>
      <c r="G513" s="19"/>
      <c r="H513" s="19"/>
      <c r="I513" s="19"/>
      <c r="J513" s="19"/>
    </row>
    <row r="514" spans="5:10" ht="15.75" customHeight="1" x14ac:dyDescent="0.3">
      <c r="E514" s="19"/>
      <c r="F514" s="96"/>
      <c r="G514" s="19"/>
      <c r="H514" s="19"/>
      <c r="I514" s="19"/>
      <c r="J514" s="19"/>
    </row>
    <row r="515" spans="5:10" ht="15.75" customHeight="1" x14ac:dyDescent="0.3">
      <c r="E515" s="19"/>
      <c r="F515" s="96"/>
      <c r="G515" s="19"/>
      <c r="H515" s="19"/>
      <c r="I515" s="19"/>
      <c r="J515" s="19"/>
    </row>
    <row r="516" spans="5:10" ht="15.75" customHeight="1" x14ac:dyDescent="0.3">
      <c r="E516" s="19"/>
      <c r="F516" s="96"/>
      <c r="G516" s="19"/>
      <c r="H516" s="19"/>
      <c r="I516" s="19"/>
      <c r="J516" s="19"/>
    </row>
    <row r="517" spans="5:10" ht="15.75" customHeight="1" x14ac:dyDescent="0.3">
      <c r="E517" s="19"/>
      <c r="F517" s="96"/>
      <c r="G517" s="19"/>
      <c r="H517" s="19"/>
      <c r="I517" s="19"/>
      <c r="J517" s="19"/>
    </row>
    <row r="518" spans="5:10" ht="15.75" customHeight="1" x14ac:dyDescent="0.3">
      <c r="E518" s="19"/>
      <c r="F518" s="96"/>
      <c r="G518" s="19"/>
      <c r="H518" s="19"/>
      <c r="I518" s="19"/>
      <c r="J518" s="19"/>
    </row>
    <row r="519" spans="5:10" ht="15.75" customHeight="1" x14ac:dyDescent="0.3">
      <c r="E519" s="19"/>
      <c r="F519" s="96"/>
      <c r="G519" s="19"/>
      <c r="H519" s="19"/>
      <c r="I519" s="19"/>
      <c r="J519" s="19"/>
    </row>
    <row r="520" spans="5:10" ht="15.75" customHeight="1" x14ac:dyDescent="0.3">
      <c r="E520" s="19"/>
      <c r="F520" s="96"/>
      <c r="G520" s="19"/>
      <c r="H520" s="19"/>
      <c r="I520" s="19"/>
      <c r="J520" s="19"/>
    </row>
    <row r="521" spans="5:10" ht="15.75" customHeight="1" x14ac:dyDescent="0.3">
      <c r="E521" s="19"/>
      <c r="F521" s="96"/>
      <c r="G521" s="19"/>
      <c r="H521" s="19"/>
      <c r="I521" s="19"/>
      <c r="J521" s="19"/>
    </row>
    <row r="522" spans="5:10" ht="15.75" customHeight="1" x14ac:dyDescent="0.3">
      <c r="E522" s="19"/>
      <c r="F522" s="96"/>
      <c r="G522" s="19"/>
      <c r="H522" s="19"/>
      <c r="I522" s="19"/>
      <c r="J522" s="19"/>
    </row>
    <row r="523" spans="5:10" ht="15.75" customHeight="1" x14ac:dyDescent="0.3">
      <c r="E523" s="19"/>
      <c r="F523" s="96"/>
      <c r="G523" s="19"/>
      <c r="H523" s="19"/>
      <c r="I523" s="19"/>
      <c r="J523" s="19"/>
    </row>
    <row r="524" spans="5:10" ht="15.75" customHeight="1" x14ac:dyDescent="0.3">
      <c r="E524" s="19"/>
      <c r="F524" s="96"/>
      <c r="G524" s="19"/>
      <c r="H524" s="19"/>
      <c r="I524" s="19"/>
      <c r="J524" s="19"/>
    </row>
    <row r="525" spans="5:10" ht="15.75" customHeight="1" x14ac:dyDescent="0.3">
      <c r="E525" s="19"/>
      <c r="F525" s="96"/>
      <c r="G525" s="19"/>
      <c r="H525" s="19"/>
      <c r="I525" s="19"/>
      <c r="J525" s="19"/>
    </row>
    <row r="526" spans="5:10" ht="15.75" customHeight="1" x14ac:dyDescent="0.3">
      <c r="E526" s="19"/>
      <c r="F526" s="96"/>
      <c r="G526" s="19"/>
      <c r="H526" s="19"/>
      <c r="I526" s="19"/>
      <c r="J526" s="19"/>
    </row>
    <row r="527" spans="5:10" ht="15.75" customHeight="1" x14ac:dyDescent="0.3">
      <c r="E527" s="19"/>
      <c r="F527" s="96"/>
      <c r="G527" s="19"/>
      <c r="H527" s="19"/>
      <c r="I527" s="19"/>
      <c r="J527" s="19"/>
    </row>
    <row r="528" spans="5:10" ht="15.75" customHeight="1" x14ac:dyDescent="0.3">
      <c r="E528" s="19"/>
      <c r="F528" s="96"/>
      <c r="G528" s="19"/>
      <c r="H528" s="19"/>
      <c r="I528" s="19"/>
      <c r="J528" s="19"/>
    </row>
    <row r="529" spans="5:10" ht="15.75" customHeight="1" x14ac:dyDescent="0.3">
      <c r="E529" s="19"/>
      <c r="F529" s="96"/>
      <c r="G529" s="19"/>
      <c r="H529" s="19"/>
      <c r="I529" s="19"/>
      <c r="J529" s="19"/>
    </row>
    <row r="530" spans="5:10" ht="15.75" customHeight="1" x14ac:dyDescent="0.3">
      <c r="E530" s="19"/>
      <c r="F530" s="96"/>
      <c r="G530" s="19"/>
      <c r="H530" s="19"/>
      <c r="I530" s="19"/>
      <c r="J530" s="19"/>
    </row>
    <row r="531" spans="5:10" ht="15.75" customHeight="1" x14ac:dyDescent="0.3">
      <c r="E531" s="19"/>
      <c r="F531" s="96"/>
      <c r="G531" s="19"/>
      <c r="H531" s="19"/>
      <c r="I531" s="19"/>
      <c r="J531" s="19"/>
    </row>
    <row r="532" spans="5:10" ht="15.75" customHeight="1" x14ac:dyDescent="0.3">
      <c r="E532" s="19"/>
      <c r="F532" s="96"/>
      <c r="G532" s="19"/>
      <c r="H532" s="19"/>
      <c r="I532" s="19"/>
      <c r="J532" s="19"/>
    </row>
    <row r="533" spans="5:10" ht="15.75" customHeight="1" x14ac:dyDescent="0.3">
      <c r="E533" s="19"/>
      <c r="F533" s="96"/>
      <c r="G533" s="19"/>
      <c r="H533" s="19"/>
      <c r="I533" s="19"/>
      <c r="J533" s="19"/>
    </row>
    <row r="534" spans="5:10" ht="15.75" customHeight="1" x14ac:dyDescent="0.3">
      <c r="E534" s="19"/>
      <c r="F534" s="96"/>
      <c r="G534" s="19"/>
      <c r="H534" s="19"/>
      <c r="I534" s="19"/>
      <c r="J534" s="19"/>
    </row>
    <row r="535" spans="5:10" ht="15.75" customHeight="1" x14ac:dyDescent="0.3">
      <c r="E535" s="19"/>
      <c r="F535" s="96"/>
      <c r="G535" s="19"/>
      <c r="H535" s="19"/>
      <c r="I535" s="19"/>
      <c r="J535" s="19"/>
    </row>
    <row r="536" spans="5:10" ht="15.75" customHeight="1" x14ac:dyDescent="0.3">
      <c r="E536" s="19"/>
      <c r="F536" s="96"/>
      <c r="G536" s="19"/>
      <c r="H536" s="19"/>
      <c r="I536" s="19"/>
      <c r="J536" s="19"/>
    </row>
    <row r="537" spans="5:10" ht="15.75" customHeight="1" x14ac:dyDescent="0.3">
      <c r="E537" s="19"/>
      <c r="F537" s="96"/>
      <c r="G537" s="19"/>
      <c r="H537" s="19"/>
      <c r="I537" s="19"/>
      <c r="J537" s="19"/>
    </row>
    <row r="538" spans="5:10" ht="15.75" customHeight="1" x14ac:dyDescent="0.3">
      <c r="E538" s="19"/>
      <c r="F538" s="96"/>
      <c r="G538" s="19"/>
      <c r="H538" s="19"/>
      <c r="I538" s="19"/>
      <c r="J538" s="19"/>
    </row>
    <row r="539" spans="5:10" ht="15.75" customHeight="1" x14ac:dyDescent="0.3">
      <c r="E539" s="19"/>
      <c r="F539" s="96"/>
      <c r="G539" s="19"/>
      <c r="H539" s="19"/>
      <c r="I539" s="19"/>
      <c r="J539" s="19"/>
    </row>
    <row r="540" spans="5:10" ht="15.75" customHeight="1" x14ac:dyDescent="0.3">
      <c r="E540" s="19"/>
      <c r="F540" s="96"/>
      <c r="G540" s="19"/>
      <c r="H540" s="19"/>
      <c r="I540" s="19"/>
      <c r="J540" s="19"/>
    </row>
    <row r="541" spans="5:10" ht="15.75" customHeight="1" x14ac:dyDescent="0.3">
      <c r="E541" s="19"/>
      <c r="F541" s="96"/>
      <c r="G541" s="19"/>
      <c r="H541" s="19"/>
      <c r="I541" s="19"/>
      <c r="J541" s="19"/>
    </row>
    <row r="542" spans="5:10" ht="15.75" customHeight="1" x14ac:dyDescent="0.3">
      <c r="E542" s="19"/>
      <c r="F542" s="96"/>
      <c r="G542" s="19"/>
      <c r="H542" s="19"/>
      <c r="I542" s="19"/>
      <c r="J542" s="19"/>
    </row>
    <row r="543" spans="5:10" ht="15.75" customHeight="1" x14ac:dyDescent="0.3">
      <c r="E543" s="19"/>
      <c r="F543" s="96"/>
      <c r="G543" s="19"/>
      <c r="H543" s="19"/>
      <c r="I543" s="19"/>
      <c r="J543" s="19"/>
    </row>
    <row r="544" spans="5:10" ht="15.75" customHeight="1" x14ac:dyDescent="0.3">
      <c r="E544" s="19"/>
      <c r="F544" s="96"/>
      <c r="G544" s="19"/>
      <c r="H544" s="19"/>
      <c r="I544" s="19"/>
      <c r="J544" s="19"/>
    </row>
    <row r="545" spans="5:10" ht="15.75" customHeight="1" x14ac:dyDescent="0.3">
      <c r="E545" s="19"/>
      <c r="F545" s="96"/>
      <c r="G545" s="19"/>
      <c r="H545" s="19"/>
      <c r="I545" s="19"/>
      <c r="J545" s="19"/>
    </row>
    <row r="546" spans="5:10" ht="15.75" customHeight="1" x14ac:dyDescent="0.3">
      <c r="E546" s="19"/>
      <c r="F546" s="96"/>
      <c r="G546" s="19"/>
      <c r="H546" s="19"/>
      <c r="I546" s="19"/>
      <c r="J546" s="19"/>
    </row>
    <row r="547" spans="5:10" ht="15.75" customHeight="1" x14ac:dyDescent="0.3">
      <c r="E547" s="19"/>
      <c r="F547" s="96"/>
      <c r="G547" s="19"/>
      <c r="H547" s="19"/>
      <c r="I547" s="19"/>
      <c r="J547" s="19"/>
    </row>
    <row r="548" spans="5:10" ht="15.75" customHeight="1" x14ac:dyDescent="0.3">
      <c r="E548" s="19"/>
      <c r="F548" s="96"/>
      <c r="G548" s="19"/>
      <c r="H548" s="19"/>
      <c r="I548" s="19"/>
      <c r="J548" s="19"/>
    </row>
    <row r="549" spans="5:10" ht="15.75" customHeight="1" x14ac:dyDescent="0.3">
      <c r="E549" s="19"/>
      <c r="F549" s="96"/>
      <c r="G549" s="19"/>
      <c r="H549" s="19"/>
      <c r="I549" s="19"/>
      <c r="J549" s="19"/>
    </row>
    <row r="550" spans="5:10" ht="15.75" customHeight="1" x14ac:dyDescent="0.3">
      <c r="E550" s="19"/>
      <c r="F550" s="96"/>
      <c r="G550" s="19"/>
      <c r="H550" s="19"/>
      <c r="I550" s="19"/>
      <c r="J550" s="19"/>
    </row>
    <row r="551" spans="5:10" ht="15.75" customHeight="1" x14ac:dyDescent="0.3">
      <c r="E551" s="19"/>
      <c r="F551" s="96"/>
      <c r="G551" s="19"/>
      <c r="H551" s="19"/>
      <c r="I551" s="19"/>
      <c r="J551" s="19"/>
    </row>
    <row r="552" spans="5:10" ht="15.75" customHeight="1" x14ac:dyDescent="0.3">
      <c r="E552" s="19"/>
      <c r="F552" s="96"/>
      <c r="G552" s="19"/>
      <c r="H552" s="19"/>
      <c r="I552" s="19"/>
      <c r="J552" s="19"/>
    </row>
    <row r="553" spans="5:10" ht="15.75" customHeight="1" x14ac:dyDescent="0.3">
      <c r="E553" s="19"/>
      <c r="F553" s="96"/>
      <c r="G553" s="19"/>
      <c r="H553" s="19"/>
      <c r="I553" s="19"/>
      <c r="J553" s="19"/>
    </row>
    <row r="554" spans="5:10" ht="15.75" customHeight="1" x14ac:dyDescent="0.3">
      <c r="E554" s="19"/>
      <c r="F554" s="96"/>
      <c r="G554" s="19"/>
      <c r="H554" s="19"/>
      <c r="I554" s="19"/>
      <c r="J554" s="19"/>
    </row>
    <row r="555" spans="5:10" ht="15.75" customHeight="1" x14ac:dyDescent="0.3">
      <c r="E555" s="19"/>
      <c r="F555" s="96"/>
      <c r="G555" s="19"/>
      <c r="H555" s="19"/>
      <c r="I555" s="19"/>
      <c r="J555" s="19"/>
    </row>
    <row r="556" spans="5:10" ht="15.75" customHeight="1" x14ac:dyDescent="0.3">
      <c r="E556" s="19"/>
      <c r="F556" s="96"/>
      <c r="G556" s="19"/>
      <c r="H556" s="19"/>
      <c r="I556" s="19"/>
      <c r="J556" s="19"/>
    </row>
    <row r="557" spans="5:10" ht="15.75" customHeight="1" x14ac:dyDescent="0.3">
      <c r="E557" s="19"/>
      <c r="F557" s="96"/>
      <c r="G557" s="19"/>
      <c r="H557" s="19"/>
      <c r="I557" s="19"/>
      <c r="J557" s="19"/>
    </row>
    <row r="558" spans="5:10" ht="15.75" customHeight="1" x14ac:dyDescent="0.3">
      <c r="E558" s="19"/>
      <c r="F558" s="96"/>
      <c r="G558" s="19"/>
      <c r="H558" s="19"/>
      <c r="I558" s="19"/>
      <c r="J558" s="19"/>
    </row>
    <row r="559" spans="5:10" ht="15.75" customHeight="1" x14ac:dyDescent="0.3">
      <c r="E559" s="19"/>
      <c r="F559" s="96"/>
      <c r="G559" s="19"/>
      <c r="H559" s="19"/>
      <c r="I559" s="19"/>
      <c r="J559" s="19"/>
    </row>
    <row r="560" spans="5:10" ht="15.75" customHeight="1" x14ac:dyDescent="0.3">
      <c r="E560" s="19"/>
      <c r="F560" s="96"/>
      <c r="G560" s="19"/>
      <c r="H560" s="19"/>
      <c r="I560" s="19"/>
      <c r="J560" s="19"/>
    </row>
    <row r="561" spans="5:10" ht="15.75" customHeight="1" x14ac:dyDescent="0.3">
      <c r="E561" s="19"/>
      <c r="F561" s="96"/>
      <c r="G561" s="19"/>
      <c r="H561" s="19"/>
      <c r="I561" s="19"/>
      <c r="J561" s="19"/>
    </row>
    <row r="562" spans="5:10" ht="15.75" customHeight="1" x14ac:dyDescent="0.3">
      <c r="E562" s="19"/>
      <c r="F562" s="96"/>
      <c r="G562" s="19"/>
      <c r="H562" s="19"/>
      <c r="I562" s="19"/>
      <c r="J562" s="19"/>
    </row>
    <row r="563" spans="5:10" ht="15.75" customHeight="1" x14ac:dyDescent="0.3">
      <c r="E563" s="19"/>
      <c r="F563" s="96"/>
      <c r="G563" s="19"/>
      <c r="H563" s="19"/>
      <c r="I563" s="19"/>
      <c r="J563" s="19"/>
    </row>
    <row r="564" spans="5:10" ht="15.75" customHeight="1" x14ac:dyDescent="0.3">
      <c r="E564" s="19"/>
      <c r="F564" s="96"/>
      <c r="G564" s="19"/>
      <c r="H564" s="19"/>
      <c r="I564" s="19"/>
      <c r="J564" s="19"/>
    </row>
    <row r="565" spans="5:10" ht="15.75" customHeight="1" x14ac:dyDescent="0.3">
      <c r="E565" s="19"/>
      <c r="F565" s="96"/>
      <c r="G565" s="19"/>
      <c r="H565" s="19"/>
      <c r="I565" s="19"/>
      <c r="J565" s="19"/>
    </row>
    <row r="566" spans="5:10" ht="15.75" customHeight="1" x14ac:dyDescent="0.3">
      <c r="E566" s="19"/>
      <c r="F566" s="96"/>
      <c r="G566" s="19"/>
      <c r="H566" s="19"/>
      <c r="I566" s="19"/>
      <c r="J566" s="19"/>
    </row>
    <row r="567" spans="5:10" ht="15.75" customHeight="1" x14ac:dyDescent="0.3">
      <c r="E567" s="19"/>
      <c r="F567" s="96"/>
      <c r="G567" s="19"/>
      <c r="H567" s="19"/>
      <c r="I567" s="19"/>
      <c r="J567" s="19"/>
    </row>
    <row r="568" spans="5:10" ht="15.75" customHeight="1" x14ac:dyDescent="0.3">
      <c r="E568" s="19"/>
      <c r="F568" s="96"/>
      <c r="G568" s="19"/>
      <c r="H568" s="19"/>
      <c r="I568" s="19"/>
      <c r="J568" s="19"/>
    </row>
    <row r="569" spans="5:10" ht="15.75" customHeight="1" x14ac:dyDescent="0.3">
      <c r="E569" s="19"/>
      <c r="F569" s="96"/>
      <c r="G569" s="19"/>
      <c r="H569" s="19"/>
      <c r="I569" s="19"/>
      <c r="J569" s="19"/>
    </row>
    <row r="570" spans="5:10" ht="15.75" customHeight="1" x14ac:dyDescent="0.3">
      <c r="E570" s="19"/>
      <c r="F570" s="96"/>
      <c r="G570" s="19"/>
      <c r="H570" s="19"/>
      <c r="I570" s="19"/>
      <c r="J570" s="19"/>
    </row>
    <row r="571" spans="5:10" ht="15.75" customHeight="1" x14ac:dyDescent="0.3">
      <c r="E571" s="19"/>
      <c r="F571" s="96"/>
      <c r="G571" s="19"/>
      <c r="H571" s="19"/>
      <c r="I571" s="19"/>
      <c r="J571" s="19"/>
    </row>
    <row r="572" spans="5:10" ht="15.75" customHeight="1" x14ac:dyDescent="0.3">
      <c r="E572" s="19"/>
      <c r="F572" s="96"/>
      <c r="G572" s="19"/>
      <c r="H572" s="19"/>
      <c r="I572" s="19"/>
      <c r="J572" s="19"/>
    </row>
    <row r="573" spans="5:10" ht="15.75" customHeight="1" x14ac:dyDescent="0.3">
      <c r="E573" s="19"/>
      <c r="F573" s="96"/>
      <c r="G573" s="19"/>
      <c r="H573" s="19"/>
      <c r="I573" s="19"/>
      <c r="J573" s="19"/>
    </row>
    <row r="574" spans="5:10" ht="15.75" customHeight="1" x14ac:dyDescent="0.3">
      <c r="E574" s="19"/>
      <c r="F574" s="96"/>
      <c r="G574" s="19"/>
      <c r="H574" s="19"/>
      <c r="I574" s="19"/>
      <c r="J574" s="19"/>
    </row>
    <row r="575" spans="5:10" ht="15.75" customHeight="1" x14ac:dyDescent="0.3">
      <c r="E575" s="19"/>
      <c r="F575" s="96"/>
      <c r="G575" s="19"/>
      <c r="H575" s="19"/>
      <c r="I575" s="19"/>
      <c r="J575" s="19"/>
    </row>
    <row r="576" spans="5:10" ht="15.75" customHeight="1" x14ac:dyDescent="0.3">
      <c r="E576" s="19"/>
      <c r="F576" s="96"/>
      <c r="G576" s="19"/>
      <c r="H576" s="19"/>
      <c r="I576" s="19"/>
      <c r="J576" s="19"/>
    </row>
    <row r="577" spans="5:10" ht="15.75" customHeight="1" x14ac:dyDescent="0.3">
      <c r="E577" s="19"/>
      <c r="F577" s="96"/>
      <c r="G577" s="19"/>
      <c r="H577" s="19"/>
      <c r="I577" s="19"/>
      <c r="J577" s="19"/>
    </row>
    <row r="578" spans="5:10" ht="15.75" customHeight="1" x14ac:dyDescent="0.3">
      <c r="E578" s="19"/>
      <c r="F578" s="96"/>
      <c r="G578" s="19"/>
      <c r="H578" s="19"/>
      <c r="I578" s="19"/>
      <c r="J578" s="19"/>
    </row>
    <row r="579" spans="5:10" ht="15.75" customHeight="1" x14ac:dyDescent="0.3">
      <c r="E579" s="19"/>
      <c r="F579" s="96"/>
      <c r="G579" s="19"/>
      <c r="H579" s="19"/>
      <c r="I579" s="19"/>
      <c r="J579" s="19"/>
    </row>
    <row r="580" spans="5:10" ht="15.75" customHeight="1" x14ac:dyDescent="0.3">
      <c r="E580" s="19"/>
      <c r="F580" s="96"/>
      <c r="G580" s="19"/>
      <c r="H580" s="19"/>
      <c r="I580" s="19"/>
      <c r="J580" s="19"/>
    </row>
    <row r="581" spans="5:10" ht="15.75" customHeight="1" x14ac:dyDescent="0.3">
      <c r="E581" s="19"/>
      <c r="F581" s="96"/>
      <c r="G581" s="19"/>
      <c r="H581" s="19"/>
      <c r="I581" s="19"/>
      <c r="J581" s="19"/>
    </row>
    <row r="582" spans="5:10" ht="15.75" customHeight="1" x14ac:dyDescent="0.3">
      <c r="E582" s="19"/>
      <c r="F582" s="96"/>
      <c r="G582" s="19"/>
      <c r="H582" s="19"/>
      <c r="I582" s="19"/>
      <c r="J582" s="19"/>
    </row>
    <row r="583" spans="5:10" ht="15.75" customHeight="1" x14ac:dyDescent="0.3">
      <c r="E583" s="19"/>
      <c r="F583" s="96"/>
      <c r="G583" s="19"/>
      <c r="H583" s="19"/>
      <c r="I583" s="19"/>
      <c r="J583" s="19"/>
    </row>
    <row r="584" spans="5:10" ht="15.75" customHeight="1" x14ac:dyDescent="0.3">
      <c r="E584" s="19"/>
      <c r="F584" s="96"/>
      <c r="G584" s="19"/>
      <c r="H584" s="19"/>
      <c r="I584" s="19"/>
      <c r="J584" s="19"/>
    </row>
    <row r="585" spans="5:10" ht="15.75" customHeight="1" x14ac:dyDescent="0.3">
      <c r="E585" s="19"/>
      <c r="F585" s="96"/>
      <c r="G585" s="19"/>
      <c r="H585" s="19"/>
      <c r="I585" s="19"/>
      <c r="J585" s="19"/>
    </row>
    <row r="586" spans="5:10" ht="15.75" customHeight="1" x14ac:dyDescent="0.3">
      <c r="E586" s="19"/>
      <c r="F586" s="96"/>
      <c r="G586" s="19"/>
      <c r="H586" s="19"/>
      <c r="I586" s="19"/>
      <c r="J586" s="19"/>
    </row>
    <row r="587" spans="5:10" ht="15.75" customHeight="1" x14ac:dyDescent="0.3">
      <c r="E587" s="19"/>
      <c r="F587" s="96"/>
      <c r="G587" s="19"/>
      <c r="H587" s="19"/>
      <c r="I587" s="19"/>
      <c r="J587" s="19"/>
    </row>
    <row r="588" spans="5:10" ht="15.75" customHeight="1" x14ac:dyDescent="0.3">
      <c r="E588" s="19"/>
      <c r="F588" s="96"/>
      <c r="G588" s="19"/>
      <c r="H588" s="19"/>
      <c r="I588" s="19"/>
      <c r="J588" s="19"/>
    </row>
    <row r="589" spans="5:10" ht="15.75" customHeight="1" x14ac:dyDescent="0.3">
      <c r="E589" s="19"/>
      <c r="F589" s="96"/>
      <c r="G589" s="19"/>
      <c r="H589" s="19"/>
      <c r="I589" s="19"/>
      <c r="J589" s="19"/>
    </row>
    <row r="590" spans="5:10" ht="15.75" customHeight="1" x14ac:dyDescent="0.3">
      <c r="E590" s="19"/>
      <c r="F590" s="96"/>
      <c r="G590" s="19"/>
      <c r="H590" s="19"/>
      <c r="I590" s="19"/>
      <c r="J590" s="19"/>
    </row>
    <row r="591" spans="5:10" ht="15.75" customHeight="1" x14ac:dyDescent="0.3">
      <c r="E591" s="19"/>
      <c r="F591" s="96"/>
      <c r="G591" s="19"/>
      <c r="H591" s="19"/>
      <c r="I591" s="19"/>
      <c r="J591" s="19"/>
    </row>
    <row r="592" spans="5:10" ht="15.75" customHeight="1" x14ac:dyDescent="0.3">
      <c r="E592" s="19"/>
      <c r="F592" s="96"/>
      <c r="G592" s="19"/>
      <c r="H592" s="19"/>
      <c r="I592" s="19"/>
      <c r="J592" s="19"/>
    </row>
    <row r="593" spans="5:10" ht="15.75" customHeight="1" x14ac:dyDescent="0.3">
      <c r="E593" s="19"/>
      <c r="F593" s="96"/>
      <c r="G593" s="19"/>
      <c r="H593" s="19"/>
      <c r="I593" s="19"/>
      <c r="J593" s="19"/>
    </row>
    <row r="594" spans="5:10" ht="15.75" customHeight="1" x14ac:dyDescent="0.3">
      <c r="E594" s="19"/>
      <c r="F594" s="96"/>
      <c r="G594" s="19"/>
      <c r="H594" s="19"/>
      <c r="I594" s="19"/>
      <c r="J594" s="19"/>
    </row>
    <row r="595" spans="5:10" ht="15.75" customHeight="1" x14ac:dyDescent="0.3">
      <c r="E595" s="19"/>
      <c r="F595" s="96"/>
      <c r="G595" s="19"/>
      <c r="H595" s="19"/>
      <c r="I595" s="19"/>
      <c r="J595" s="19"/>
    </row>
    <row r="596" spans="5:10" ht="15.75" customHeight="1" x14ac:dyDescent="0.3">
      <c r="E596" s="19"/>
      <c r="F596" s="96"/>
      <c r="G596" s="19"/>
      <c r="H596" s="19"/>
      <c r="I596" s="19"/>
      <c r="J596" s="19"/>
    </row>
    <row r="597" spans="5:10" ht="15.75" customHeight="1" x14ac:dyDescent="0.3">
      <c r="E597" s="19"/>
      <c r="F597" s="96"/>
      <c r="G597" s="19"/>
      <c r="H597" s="19"/>
      <c r="I597" s="19"/>
      <c r="J597" s="19"/>
    </row>
    <row r="598" spans="5:10" ht="15.75" customHeight="1" x14ac:dyDescent="0.3">
      <c r="E598" s="19"/>
      <c r="F598" s="96"/>
      <c r="G598" s="19"/>
      <c r="H598" s="19"/>
      <c r="I598" s="19"/>
      <c r="J598" s="19"/>
    </row>
    <row r="599" spans="5:10" ht="15.75" customHeight="1" x14ac:dyDescent="0.3">
      <c r="E599" s="19"/>
      <c r="F599" s="96"/>
      <c r="G599" s="19"/>
      <c r="H599" s="19"/>
      <c r="I599" s="19"/>
      <c r="J599" s="19"/>
    </row>
    <row r="600" spans="5:10" ht="15.75" customHeight="1" x14ac:dyDescent="0.3">
      <c r="E600" s="19"/>
      <c r="F600" s="96"/>
      <c r="G600" s="19"/>
      <c r="H600" s="19"/>
      <c r="I600" s="19"/>
      <c r="J600" s="19"/>
    </row>
    <row r="601" spans="5:10" ht="15.75" customHeight="1" x14ac:dyDescent="0.3">
      <c r="E601" s="19"/>
      <c r="F601" s="96"/>
      <c r="G601" s="19"/>
      <c r="H601" s="19"/>
      <c r="I601" s="19"/>
      <c r="J601" s="19"/>
    </row>
    <row r="602" spans="5:10" ht="15.75" customHeight="1" x14ac:dyDescent="0.3">
      <c r="E602" s="19"/>
      <c r="F602" s="96"/>
      <c r="G602" s="19"/>
      <c r="H602" s="19"/>
      <c r="I602" s="19"/>
      <c r="J602" s="19"/>
    </row>
    <row r="603" spans="5:10" ht="15.75" customHeight="1" x14ac:dyDescent="0.3">
      <c r="E603" s="19"/>
      <c r="F603" s="96"/>
      <c r="G603" s="19"/>
      <c r="H603" s="19"/>
      <c r="I603" s="19"/>
      <c r="J603" s="19"/>
    </row>
    <row r="604" spans="5:10" ht="15.75" customHeight="1" x14ac:dyDescent="0.3">
      <c r="E604" s="19"/>
      <c r="F604" s="96"/>
      <c r="G604" s="19"/>
      <c r="H604" s="19"/>
      <c r="I604" s="19"/>
      <c r="J604" s="19"/>
    </row>
    <row r="605" spans="5:10" ht="15.75" customHeight="1" x14ac:dyDescent="0.3">
      <c r="E605" s="19"/>
      <c r="F605" s="96"/>
      <c r="G605" s="19"/>
      <c r="H605" s="19"/>
      <c r="I605" s="19"/>
      <c r="J605" s="19"/>
    </row>
    <row r="606" spans="5:10" ht="15.75" customHeight="1" x14ac:dyDescent="0.3">
      <c r="E606" s="19"/>
      <c r="F606" s="96"/>
      <c r="G606" s="19"/>
      <c r="H606" s="19"/>
      <c r="I606" s="19"/>
      <c r="J606" s="19"/>
    </row>
    <row r="607" spans="5:10" ht="15.75" customHeight="1" x14ac:dyDescent="0.3">
      <c r="E607" s="19"/>
      <c r="F607" s="96"/>
      <c r="G607" s="19"/>
      <c r="H607" s="19"/>
      <c r="I607" s="19"/>
      <c r="J607" s="19"/>
    </row>
    <row r="608" spans="5:10" ht="15.75" customHeight="1" x14ac:dyDescent="0.3">
      <c r="E608" s="19"/>
      <c r="F608" s="96"/>
      <c r="G608" s="19"/>
      <c r="H608" s="19"/>
      <c r="I608" s="19"/>
      <c r="J608" s="19"/>
    </row>
    <row r="609" spans="5:10" ht="15.75" customHeight="1" x14ac:dyDescent="0.3">
      <c r="E609" s="19"/>
      <c r="F609" s="96"/>
      <c r="G609" s="19"/>
      <c r="H609" s="19"/>
      <c r="I609" s="19"/>
      <c r="J609" s="19"/>
    </row>
    <row r="610" spans="5:10" ht="15.75" customHeight="1" x14ac:dyDescent="0.3">
      <c r="E610" s="19"/>
      <c r="F610" s="96"/>
      <c r="G610" s="19"/>
      <c r="H610" s="19"/>
      <c r="I610" s="19"/>
      <c r="J610" s="19"/>
    </row>
    <row r="611" spans="5:10" ht="15.75" customHeight="1" x14ac:dyDescent="0.3">
      <c r="E611" s="19"/>
      <c r="F611" s="96"/>
      <c r="G611" s="19"/>
      <c r="H611" s="19"/>
      <c r="I611" s="19"/>
      <c r="J611" s="19"/>
    </row>
    <row r="612" spans="5:10" ht="15.75" customHeight="1" x14ac:dyDescent="0.3">
      <c r="E612" s="19"/>
      <c r="F612" s="96"/>
      <c r="G612" s="19"/>
      <c r="H612" s="19"/>
      <c r="I612" s="19"/>
      <c r="J612" s="19"/>
    </row>
    <row r="613" spans="5:10" ht="15.75" customHeight="1" x14ac:dyDescent="0.3">
      <c r="E613" s="19"/>
      <c r="F613" s="96"/>
      <c r="G613" s="19"/>
      <c r="H613" s="19"/>
      <c r="I613" s="19"/>
      <c r="J613" s="19"/>
    </row>
    <row r="614" spans="5:10" ht="15.75" customHeight="1" x14ac:dyDescent="0.3">
      <c r="E614" s="19"/>
      <c r="F614" s="96"/>
      <c r="G614" s="19"/>
      <c r="H614" s="19"/>
      <c r="I614" s="19"/>
      <c r="J614" s="19"/>
    </row>
    <row r="615" spans="5:10" ht="15.75" customHeight="1" x14ac:dyDescent="0.3">
      <c r="E615" s="19"/>
      <c r="F615" s="96"/>
      <c r="G615" s="19"/>
      <c r="H615" s="19"/>
      <c r="I615" s="19"/>
      <c r="J615" s="19"/>
    </row>
    <row r="616" spans="5:10" ht="15.75" customHeight="1" x14ac:dyDescent="0.3">
      <c r="E616" s="19"/>
      <c r="F616" s="96"/>
      <c r="G616" s="19"/>
      <c r="H616" s="19"/>
      <c r="I616" s="19"/>
      <c r="J616" s="19"/>
    </row>
    <row r="617" spans="5:10" ht="15.75" customHeight="1" x14ac:dyDescent="0.3">
      <c r="E617" s="19"/>
      <c r="F617" s="96"/>
      <c r="G617" s="19"/>
      <c r="H617" s="19"/>
      <c r="I617" s="19"/>
      <c r="J617" s="19"/>
    </row>
    <row r="618" spans="5:10" ht="15.75" customHeight="1" x14ac:dyDescent="0.3">
      <c r="E618" s="19"/>
      <c r="F618" s="96"/>
      <c r="G618" s="19"/>
      <c r="H618" s="19"/>
      <c r="I618" s="19"/>
      <c r="J618" s="19"/>
    </row>
    <row r="619" spans="5:10" ht="15.75" customHeight="1" x14ac:dyDescent="0.3">
      <c r="E619" s="19"/>
      <c r="F619" s="96"/>
      <c r="G619" s="19"/>
      <c r="H619" s="19"/>
      <c r="I619" s="19"/>
      <c r="J619" s="19"/>
    </row>
    <row r="620" spans="5:10" ht="15.75" customHeight="1" x14ac:dyDescent="0.3">
      <c r="E620" s="19"/>
      <c r="F620" s="96"/>
      <c r="G620" s="19"/>
      <c r="H620" s="19"/>
      <c r="I620" s="19"/>
      <c r="J620" s="19"/>
    </row>
    <row r="621" spans="5:10" ht="15.75" customHeight="1" x14ac:dyDescent="0.3">
      <c r="E621" s="19"/>
      <c r="F621" s="96"/>
      <c r="G621" s="19"/>
      <c r="H621" s="19"/>
      <c r="I621" s="19"/>
      <c r="J621" s="19"/>
    </row>
    <row r="622" spans="5:10" ht="15.75" customHeight="1" x14ac:dyDescent="0.3">
      <c r="E622" s="19"/>
      <c r="F622" s="96"/>
      <c r="G622" s="19"/>
      <c r="H622" s="19"/>
      <c r="I622" s="19"/>
      <c r="J622" s="19"/>
    </row>
    <row r="623" spans="5:10" ht="15.75" customHeight="1" x14ac:dyDescent="0.3">
      <c r="E623" s="19"/>
      <c r="F623" s="96"/>
      <c r="G623" s="19"/>
      <c r="H623" s="19"/>
      <c r="I623" s="19"/>
      <c r="J623" s="19"/>
    </row>
    <row r="624" spans="5:10" ht="15.75" customHeight="1" x14ac:dyDescent="0.3">
      <c r="E624" s="19"/>
      <c r="F624" s="96"/>
      <c r="G624" s="19"/>
      <c r="H624" s="19"/>
      <c r="I624" s="19"/>
      <c r="J624" s="19"/>
    </row>
    <row r="625" spans="5:10" ht="15.75" customHeight="1" x14ac:dyDescent="0.3">
      <c r="E625" s="19"/>
      <c r="F625" s="96"/>
      <c r="G625" s="19"/>
      <c r="H625" s="19"/>
      <c r="I625" s="19"/>
      <c r="J625" s="19"/>
    </row>
    <row r="626" spans="5:10" ht="15.75" customHeight="1" x14ac:dyDescent="0.3">
      <c r="E626" s="19"/>
      <c r="F626" s="96"/>
      <c r="G626" s="19"/>
      <c r="H626" s="19"/>
      <c r="I626" s="19"/>
      <c r="J626" s="19"/>
    </row>
    <row r="627" spans="5:10" ht="15.75" customHeight="1" x14ac:dyDescent="0.3">
      <c r="E627" s="19"/>
      <c r="F627" s="96"/>
      <c r="G627" s="19"/>
      <c r="H627" s="19"/>
      <c r="I627" s="19"/>
      <c r="J627" s="19"/>
    </row>
    <row r="628" spans="5:10" ht="15.75" customHeight="1" x14ac:dyDescent="0.3">
      <c r="E628" s="19"/>
      <c r="F628" s="96"/>
      <c r="G628" s="19"/>
      <c r="H628" s="19"/>
      <c r="I628" s="19"/>
      <c r="J628" s="19"/>
    </row>
    <row r="629" spans="5:10" ht="15.75" customHeight="1" x14ac:dyDescent="0.3">
      <c r="E629" s="19"/>
      <c r="F629" s="96"/>
      <c r="G629" s="19"/>
      <c r="H629" s="19"/>
      <c r="I629" s="19"/>
      <c r="J629" s="19"/>
    </row>
    <row r="630" spans="5:10" ht="15.75" customHeight="1" x14ac:dyDescent="0.3">
      <c r="E630" s="19"/>
      <c r="F630" s="96"/>
      <c r="G630" s="19"/>
      <c r="H630" s="19"/>
      <c r="I630" s="19"/>
      <c r="J630" s="19"/>
    </row>
    <row r="631" spans="5:10" ht="15.75" customHeight="1" x14ac:dyDescent="0.3">
      <c r="E631" s="19"/>
      <c r="F631" s="96"/>
      <c r="G631" s="19"/>
      <c r="H631" s="19"/>
      <c r="I631" s="19"/>
      <c r="J631" s="19"/>
    </row>
    <row r="632" spans="5:10" ht="15.75" customHeight="1" x14ac:dyDescent="0.3">
      <c r="E632" s="19"/>
      <c r="F632" s="96"/>
      <c r="G632" s="19"/>
      <c r="H632" s="19"/>
      <c r="I632" s="19"/>
      <c r="J632" s="19"/>
    </row>
    <row r="633" spans="5:10" ht="15.75" customHeight="1" x14ac:dyDescent="0.3">
      <c r="E633" s="19"/>
      <c r="F633" s="96"/>
      <c r="G633" s="19"/>
      <c r="H633" s="19"/>
      <c r="I633" s="19"/>
      <c r="J633" s="19"/>
    </row>
    <row r="634" spans="5:10" ht="15.75" customHeight="1" x14ac:dyDescent="0.3">
      <c r="E634" s="19"/>
      <c r="F634" s="96"/>
      <c r="G634" s="19"/>
      <c r="H634" s="19"/>
      <c r="I634" s="19"/>
      <c r="J634" s="19"/>
    </row>
    <row r="635" spans="5:10" ht="15.75" customHeight="1" x14ac:dyDescent="0.3">
      <c r="E635" s="19"/>
      <c r="F635" s="96"/>
      <c r="G635" s="19"/>
      <c r="H635" s="19"/>
      <c r="I635" s="19"/>
      <c r="J635" s="19"/>
    </row>
    <row r="636" spans="5:10" ht="15.75" customHeight="1" x14ac:dyDescent="0.3">
      <c r="E636" s="19"/>
      <c r="F636" s="96"/>
      <c r="G636" s="19"/>
      <c r="H636" s="19"/>
      <c r="I636" s="19"/>
      <c r="J636" s="19"/>
    </row>
    <row r="637" spans="5:10" ht="15.75" customHeight="1" x14ac:dyDescent="0.3">
      <c r="E637" s="19"/>
      <c r="F637" s="96"/>
      <c r="G637" s="19"/>
      <c r="H637" s="19"/>
      <c r="I637" s="19"/>
      <c r="J637" s="19"/>
    </row>
    <row r="638" spans="5:10" ht="15.75" customHeight="1" x14ac:dyDescent="0.3">
      <c r="E638" s="19"/>
      <c r="F638" s="96"/>
      <c r="G638" s="19"/>
      <c r="H638" s="19"/>
      <c r="I638" s="19"/>
      <c r="J638" s="19"/>
    </row>
    <row r="639" spans="5:10" ht="15.75" customHeight="1" x14ac:dyDescent="0.3">
      <c r="E639" s="19"/>
      <c r="F639" s="96"/>
      <c r="G639" s="19"/>
      <c r="H639" s="19"/>
      <c r="I639" s="19"/>
      <c r="J639" s="19"/>
    </row>
    <row r="640" spans="5:10" ht="15.75" customHeight="1" x14ac:dyDescent="0.3">
      <c r="E640" s="19"/>
      <c r="F640" s="96"/>
      <c r="G640" s="19"/>
      <c r="H640" s="19"/>
      <c r="I640" s="19"/>
      <c r="J640" s="19"/>
    </row>
    <row r="641" spans="5:10" ht="15.75" customHeight="1" x14ac:dyDescent="0.3">
      <c r="E641" s="19"/>
      <c r="F641" s="96"/>
      <c r="G641" s="19"/>
      <c r="H641" s="19"/>
      <c r="I641" s="19"/>
      <c r="J641" s="19"/>
    </row>
    <row r="642" spans="5:10" ht="15.75" customHeight="1" x14ac:dyDescent="0.3">
      <c r="E642" s="19"/>
      <c r="F642" s="96"/>
      <c r="G642" s="19"/>
      <c r="H642" s="19"/>
      <c r="I642" s="19"/>
      <c r="J642" s="19"/>
    </row>
    <row r="643" spans="5:10" ht="15.75" customHeight="1" x14ac:dyDescent="0.3">
      <c r="E643" s="19"/>
      <c r="F643" s="96"/>
      <c r="G643" s="19"/>
      <c r="H643" s="19"/>
      <c r="I643" s="19"/>
      <c r="J643" s="19"/>
    </row>
    <row r="644" spans="5:10" ht="15.75" customHeight="1" x14ac:dyDescent="0.3">
      <c r="E644" s="19"/>
      <c r="F644" s="96"/>
      <c r="G644" s="19"/>
      <c r="H644" s="19"/>
      <c r="I644" s="19"/>
      <c r="J644" s="19"/>
    </row>
    <row r="645" spans="5:10" ht="15.75" customHeight="1" x14ac:dyDescent="0.3">
      <c r="E645" s="19"/>
      <c r="F645" s="96"/>
      <c r="G645" s="19"/>
      <c r="H645" s="19"/>
      <c r="I645" s="19"/>
      <c r="J645" s="19"/>
    </row>
    <row r="646" spans="5:10" ht="15.75" customHeight="1" x14ac:dyDescent="0.3">
      <c r="E646" s="19"/>
      <c r="F646" s="96"/>
      <c r="G646" s="19"/>
      <c r="H646" s="19"/>
      <c r="I646" s="19"/>
      <c r="J646" s="19"/>
    </row>
    <row r="647" spans="5:10" ht="15.75" customHeight="1" x14ac:dyDescent="0.3">
      <c r="E647" s="19"/>
      <c r="F647" s="96"/>
      <c r="G647" s="19"/>
      <c r="H647" s="19"/>
      <c r="I647" s="19"/>
      <c r="J647" s="19"/>
    </row>
    <row r="648" spans="5:10" ht="15.75" customHeight="1" x14ac:dyDescent="0.3">
      <c r="E648" s="19"/>
      <c r="F648" s="96"/>
      <c r="G648" s="19"/>
      <c r="H648" s="19"/>
      <c r="I648" s="19"/>
      <c r="J648" s="19"/>
    </row>
    <row r="649" spans="5:10" ht="15.75" customHeight="1" x14ac:dyDescent="0.3">
      <c r="E649" s="19"/>
      <c r="F649" s="96"/>
      <c r="G649" s="19"/>
      <c r="H649" s="19"/>
      <c r="I649" s="19"/>
      <c r="J649" s="19"/>
    </row>
    <row r="650" spans="5:10" ht="15.75" customHeight="1" x14ac:dyDescent="0.3">
      <c r="E650" s="19"/>
      <c r="F650" s="96"/>
      <c r="G650" s="19"/>
      <c r="H650" s="19"/>
      <c r="I650" s="19"/>
      <c r="J650" s="19"/>
    </row>
    <row r="651" spans="5:10" ht="15.75" customHeight="1" x14ac:dyDescent="0.3">
      <c r="E651" s="19"/>
      <c r="F651" s="96"/>
      <c r="G651" s="19"/>
      <c r="H651" s="19"/>
      <c r="I651" s="19"/>
      <c r="J651" s="19"/>
    </row>
    <row r="652" spans="5:10" ht="15.75" customHeight="1" x14ac:dyDescent="0.3">
      <c r="E652" s="19"/>
      <c r="F652" s="96"/>
      <c r="G652" s="19"/>
      <c r="H652" s="19"/>
      <c r="I652" s="19"/>
      <c r="J652" s="19"/>
    </row>
    <row r="653" spans="5:10" ht="15.75" customHeight="1" x14ac:dyDescent="0.3">
      <c r="E653" s="19"/>
      <c r="F653" s="96"/>
      <c r="G653" s="19"/>
      <c r="H653" s="19"/>
      <c r="I653" s="19"/>
      <c r="J653" s="19"/>
    </row>
    <row r="654" spans="5:10" ht="15.75" customHeight="1" x14ac:dyDescent="0.3">
      <c r="E654" s="19"/>
      <c r="F654" s="96"/>
      <c r="G654" s="19"/>
      <c r="H654" s="19"/>
      <c r="I654" s="19"/>
      <c r="J654" s="19"/>
    </row>
    <row r="655" spans="5:10" ht="15.75" customHeight="1" x14ac:dyDescent="0.3">
      <c r="E655" s="19"/>
      <c r="F655" s="96"/>
      <c r="G655" s="19"/>
      <c r="H655" s="19"/>
      <c r="I655" s="19"/>
      <c r="J655" s="19"/>
    </row>
    <row r="656" spans="5:10" ht="15.75" customHeight="1" x14ac:dyDescent="0.3">
      <c r="E656" s="19"/>
      <c r="F656" s="96"/>
      <c r="G656" s="19"/>
      <c r="H656" s="19"/>
      <c r="I656" s="19"/>
      <c r="J656" s="19"/>
    </row>
    <row r="657" spans="5:10" ht="15.75" customHeight="1" x14ac:dyDescent="0.3">
      <c r="E657" s="19"/>
      <c r="F657" s="96"/>
      <c r="G657" s="19"/>
      <c r="H657" s="19"/>
      <c r="I657" s="19"/>
      <c r="J657" s="19"/>
    </row>
    <row r="658" spans="5:10" ht="15.75" customHeight="1" x14ac:dyDescent="0.3">
      <c r="E658" s="19"/>
      <c r="F658" s="96"/>
      <c r="G658" s="19"/>
      <c r="H658" s="19"/>
      <c r="I658" s="19"/>
      <c r="J658" s="19"/>
    </row>
    <row r="659" spans="5:10" ht="15.75" customHeight="1" x14ac:dyDescent="0.3">
      <c r="E659" s="19"/>
      <c r="F659" s="96"/>
      <c r="G659" s="19"/>
      <c r="H659" s="19"/>
      <c r="I659" s="19"/>
      <c r="J659" s="19"/>
    </row>
    <row r="660" spans="5:10" ht="15.75" customHeight="1" x14ac:dyDescent="0.3">
      <c r="E660" s="19"/>
      <c r="F660" s="96"/>
      <c r="G660" s="19"/>
      <c r="H660" s="19"/>
      <c r="I660" s="19"/>
      <c r="J660" s="19"/>
    </row>
    <row r="661" spans="5:10" ht="15.75" customHeight="1" x14ac:dyDescent="0.3">
      <c r="E661" s="19"/>
      <c r="F661" s="96"/>
      <c r="G661" s="19"/>
      <c r="H661" s="19"/>
      <c r="I661" s="19"/>
      <c r="J661" s="19"/>
    </row>
    <row r="662" spans="5:10" ht="15.75" customHeight="1" x14ac:dyDescent="0.3">
      <c r="E662" s="19"/>
      <c r="F662" s="96"/>
      <c r="G662" s="19"/>
      <c r="H662" s="19"/>
      <c r="I662" s="19"/>
      <c r="J662" s="19"/>
    </row>
    <row r="663" spans="5:10" ht="15.75" customHeight="1" x14ac:dyDescent="0.3">
      <c r="E663" s="19"/>
      <c r="F663" s="96"/>
      <c r="G663" s="19"/>
      <c r="H663" s="19"/>
      <c r="I663" s="19"/>
      <c r="J663" s="19"/>
    </row>
    <row r="664" spans="5:10" ht="15.75" customHeight="1" x14ac:dyDescent="0.3">
      <c r="E664" s="19"/>
      <c r="F664" s="96"/>
      <c r="G664" s="19"/>
      <c r="H664" s="19"/>
      <c r="I664" s="19"/>
      <c r="J664" s="19"/>
    </row>
    <row r="665" spans="5:10" ht="15.75" customHeight="1" x14ac:dyDescent="0.3">
      <c r="E665" s="19"/>
      <c r="F665" s="96"/>
      <c r="G665" s="19"/>
      <c r="H665" s="19"/>
      <c r="I665" s="19"/>
      <c r="J665" s="19"/>
    </row>
    <row r="666" spans="5:10" ht="15.75" customHeight="1" x14ac:dyDescent="0.3">
      <c r="E666" s="19"/>
      <c r="F666" s="96"/>
      <c r="G666" s="19"/>
      <c r="H666" s="19"/>
      <c r="I666" s="19"/>
      <c r="J666" s="19"/>
    </row>
    <row r="667" spans="5:10" ht="15.75" customHeight="1" x14ac:dyDescent="0.3">
      <c r="E667" s="19"/>
      <c r="F667" s="96"/>
      <c r="G667" s="19"/>
      <c r="H667" s="19"/>
      <c r="I667" s="19"/>
      <c r="J667" s="19"/>
    </row>
    <row r="668" spans="5:10" ht="15.75" customHeight="1" x14ac:dyDescent="0.3">
      <c r="E668" s="19"/>
      <c r="F668" s="96"/>
      <c r="G668" s="19"/>
      <c r="H668" s="19"/>
      <c r="I668" s="19"/>
      <c r="J668" s="19"/>
    </row>
    <row r="669" spans="5:10" ht="15.75" customHeight="1" x14ac:dyDescent="0.3">
      <c r="E669" s="19"/>
      <c r="F669" s="96"/>
      <c r="G669" s="19"/>
      <c r="H669" s="19"/>
      <c r="I669" s="19"/>
      <c r="J669" s="19"/>
    </row>
    <row r="670" spans="5:10" ht="15.75" customHeight="1" x14ac:dyDescent="0.3">
      <c r="E670" s="19"/>
      <c r="F670" s="96"/>
      <c r="G670" s="19"/>
      <c r="H670" s="19"/>
      <c r="I670" s="19"/>
      <c r="J670" s="19"/>
    </row>
    <row r="671" spans="5:10" ht="15.75" customHeight="1" x14ac:dyDescent="0.3">
      <c r="E671" s="19"/>
      <c r="F671" s="96"/>
      <c r="G671" s="19"/>
      <c r="H671" s="19"/>
      <c r="I671" s="19"/>
      <c r="J671" s="19"/>
    </row>
    <row r="672" spans="5:10" ht="15.75" customHeight="1" x14ac:dyDescent="0.3">
      <c r="E672" s="19"/>
      <c r="F672" s="96"/>
      <c r="G672" s="19"/>
      <c r="H672" s="19"/>
      <c r="I672" s="19"/>
      <c r="J672" s="19"/>
    </row>
    <row r="673" spans="5:10" ht="15.75" customHeight="1" x14ac:dyDescent="0.3">
      <c r="E673" s="19"/>
      <c r="F673" s="96"/>
      <c r="G673" s="19"/>
      <c r="H673" s="19"/>
      <c r="I673" s="19"/>
      <c r="J673" s="19"/>
    </row>
    <row r="674" spans="5:10" ht="15.75" customHeight="1" x14ac:dyDescent="0.3">
      <c r="E674" s="19"/>
      <c r="F674" s="96"/>
      <c r="G674" s="19"/>
      <c r="H674" s="19"/>
      <c r="I674" s="19"/>
      <c r="J674" s="19"/>
    </row>
    <row r="675" spans="5:10" ht="15.75" customHeight="1" x14ac:dyDescent="0.3">
      <c r="E675" s="19"/>
      <c r="F675" s="96"/>
      <c r="G675" s="19"/>
      <c r="H675" s="19"/>
      <c r="I675" s="19"/>
      <c r="J675" s="19"/>
    </row>
    <row r="676" spans="5:10" ht="15.75" customHeight="1" x14ac:dyDescent="0.3">
      <c r="E676" s="19"/>
      <c r="F676" s="96"/>
      <c r="G676" s="19"/>
      <c r="H676" s="19"/>
      <c r="I676" s="19"/>
      <c r="J676" s="19"/>
    </row>
    <row r="677" spans="5:10" ht="15.75" customHeight="1" x14ac:dyDescent="0.3">
      <c r="E677" s="19"/>
      <c r="F677" s="96"/>
      <c r="G677" s="19"/>
      <c r="H677" s="19"/>
      <c r="I677" s="19"/>
      <c r="J677" s="19"/>
    </row>
    <row r="678" spans="5:10" ht="15.75" customHeight="1" x14ac:dyDescent="0.3">
      <c r="E678" s="19"/>
      <c r="F678" s="96"/>
      <c r="G678" s="19"/>
      <c r="H678" s="19"/>
      <c r="I678" s="19"/>
      <c r="J678" s="19"/>
    </row>
    <row r="679" spans="5:10" ht="15.75" customHeight="1" x14ac:dyDescent="0.3">
      <c r="E679" s="19"/>
      <c r="F679" s="96"/>
      <c r="G679" s="19"/>
      <c r="H679" s="19"/>
      <c r="I679" s="19"/>
      <c r="J679" s="19"/>
    </row>
    <row r="680" spans="5:10" ht="15.75" customHeight="1" x14ac:dyDescent="0.3">
      <c r="E680" s="19"/>
      <c r="F680" s="96"/>
      <c r="G680" s="19"/>
      <c r="H680" s="19"/>
      <c r="I680" s="19"/>
      <c r="J680" s="19"/>
    </row>
    <row r="681" spans="5:10" ht="15.75" customHeight="1" x14ac:dyDescent="0.3">
      <c r="E681" s="19"/>
      <c r="F681" s="96"/>
      <c r="G681" s="19"/>
      <c r="H681" s="19"/>
      <c r="I681" s="19"/>
      <c r="J681" s="19"/>
    </row>
    <row r="682" spans="5:10" ht="15.75" customHeight="1" x14ac:dyDescent="0.3">
      <c r="E682" s="19"/>
      <c r="F682" s="96"/>
      <c r="G682" s="19"/>
      <c r="H682" s="19"/>
      <c r="I682" s="19"/>
      <c r="J682" s="19"/>
    </row>
    <row r="683" spans="5:10" ht="15.75" customHeight="1" x14ac:dyDescent="0.3">
      <c r="E683" s="19"/>
      <c r="F683" s="96"/>
      <c r="G683" s="19"/>
      <c r="H683" s="19"/>
      <c r="I683" s="19"/>
      <c r="J683" s="19"/>
    </row>
    <row r="684" spans="5:10" ht="15.75" customHeight="1" x14ac:dyDescent="0.3">
      <c r="E684" s="19"/>
      <c r="F684" s="96"/>
      <c r="G684" s="19"/>
      <c r="H684" s="19"/>
      <c r="I684" s="19"/>
      <c r="J684" s="19"/>
    </row>
    <row r="685" spans="5:10" ht="15.75" customHeight="1" x14ac:dyDescent="0.3">
      <c r="E685" s="19"/>
      <c r="F685" s="96"/>
      <c r="G685" s="19"/>
      <c r="H685" s="19"/>
      <c r="I685" s="19"/>
      <c r="J685" s="19"/>
    </row>
    <row r="686" spans="5:10" ht="15.75" customHeight="1" x14ac:dyDescent="0.3">
      <c r="E686" s="19"/>
      <c r="F686" s="96"/>
      <c r="G686" s="19"/>
      <c r="H686" s="19"/>
      <c r="I686" s="19"/>
      <c r="J686" s="19"/>
    </row>
    <row r="687" spans="5:10" ht="15.75" customHeight="1" x14ac:dyDescent="0.3">
      <c r="E687" s="19"/>
      <c r="F687" s="96"/>
      <c r="G687" s="19"/>
      <c r="H687" s="19"/>
      <c r="I687" s="19"/>
      <c r="J687" s="19"/>
    </row>
    <row r="688" spans="5:10" ht="15.75" customHeight="1" x14ac:dyDescent="0.3">
      <c r="E688" s="19"/>
      <c r="F688" s="96"/>
      <c r="G688" s="19"/>
      <c r="H688" s="19"/>
      <c r="I688" s="19"/>
      <c r="J688" s="19"/>
    </row>
    <row r="689" spans="5:10" ht="15.75" customHeight="1" x14ac:dyDescent="0.3">
      <c r="E689" s="19"/>
      <c r="F689" s="96"/>
      <c r="G689" s="19"/>
      <c r="H689" s="19"/>
      <c r="I689" s="19"/>
      <c r="J689" s="19"/>
    </row>
    <row r="690" spans="5:10" ht="15.75" customHeight="1" x14ac:dyDescent="0.3">
      <c r="E690" s="19"/>
      <c r="F690" s="96"/>
      <c r="G690" s="19"/>
      <c r="H690" s="19"/>
      <c r="I690" s="19"/>
      <c r="J690" s="19"/>
    </row>
    <row r="691" spans="5:10" ht="15.75" customHeight="1" x14ac:dyDescent="0.3">
      <c r="E691" s="19"/>
      <c r="F691" s="96"/>
      <c r="G691" s="19"/>
      <c r="H691" s="19"/>
      <c r="I691" s="19"/>
      <c r="J691" s="19"/>
    </row>
    <row r="692" spans="5:10" ht="15.75" customHeight="1" x14ac:dyDescent="0.3">
      <c r="E692" s="19"/>
      <c r="F692" s="96"/>
      <c r="G692" s="19"/>
      <c r="H692" s="19"/>
      <c r="I692" s="19"/>
      <c r="J692" s="19"/>
    </row>
    <row r="693" spans="5:10" ht="15.75" customHeight="1" x14ac:dyDescent="0.3">
      <c r="E693" s="19"/>
      <c r="F693" s="96"/>
      <c r="G693" s="19"/>
      <c r="H693" s="19"/>
      <c r="I693" s="19"/>
      <c r="J693" s="19"/>
    </row>
    <row r="694" spans="5:10" ht="15.75" customHeight="1" x14ac:dyDescent="0.3">
      <c r="E694" s="19"/>
      <c r="F694" s="96"/>
      <c r="G694" s="19"/>
      <c r="H694" s="19"/>
      <c r="I694" s="19"/>
      <c r="J694" s="19"/>
    </row>
    <row r="695" spans="5:10" ht="15.75" customHeight="1" x14ac:dyDescent="0.3">
      <c r="E695" s="19"/>
      <c r="F695" s="96"/>
      <c r="G695" s="19"/>
      <c r="H695" s="19"/>
      <c r="I695" s="19"/>
      <c r="J695" s="19"/>
    </row>
    <row r="696" spans="5:10" ht="15.75" customHeight="1" x14ac:dyDescent="0.3">
      <c r="E696" s="19"/>
      <c r="F696" s="96"/>
      <c r="G696" s="19"/>
      <c r="H696" s="19"/>
      <c r="I696" s="19"/>
      <c r="J696" s="19"/>
    </row>
    <row r="697" spans="5:10" ht="15.75" customHeight="1" x14ac:dyDescent="0.3">
      <c r="E697" s="19"/>
      <c r="F697" s="96"/>
      <c r="G697" s="19"/>
      <c r="H697" s="19"/>
      <c r="I697" s="19"/>
      <c r="J697" s="19"/>
    </row>
    <row r="698" spans="5:10" ht="15.75" customHeight="1" x14ac:dyDescent="0.3">
      <c r="E698" s="19"/>
      <c r="F698" s="96"/>
      <c r="G698" s="19"/>
      <c r="H698" s="19"/>
      <c r="I698" s="19"/>
      <c r="J698" s="19"/>
    </row>
    <row r="699" spans="5:10" ht="15.75" customHeight="1" x14ac:dyDescent="0.3">
      <c r="E699" s="19"/>
      <c r="F699" s="96"/>
      <c r="G699" s="19"/>
      <c r="H699" s="19"/>
      <c r="I699" s="19"/>
      <c r="J699" s="19"/>
    </row>
    <row r="700" spans="5:10" ht="15.75" customHeight="1" x14ac:dyDescent="0.3">
      <c r="E700" s="19"/>
      <c r="F700" s="96"/>
      <c r="G700" s="19"/>
      <c r="H700" s="19"/>
      <c r="I700" s="19"/>
      <c r="J700" s="19"/>
    </row>
    <row r="701" spans="5:10" ht="15.75" customHeight="1" x14ac:dyDescent="0.3">
      <c r="E701" s="19"/>
      <c r="F701" s="96"/>
      <c r="G701" s="19"/>
      <c r="H701" s="19"/>
      <c r="I701" s="19"/>
      <c r="J701" s="19"/>
    </row>
    <row r="702" spans="5:10" ht="15.75" customHeight="1" x14ac:dyDescent="0.3">
      <c r="E702" s="19"/>
      <c r="F702" s="96"/>
      <c r="G702" s="19"/>
      <c r="H702" s="19"/>
      <c r="I702" s="19"/>
      <c r="J702" s="19"/>
    </row>
    <row r="703" spans="5:10" ht="15.75" customHeight="1" x14ac:dyDescent="0.3">
      <c r="E703" s="19"/>
      <c r="F703" s="96"/>
      <c r="G703" s="19"/>
      <c r="H703" s="19"/>
      <c r="I703" s="19"/>
      <c r="J703" s="19"/>
    </row>
    <row r="704" spans="5:10" ht="15.75" customHeight="1" x14ac:dyDescent="0.3">
      <c r="E704" s="19"/>
      <c r="F704" s="96"/>
      <c r="G704" s="19"/>
      <c r="H704" s="19"/>
      <c r="I704" s="19"/>
      <c r="J704" s="19"/>
    </row>
    <row r="705" spans="5:10" ht="15.75" customHeight="1" x14ac:dyDescent="0.3">
      <c r="E705" s="19"/>
      <c r="F705" s="96"/>
      <c r="G705" s="19"/>
      <c r="H705" s="19"/>
      <c r="I705" s="19"/>
      <c r="J705" s="19"/>
    </row>
    <row r="706" spans="5:10" ht="15.75" customHeight="1" x14ac:dyDescent="0.3">
      <c r="E706" s="19"/>
      <c r="F706" s="96"/>
      <c r="G706" s="19"/>
      <c r="H706" s="19"/>
      <c r="I706" s="19"/>
      <c r="J706" s="19"/>
    </row>
    <row r="707" spans="5:10" ht="15.75" customHeight="1" x14ac:dyDescent="0.3">
      <c r="E707" s="19"/>
      <c r="F707" s="96"/>
      <c r="G707" s="19"/>
      <c r="H707" s="19"/>
      <c r="I707" s="19"/>
      <c r="J707" s="19"/>
    </row>
    <row r="708" spans="5:10" ht="15.75" customHeight="1" x14ac:dyDescent="0.3">
      <c r="E708" s="19"/>
      <c r="F708" s="96"/>
      <c r="G708" s="19"/>
      <c r="H708" s="19"/>
      <c r="I708" s="19"/>
      <c r="J708" s="19"/>
    </row>
    <row r="709" spans="5:10" ht="15.75" customHeight="1" x14ac:dyDescent="0.3">
      <c r="E709" s="19"/>
      <c r="F709" s="96"/>
      <c r="G709" s="19"/>
      <c r="H709" s="19"/>
      <c r="I709" s="19"/>
      <c r="J709" s="19"/>
    </row>
    <row r="710" spans="5:10" ht="15.75" customHeight="1" x14ac:dyDescent="0.3">
      <c r="E710" s="19"/>
      <c r="F710" s="96"/>
      <c r="G710" s="19"/>
      <c r="H710" s="19"/>
      <c r="I710" s="19"/>
      <c r="J710" s="19"/>
    </row>
    <row r="711" spans="5:10" ht="15.75" customHeight="1" x14ac:dyDescent="0.3">
      <c r="E711" s="19"/>
      <c r="F711" s="96"/>
      <c r="G711" s="19"/>
      <c r="H711" s="19"/>
      <c r="I711" s="19"/>
      <c r="J711" s="19"/>
    </row>
    <row r="712" spans="5:10" ht="15.75" customHeight="1" x14ac:dyDescent="0.3">
      <c r="E712" s="19"/>
      <c r="F712" s="96"/>
      <c r="G712" s="19"/>
      <c r="H712" s="19"/>
      <c r="I712" s="19"/>
      <c r="J712" s="19"/>
    </row>
    <row r="713" spans="5:10" ht="15.75" customHeight="1" x14ac:dyDescent="0.3">
      <c r="E713" s="19"/>
      <c r="F713" s="96"/>
      <c r="G713" s="19"/>
      <c r="H713" s="19"/>
      <c r="I713" s="19"/>
      <c r="J713" s="19"/>
    </row>
    <row r="714" spans="5:10" ht="15.75" customHeight="1" x14ac:dyDescent="0.3">
      <c r="E714" s="19"/>
      <c r="F714" s="96"/>
      <c r="G714" s="19"/>
      <c r="H714" s="19"/>
      <c r="I714" s="19"/>
      <c r="J714" s="19"/>
    </row>
    <row r="715" spans="5:10" ht="15.75" customHeight="1" x14ac:dyDescent="0.3">
      <c r="E715" s="19"/>
      <c r="F715" s="96"/>
      <c r="G715" s="19"/>
      <c r="H715" s="19"/>
      <c r="I715" s="19"/>
      <c r="J715" s="19"/>
    </row>
    <row r="716" spans="5:10" ht="15.75" customHeight="1" x14ac:dyDescent="0.3">
      <c r="E716" s="19"/>
      <c r="F716" s="96"/>
      <c r="G716" s="19"/>
      <c r="H716" s="19"/>
      <c r="I716" s="19"/>
      <c r="J716" s="19"/>
    </row>
    <row r="717" spans="5:10" ht="15.75" customHeight="1" x14ac:dyDescent="0.3">
      <c r="E717" s="19"/>
      <c r="F717" s="96"/>
      <c r="G717" s="19"/>
      <c r="H717" s="19"/>
      <c r="I717" s="19"/>
      <c r="J717" s="19"/>
    </row>
    <row r="718" spans="5:10" ht="15.75" customHeight="1" x14ac:dyDescent="0.3">
      <c r="E718" s="19"/>
      <c r="F718" s="96"/>
      <c r="G718" s="19"/>
      <c r="H718" s="19"/>
      <c r="I718" s="19"/>
      <c r="J718" s="19"/>
    </row>
    <row r="719" spans="5:10" ht="15.75" customHeight="1" x14ac:dyDescent="0.3">
      <c r="E719" s="19"/>
      <c r="F719" s="96"/>
      <c r="G719" s="19"/>
      <c r="H719" s="19"/>
      <c r="I719" s="19"/>
      <c r="J719" s="19"/>
    </row>
    <row r="720" spans="5:10" ht="15.75" customHeight="1" x14ac:dyDescent="0.3">
      <c r="E720" s="19"/>
      <c r="F720" s="96"/>
      <c r="G720" s="19"/>
      <c r="H720" s="19"/>
      <c r="I720" s="19"/>
      <c r="J720" s="19"/>
    </row>
    <row r="721" spans="5:10" ht="15.75" customHeight="1" x14ac:dyDescent="0.3">
      <c r="E721" s="19"/>
      <c r="F721" s="96"/>
      <c r="G721" s="19"/>
      <c r="H721" s="19"/>
      <c r="I721" s="19"/>
      <c r="J721" s="19"/>
    </row>
    <row r="722" spans="5:10" ht="15.75" customHeight="1" x14ac:dyDescent="0.3">
      <c r="E722" s="19"/>
      <c r="F722" s="96"/>
      <c r="G722" s="19"/>
      <c r="H722" s="19"/>
      <c r="I722" s="19"/>
      <c r="J722" s="19"/>
    </row>
    <row r="723" spans="5:10" ht="15.75" customHeight="1" x14ac:dyDescent="0.3">
      <c r="E723" s="19"/>
      <c r="F723" s="96"/>
      <c r="G723" s="19"/>
      <c r="H723" s="19"/>
      <c r="I723" s="19"/>
      <c r="J723" s="19"/>
    </row>
    <row r="724" spans="5:10" ht="15.75" customHeight="1" x14ac:dyDescent="0.3">
      <c r="E724" s="19"/>
      <c r="F724" s="96"/>
      <c r="G724" s="19"/>
      <c r="H724" s="19"/>
      <c r="I724" s="19"/>
      <c r="J724" s="19"/>
    </row>
    <row r="725" spans="5:10" ht="15.75" customHeight="1" x14ac:dyDescent="0.3">
      <c r="E725" s="19"/>
      <c r="F725" s="96"/>
      <c r="G725" s="19"/>
      <c r="H725" s="19"/>
      <c r="I725" s="19"/>
      <c r="J725" s="19"/>
    </row>
    <row r="726" spans="5:10" ht="15.75" customHeight="1" x14ac:dyDescent="0.3">
      <c r="E726" s="19"/>
      <c r="F726" s="96"/>
      <c r="G726" s="19"/>
      <c r="H726" s="19"/>
      <c r="I726" s="19"/>
      <c r="J726" s="19"/>
    </row>
    <row r="727" spans="5:10" ht="15.75" customHeight="1" x14ac:dyDescent="0.3">
      <c r="E727" s="19"/>
      <c r="F727" s="96"/>
      <c r="G727" s="19"/>
      <c r="H727" s="19"/>
      <c r="I727" s="19"/>
      <c r="J727" s="19"/>
    </row>
    <row r="728" spans="5:10" ht="15.75" customHeight="1" x14ac:dyDescent="0.3">
      <c r="E728" s="19"/>
      <c r="F728" s="96"/>
      <c r="G728" s="19"/>
      <c r="H728" s="19"/>
      <c r="I728" s="19"/>
      <c r="J728" s="19"/>
    </row>
    <row r="729" spans="5:10" ht="15.75" customHeight="1" x14ac:dyDescent="0.3">
      <c r="E729" s="19"/>
      <c r="F729" s="96"/>
      <c r="G729" s="19"/>
      <c r="H729" s="19"/>
      <c r="I729" s="19"/>
      <c r="J729" s="19"/>
    </row>
    <row r="730" spans="5:10" ht="15.75" customHeight="1" x14ac:dyDescent="0.3">
      <c r="E730" s="19"/>
      <c r="F730" s="96"/>
      <c r="G730" s="19"/>
      <c r="H730" s="19"/>
      <c r="I730" s="19"/>
      <c r="J730" s="19"/>
    </row>
    <row r="731" spans="5:10" ht="15.75" customHeight="1" x14ac:dyDescent="0.3">
      <c r="E731" s="19"/>
      <c r="F731" s="96"/>
      <c r="G731" s="19"/>
      <c r="H731" s="19"/>
      <c r="I731" s="19"/>
      <c r="J731" s="19"/>
    </row>
    <row r="732" spans="5:10" ht="15.75" customHeight="1" x14ac:dyDescent="0.3">
      <c r="E732" s="19"/>
      <c r="F732" s="96"/>
      <c r="G732" s="19"/>
      <c r="H732" s="19"/>
      <c r="I732" s="19"/>
      <c r="J732" s="19"/>
    </row>
    <row r="733" spans="5:10" ht="15.75" customHeight="1" x14ac:dyDescent="0.3">
      <c r="E733" s="19"/>
      <c r="F733" s="96"/>
      <c r="G733" s="19"/>
      <c r="H733" s="19"/>
      <c r="I733" s="19"/>
      <c r="J733" s="19"/>
    </row>
    <row r="734" spans="5:10" ht="15.75" customHeight="1" x14ac:dyDescent="0.3">
      <c r="E734" s="19"/>
      <c r="F734" s="96"/>
      <c r="G734" s="19"/>
      <c r="H734" s="19"/>
      <c r="I734" s="19"/>
      <c r="J734" s="19"/>
    </row>
    <row r="735" spans="5:10" ht="15.75" customHeight="1" x14ac:dyDescent="0.3">
      <c r="E735" s="19"/>
      <c r="F735" s="96"/>
      <c r="G735" s="19"/>
      <c r="H735" s="19"/>
      <c r="I735" s="19"/>
      <c r="J735" s="19"/>
    </row>
    <row r="736" spans="5:10" ht="15.75" customHeight="1" x14ac:dyDescent="0.3">
      <c r="E736" s="19"/>
      <c r="F736" s="96"/>
      <c r="G736" s="19"/>
      <c r="H736" s="19"/>
      <c r="I736" s="19"/>
      <c r="J736" s="19"/>
    </row>
    <row r="737" spans="5:10" ht="15.75" customHeight="1" x14ac:dyDescent="0.3">
      <c r="E737" s="19"/>
      <c r="F737" s="96"/>
      <c r="G737" s="19"/>
      <c r="H737" s="19"/>
      <c r="I737" s="19"/>
      <c r="J737" s="19"/>
    </row>
    <row r="738" spans="5:10" ht="15.75" customHeight="1" x14ac:dyDescent="0.3">
      <c r="E738" s="19"/>
      <c r="F738" s="96"/>
      <c r="G738" s="19"/>
      <c r="H738" s="19"/>
      <c r="I738" s="19"/>
      <c r="J738" s="19"/>
    </row>
    <row r="739" spans="5:10" ht="15.75" customHeight="1" x14ac:dyDescent="0.3">
      <c r="E739" s="19"/>
      <c r="F739" s="96"/>
      <c r="G739" s="19"/>
      <c r="H739" s="19"/>
      <c r="I739" s="19"/>
      <c r="J739" s="19"/>
    </row>
    <row r="740" spans="5:10" ht="15.75" customHeight="1" x14ac:dyDescent="0.3">
      <c r="E740" s="19"/>
      <c r="F740" s="96"/>
      <c r="G740" s="19"/>
      <c r="H740" s="19"/>
      <c r="I740" s="19"/>
      <c r="J740" s="19"/>
    </row>
    <row r="741" spans="5:10" ht="15.75" customHeight="1" x14ac:dyDescent="0.3">
      <c r="E741" s="19"/>
      <c r="F741" s="96"/>
      <c r="G741" s="19"/>
      <c r="H741" s="19"/>
      <c r="I741" s="19"/>
      <c r="J741" s="19"/>
    </row>
    <row r="742" spans="5:10" ht="15.75" customHeight="1" x14ac:dyDescent="0.3">
      <c r="E742" s="19"/>
      <c r="F742" s="96"/>
      <c r="G742" s="19"/>
      <c r="H742" s="19"/>
      <c r="I742" s="19"/>
      <c r="J742" s="19"/>
    </row>
    <row r="743" spans="5:10" ht="15.75" customHeight="1" x14ac:dyDescent="0.3">
      <c r="E743" s="19"/>
      <c r="F743" s="96"/>
      <c r="G743" s="19"/>
      <c r="H743" s="19"/>
      <c r="I743" s="19"/>
      <c r="J743" s="19"/>
    </row>
    <row r="744" spans="5:10" ht="15.75" customHeight="1" x14ac:dyDescent="0.3">
      <c r="E744" s="19"/>
      <c r="F744" s="96"/>
      <c r="G744" s="19"/>
      <c r="H744" s="19"/>
      <c r="I744" s="19"/>
      <c r="J744" s="19"/>
    </row>
    <row r="745" spans="5:10" ht="15.75" customHeight="1" x14ac:dyDescent="0.3">
      <c r="E745" s="19"/>
      <c r="F745" s="96"/>
      <c r="G745" s="19"/>
      <c r="H745" s="19"/>
      <c r="I745" s="19"/>
      <c r="J745" s="19"/>
    </row>
    <row r="746" spans="5:10" ht="15.75" customHeight="1" x14ac:dyDescent="0.3">
      <c r="E746" s="19"/>
      <c r="F746" s="96"/>
      <c r="G746" s="19"/>
      <c r="H746" s="19"/>
      <c r="I746" s="19"/>
      <c r="J746" s="19"/>
    </row>
    <row r="747" spans="5:10" ht="15.75" customHeight="1" x14ac:dyDescent="0.3">
      <c r="E747" s="19"/>
      <c r="F747" s="96"/>
      <c r="G747" s="19"/>
      <c r="H747" s="19"/>
      <c r="I747" s="19"/>
      <c r="J747" s="19"/>
    </row>
    <row r="748" spans="5:10" ht="15.75" customHeight="1" x14ac:dyDescent="0.3">
      <c r="E748" s="19"/>
      <c r="F748" s="96"/>
      <c r="G748" s="19"/>
      <c r="H748" s="19"/>
      <c r="I748" s="19"/>
      <c r="J748" s="19"/>
    </row>
    <row r="749" spans="5:10" ht="15.75" customHeight="1" x14ac:dyDescent="0.3">
      <c r="E749" s="19"/>
      <c r="F749" s="96"/>
      <c r="G749" s="19"/>
      <c r="H749" s="19"/>
      <c r="I749" s="19"/>
      <c r="J749" s="19"/>
    </row>
    <row r="750" spans="5:10" ht="15.75" customHeight="1" x14ac:dyDescent="0.3">
      <c r="E750" s="19"/>
      <c r="F750" s="96"/>
      <c r="G750" s="19"/>
      <c r="H750" s="19"/>
      <c r="I750" s="19"/>
      <c r="J750" s="19"/>
    </row>
    <row r="751" spans="5:10" ht="15.75" customHeight="1" x14ac:dyDescent="0.3">
      <c r="E751" s="19"/>
      <c r="F751" s="96"/>
      <c r="G751" s="19"/>
      <c r="H751" s="19"/>
      <c r="I751" s="19"/>
      <c r="J751" s="19"/>
    </row>
    <row r="752" spans="5:10" ht="15.75" customHeight="1" x14ac:dyDescent="0.3">
      <c r="E752" s="19"/>
      <c r="F752" s="96"/>
      <c r="G752" s="19"/>
      <c r="H752" s="19"/>
      <c r="I752" s="19"/>
      <c r="J752" s="19"/>
    </row>
    <row r="753" spans="5:10" ht="15.75" customHeight="1" x14ac:dyDescent="0.3">
      <c r="E753" s="19"/>
      <c r="F753" s="96"/>
      <c r="G753" s="19"/>
      <c r="H753" s="19"/>
      <c r="I753" s="19"/>
      <c r="J753" s="19"/>
    </row>
    <row r="754" spans="5:10" ht="15.75" customHeight="1" x14ac:dyDescent="0.3">
      <c r="E754" s="19"/>
      <c r="F754" s="96"/>
      <c r="G754" s="19"/>
      <c r="H754" s="19"/>
      <c r="I754" s="19"/>
      <c r="J754" s="19"/>
    </row>
    <row r="755" spans="5:10" ht="15.75" customHeight="1" x14ac:dyDescent="0.3">
      <c r="E755" s="19"/>
      <c r="F755" s="96"/>
      <c r="G755" s="19"/>
      <c r="H755" s="19"/>
      <c r="I755" s="19"/>
      <c r="J755" s="19"/>
    </row>
    <row r="756" spans="5:10" ht="15.75" customHeight="1" x14ac:dyDescent="0.3">
      <c r="E756" s="19"/>
      <c r="F756" s="96"/>
      <c r="G756" s="19"/>
      <c r="H756" s="19"/>
      <c r="I756" s="19"/>
      <c r="J756" s="19"/>
    </row>
    <row r="757" spans="5:10" ht="15.75" customHeight="1" x14ac:dyDescent="0.3">
      <c r="E757" s="19"/>
      <c r="F757" s="96"/>
      <c r="G757" s="19"/>
      <c r="H757" s="19"/>
      <c r="I757" s="19"/>
      <c r="J757" s="19"/>
    </row>
    <row r="758" spans="5:10" ht="15.75" customHeight="1" x14ac:dyDescent="0.3">
      <c r="E758" s="19"/>
      <c r="F758" s="96"/>
      <c r="G758" s="19"/>
      <c r="H758" s="19"/>
      <c r="I758" s="19"/>
      <c r="J758" s="19"/>
    </row>
    <row r="759" spans="5:10" ht="15.75" customHeight="1" x14ac:dyDescent="0.3">
      <c r="E759" s="19"/>
      <c r="F759" s="96"/>
      <c r="G759" s="19"/>
      <c r="H759" s="19"/>
      <c r="I759" s="19"/>
      <c r="J759" s="19"/>
    </row>
    <row r="760" spans="5:10" ht="15.75" customHeight="1" x14ac:dyDescent="0.3">
      <c r="E760" s="19"/>
      <c r="F760" s="96"/>
      <c r="G760" s="19"/>
      <c r="H760" s="19"/>
      <c r="I760" s="19"/>
      <c r="J760" s="19"/>
    </row>
    <row r="761" spans="5:10" ht="15.75" customHeight="1" x14ac:dyDescent="0.3">
      <c r="E761" s="19"/>
      <c r="F761" s="96"/>
      <c r="G761" s="19"/>
      <c r="H761" s="19"/>
      <c r="I761" s="19"/>
      <c r="J761" s="19"/>
    </row>
    <row r="762" spans="5:10" ht="15.75" customHeight="1" x14ac:dyDescent="0.3">
      <c r="E762" s="19"/>
      <c r="F762" s="96"/>
      <c r="G762" s="19"/>
      <c r="H762" s="19"/>
      <c r="I762" s="19"/>
      <c r="J762" s="19"/>
    </row>
    <row r="763" spans="5:10" ht="15.75" customHeight="1" x14ac:dyDescent="0.3">
      <c r="E763" s="19"/>
      <c r="F763" s="96"/>
      <c r="G763" s="19"/>
      <c r="H763" s="19"/>
      <c r="I763" s="19"/>
      <c r="J763" s="19"/>
    </row>
    <row r="764" spans="5:10" ht="15.75" customHeight="1" x14ac:dyDescent="0.3">
      <c r="E764" s="19"/>
      <c r="F764" s="96"/>
      <c r="G764" s="19"/>
      <c r="H764" s="19"/>
      <c r="I764" s="19"/>
      <c r="J764" s="19"/>
    </row>
    <row r="765" spans="5:10" ht="15.75" customHeight="1" x14ac:dyDescent="0.3">
      <c r="E765" s="19"/>
      <c r="F765" s="96"/>
      <c r="G765" s="19"/>
      <c r="H765" s="19"/>
      <c r="I765" s="19"/>
      <c r="J765" s="19"/>
    </row>
    <row r="766" spans="5:10" ht="15.75" customHeight="1" x14ac:dyDescent="0.3">
      <c r="E766" s="19"/>
      <c r="F766" s="96"/>
      <c r="G766" s="19"/>
      <c r="H766" s="19"/>
      <c r="I766" s="19"/>
      <c r="J766" s="19"/>
    </row>
    <row r="767" spans="5:10" ht="15.75" customHeight="1" x14ac:dyDescent="0.3">
      <c r="E767" s="19"/>
      <c r="F767" s="96"/>
      <c r="G767" s="19"/>
      <c r="H767" s="19"/>
      <c r="I767" s="19"/>
      <c r="J767" s="19"/>
    </row>
    <row r="768" spans="5:10" ht="15.75" customHeight="1" x14ac:dyDescent="0.3">
      <c r="E768" s="19"/>
      <c r="F768" s="96"/>
      <c r="G768" s="19"/>
      <c r="H768" s="19"/>
      <c r="I768" s="19"/>
      <c r="J768" s="19"/>
    </row>
    <row r="769" spans="5:10" ht="15.75" customHeight="1" x14ac:dyDescent="0.3">
      <c r="E769" s="19"/>
      <c r="F769" s="96"/>
      <c r="G769" s="19"/>
      <c r="H769" s="19"/>
      <c r="I769" s="19"/>
      <c r="J769" s="19"/>
    </row>
    <row r="770" spans="5:10" ht="15.75" customHeight="1" x14ac:dyDescent="0.3">
      <c r="E770" s="19"/>
      <c r="F770" s="96"/>
      <c r="G770" s="19"/>
      <c r="H770" s="19"/>
      <c r="I770" s="19"/>
      <c r="J770" s="19"/>
    </row>
    <row r="771" spans="5:10" ht="15.75" customHeight="1" x14ac:dyDescent="0.3">
      <c r="E771" s="19"/>
      <c r="F771" s="96"/>
      <c r="G771" s="19"/>
      <c r="H771" s="19"/>
      <c r="I771" s="19"/>
      <c r="J771" s="19"/>
    </row>
    <row r="772" spans="5:10" ht="15.75" customHeight="1" x14ac:dyDescent="0.3">
      <c r="E772" s="19"/>
      <c r="F772" s="96"/>
      <c r="G772" s="19"/>
      <c r="H772" s="19"/>
      <c r="I772" s="19"/>
      <c r="J772" s="19"/>
    </row>
    <row r="773" spans="5:10" ht="15.75" customHeight="1" x14ac:dyDescent="0.3">
      <c r="E773" s="19"/>
      <c r="F773" s="96"/>
      <c r="G773" s="19"/>
      <c r="H773" s="19"/>
      <c r="I773" s="19"/>
      <c r="J773" s="19"/>
    </row>
    <row r="774" spans="5:10" ht="15.75" customHeight="1" x14ac:dyDescent="0.3">
      <c r="E774" s="19"/>
      <c r="F774" s="96"/>
      <c r="G774" s="19"/>
      <c r="H774" s="19"/>
      <c r="I774" s="19"/>
      <c r="J774" s="19"/>
    </row>
    <row r="775" spans="5:10" ht="15.75" customHeight="1" x14ac:dyDescent="0.3">
      <c r="E775" s="19"/>
      <c r="F775" s="96"/>
      <c r="G775" s="19"/>
      <c r="H775" s="19"/>
      <c r="I775" s="19"/>
      <c r="J775" s="19"/>
    </row>
    <row r="776" spans="5:10" ht="15.75" customHeight="1" x14ac:dyDescent="0.3">
      <c r="E776" s="19"/>
      <c r="F776" s="96"/>
      <c r="G776" s="19"/>
      <c r="H776" s="19"/>
      <c r="I776" s="19"/>
      <c r="J776" s="19"/>
    </row>
    <row r="777" spans="5:10" ht="15.75" customHeight="1" x14ac:dyDescent="0.3">
      <c r="E777" s="19"/>
      <c r="F777" s="96"/>
      <c r="G777" s="19"/>
      <c r="H777" s="19"/>
      <c r="I777" s="19"/>
      <c r="J777" s="19"/>
    </row>
    <row r="778" spans="5:10" ht="15.75" customHeight="1" x14ac:dyDescent="0.3">
      <c r="E778" s="19"/>
      <c r="F778" s="96"/>
      <c r="G778" s="19"/>
      <c r="H778" s="19"/>
      <c r="I778" s="19"/>
      <c r="J778" s="19"/>
    </row>
    <row r="779" spans="5:10" ht="15.75" customHeight="1" x14ac:dyDescent="0.3">
      <c r="E779" s="19"/>
      <c r="F779" s="96"/>
      <c r="G779" s="19"/>
      <c r="H779" s="19"/>
      <c r="I779" s="19"/>
      <c r="J779" s="19"/>
    </row>
    <row r="780" spans="5:10" ht="15.75" customHeight="1" x14ac:dyDescent="0.3">
      <c r="E780" s="19"/>
      <c r="F780" s="96"/>
      <c r="G780" s="19"/>
      <c r="H780" s="19"/>
      <c r="I780" s="19"/>
      <c r="J780" s="19"/>
    </row>
    <row r="781" spans="5:10" ht="15.75" customHeight="1" x14ac:dyDescent="0.3">
      <c r="E781" s="19"/>
      <c r="F781" s="96"/>
      <c r="G781" s="19"/>
      <c r="H781" s="19"/>
      <c r="I781" s="19"/>
      <c r="J781" s="19"/>
    </row>
    <row r="782" spans="5:10" ht="15.75" customHeight="1" x14ac:dyDescent="0.3">
      <c r="E782" s="19"/>
      <c r="F782" s="96"/>
      <c r="G782" s="19"/>
      <c r="H782" s="19"/>
      <c r="I782" s="19"/>
      <c r="J782" s="19"/>
    </row>
    <row r="783" spans="5:10" ht="15.75" customHeight="1" x14ac:dyDescent="0.3">
      <c r="E783" s="19"/>
      <c r="F783" s="96"/>
      <c r="G783" s="19"/>
      <c r="H783" s="19"/>
      <c r="I783" s="19"/>
      <c r="J783" s="19"/>
    </row>
    <row r="784" spans="5:10" ht="15.75" customHeight="1" x14ac:dyDescent="0.3">
      <c r="E784" s="19"/>
      <c r="F784" s="96"/>
      <c r="G784" s="19"/>
      <c r="H784" s="19"/>
      <c r="I784" s="19"/>
      <c r="J784" s="19"/>
    </row>
    <row r="785" spans="5:10" ht="15.75" customHeight="1" x14ac:dyDescent="0.3">
      <c r="E785" s="19"/>
      <c r="F785" s="96"/>
      <c r="G785" s="19"/>
      <c r="H785" s="19"/>
      <c r="I785" s="19"/>
      <c r="J785" s="19"/>
    </row>
    <row r="786" spans="5:10" ht="15.75" customHeight="1" x14ac:dyDescent="0.3">
      <c r="E786" s="19"/>
      <c r="F786" s="96"/>
      <c r="G786" s="19"/>
      <c r="H786" s="19"/>
      <c r="I786" s="19"/>
      <c r="J786" s="19"/>
    </row>
    <row r="787" spans="5:10" ht="15.75" customHeight="1" x14ac:dyDescent="0.3">
      <c r="E787" s="19"/>
      <c r="F787" s="96"/>
      <c r="G787" s="19"/>
      <c r="H787" s="19"/>
      <c r="I787" s="19"/>
      <c r="J787" s="19"/>
    </row>
    <row r="788" spans="5:10" ht="15.75" customHeight="1" x14ac:dyDescent="0.3">
      <c r="E788" s="19"/>
      <c r="F788" s="96"/>
      <c r="G788" s="19"/>
      <c r="H788" s="19"/>
      <c r="I788" s="19"/>
      <c r="J788" s="19"/>
    </row>
    <row r="789" spans="5:10" ht="15.75" customHeight="1" x14ac:dyDescent="0.3">
      <c r="E789" s="19"/>
      <c r="F789" s="96"/>
      <c r="G789" s="19"/>
      <c r="H789" s="19"/>
      <c r="I789" s="19"/>
      <c r="J789" s="19"/>
    </row>
    <row r="790" spans="5:10" ht="15.75" customHeight="1" x14ac:dyDescent="0.3">
      <c r="E790" s="19"/>
      <c r="F790" s="96"/>
      <c r="G790" s="19"/>
      <c r="H790" s="19"/>
      <c r="I790" s="19"/>
      <c r="J790" s="19"/>
    </row>
    <row r="791" spans="5:10" ht="15.75" customHeight="1" x14ac:dyDescent="0.3">
      <c r="E791" s="19"/>
      <c r="F791" s="96"/>
      <c r="G791" s="19"/>
      <c r="H791" s="19"/>
      <c r="I791" s="19"/>
      <c r="J791" s="19"/>
    </row>
    <row r="792" spans="5:10" ht="15.75" customHeight="1" x14ac:dyDescent="0.3">
      <c r="E792" s="19"/>
      <c r="F792" s="96"/>
      <c r="G792" s="19"/>
      <c r="H792" s="19"/>
      <c r="I792" s="19"/>
      <c r="J792" s="19"/>
    </row>
    <row r="793" spans="5:10" ht="15.75" customHeight="1" x14ac:dyDescent="0.3">
      <c r="E793" s="19"/>
      <c r="F793" s="96"/>
      <c r="G793" s="19"/>
      <c r="H793" s="19"/>
      <c r="I793" s="19"/>
      <c r="J793" s="19"/>
    </row>
    <row r="794" spans="5:10" ht="15.75" customHeight="1" x14ac:dyDescent="0.3">
      <c r="E794" s="19"/>
      <c r="F794" s="96"/>
      <c r="G794" s="19"/>
      <c r="H794" s="19"/>
      <c r="I794" s="19"/>
      <c r="J794" s="19"/>
    </row>
    <row r="795" spans="5:10" ht="15.75" customHeight="1" x14ac:dyDescent="0.3">
      <c r="E795" s="19"/>
      <c r="F795" s="96"/>
      <c r="G795" s="19"/>
      <c r="H795" s="19"/>
      <c r="I795" s="19"/>
      <c r="J795" s="19"/>
    </row>
    <row r="796" spans="5:10" ht="15.75" customHeight="1" x14ac:dyDescent="0.3">
      <c r="E796" s="19"/>
      <c r="F796" s="96"/>
      <c r="G796" s="19"/>
      <c r="H796" s="19"/>
      <c r="I796" s="19"/>
      <c r="J796" s="19"/>
    </row>
    <row r="797" spans="5:10" ht="15.75" customHeight="1" x14ac:dyDescent="0.3">
      <c r="E797" s="19"/>
      <c r="F797" s="96"/>
      <c r="G797" s="19"/>
      <c r="H797" s="19"/>
      <c r="I797" s="19"/>
      <c r="J797" s="19"/>
    </row>
    <row r="798" spans="5:10" ht="15.75" customHeight="1" x14ac:dyDescent="0.3">
      <c r="E798" s="19"/>
      <c r="F798" s="96"/>
      <c r="G798" s="19"/>
      <c r="H798" s="19"/>
      <c r="I798" s="19"/>
      <c r="J798" s="19"/>
    </row>
    <row r="799" spans="5:10" ht="15.75" customHeight="1" x14ac:dyDescent="0.3">
      <c r="E799" s="19"/>
      <c r="F799" s="96"/>
      <c r="G799" s="19"/>
      <c r="H799" s="19"/>
      <c r="I799" s="19"/>
      <c r="J799" s="19"/>
    </row>
    <row r="800" spans="5:10" ht="15.75" customHeight="1" x14ac:dyDescent="0.3">
      <c r="E800" s="19"/>
      <c r="F800" s="96"/>
      <c r="G800" s="19"/>
      <c r="H800" s="19"/>
      <c r="I800" s="19"/>
      <c r="J800" s="19"/>
    </row>
    <row r="801" spans="5:10" ht="15.75" customHeight="1" x14ac:dyDescent="0.3">
      <c r="E801" s="19"/>
      <c r="F801" s="96"/>
      <c r="G801" s="19"/>
      <c r="H801" s="19"/>
      <c r="I801" s="19"/>
      <c r="J801" s="19"/>
    </row>
    <row r="802" spans="5:10" ht="15.75" customHeight="1" x14ac:dyDescent="0.3">
      <c r="E802" s="19"/>
      <c r="F802" s="96"/>
      <c r="G802" s="19"/>
      <c r="H802" s="19"/>
      <c r="I802" s="19"/>
      <c r="J802" s="19"/>
    </row>
    <row r="803" spans="5:10" ht="15.75" customHeight="1" x14ac:dyDescent="0.3">
      <c r="E803" s="19"/>
      <c r="F803" s="96"/>
      <c r="G803" s="19"/>
      <c r="H803" s="19"/>
      <c r="I803" s="19"/>
      <c r="J803" s="19"/>
    </row>
    <row r="804" spans="5:10" ht="15.75" customHeight="1" x14ac:dyDescent="0.3">
      <c r="E804" s="19"/>
      <c r="F804" s="96"/>
      <c r="G804" s="19"/>
      <c r="H804" s="19"/>
      <c r="I804" s="19"/>
      <c r="J804" s="19"/>
    </row>
    <row r="805" spans="5:10" ht="15.75" customHeight="1" x14ac:dyDescent="0.3">
      <c r="E805" s="19"/>
      <c r="F805" s="96"/>
      <c r="G805" s="19"/>
      <c r="H805" s="19"/>
      <c r="I805" s="19"/>
      <c r="J805" s="19"/>
    </row>
    <row r="806" spans="5:10" ht="15.75" customHeight="1" x14ac:dyDescent="0.3">
      <c r="E806" s="19"/>
      <c r="F806" s="96"/>
      <c r="G806" s="19"/>
      <c r="H806" s="19"/>
      <c r="I806" s="19"/>
      <c r="J806" s="19"/>
    </row>
    <row r="807" spans="5:10" ht="15.75" customHeight="1" x14ac:dyDescent="0.3">
      <c r="E807" s="19"/>
      <c r="F807" s="96"/>
      <c r="G807" s="19"/>
      <c r="H807" s="19"/>
      <c r="I807" s="19"/>
      <c r="J807" s="19"/>
    </row>
    <row r="808" spans="5:10" ht="15.75" customHeight="1" x14ac:dyDescent="0.3">
      <c r="E808" s="19"/>
      <c r="F808" s="96"/>
      <c r="G808" s="19"/>
      <c r="H808" s="19"/>
      <c r="I808" s="19"/>
      <c r="J808" s="19"/>
    </row>
    <row r="809" spans="5:10" ht="15.75" customHeight="1" x14ac:dyDescent="0.3">
      <c r="E809" s="19"/>
      <c r="F809" s="96"/>
      <c r="G809" s="19"/>
      <c r="H809" s="19"/>
      <c r="I809" s="19"/>
      <c r="J809" s="19"/>
    </row>
    <row r="810" spans="5:10" ht="15.75" customHeight="1" x14ac:dyDescent="0.3">
      <c r="E810" s="19"/>
      <c r="F810" s="96"/>
      <c r="G810" s="19"/>
      <c r="H810" s="19"/>
      <c r="I810" s="19"/>
      <c r="J810" s="19"/>
    </row>
    <row r="811" spans="5:10" ht="15.75" customHeight="1" x14ac:dyDescent="0.3">
      <c r="E811" s="19"/>
      <c r="F811" s="96"/>
      <c r="G811" s="19"/>
      <c r="H811" s="19"/>
      <c r="I811" s="19"/>
      <c r="J811" s="19"/>
    </row>
    <row r="812" spans="5:10" ht="15.75" customHeight="1" x14ac:dyDescent="0.3">
      <c r="E812" s="19"/>
      <c r="F812" s="96"/>
      <c r="G812" s="19"/>
      <c r="H812" s="19"/>
      <c r="I812" s="19"/>
      <c r="J812" s="19"/>
    </row>
    <row r="813" spans="5:10" ht="15.75" customHeight="1" x14ac:dyDescent="0.3">
      <c r="E813" s="19"/>
      <c r="F813" s="96"/>
      <c r="G813" s="19"/>
      <c r="H813" s="19"/>
      <c r="I813" s="19"/>
      <c r="J813" s="19"/>
    </row>
    <row r="814" spans="5:10" ht="15.75" customHeight="1" x14ac:dyDescent="0.3">
      <c r="E814" s="19"/>
      <c r="F814" s="96"/>
      <c r="G814" s="19"/>
      <c r="H814" s="19"/>
      <c r="I814" s="19"/>
      <c r="J814" s="19"/>
    </row>
    <row r="815" spans="5:10" ht="15.75" customHeight="1" x14ac:dyDescent="0.3">
      <c r="E815" s="19"/>
      <c r="F815" s="96"/>
      <c r="G815" s="19"/>
      <c r="H815" s="19"/>
      <c r="I815" s="19"/>
      <c r="J815" s="19"/>
    </row>
    <row r="816" spans="5:10" ht="15.75" customHeight="1" x14ac:dyDescent="0.3">
      <c r="E816" s="19"/>
      <c r="F816" s="96"/>
      <c r="G816" s="19"/>
      <c r="H816" s="19"/>
      <c r="I816" s="19"/>
      <c r="J816" s="19"/>
    </row>
    <row r="817" spans="5:10" ht="15.75" customHeight="1" x14ac:dyDescent="0.3">
      <c r="E817" s="19"/>
      <c r="F817" s="96"/>
      <c r="G817" s="19"/>
      <c r="H817" s="19"/>
      <c r="I817" s="19"/>
      <c r="J817" s="19"/>
    </row>
    <row r="818" spans="5:10" ht="15.75" customHeight="1" x14ac:dyDescent="0.3">
      <c r="E818" s="19"/>
      <c r="F818" s="96"/>
      <c r="G818" s="19"/>
      <c r="H818" s="19"/>
      <c r="I818" s="19"/>
      <c r="J818" s="19"/>
    </row>
    <row r="819" spans="5:10" ht="15.75" customHeight="1" x14ac:dyDescent="0.3">
      <c r="E819" s="19"/>
      <c r="F819" s="96"/>
      <c r="G819" s="19"/>
      <c r="H819" s="19"/>
      <c r="I819" s="19"/>
      <c r="J819" s="19"/>
    </row>
    <row r="820" spans="5:10" ht="15.75" customHeight="1" x14ac:dyDescent="0.3">
      <c r="E820" s="19"/>
      <c r="F820" s="96"/>
      <c r="G820" s="19"/>
      <c r="H820" s="19"/>
      <c r="I820" s="19"/>
      <c r="J820" s="19"/>
    </row>
    <row r="821" spans="5:10" ht="15.75" customHeight="1" x14ac:dyDescent="0.3">
      <c r="E821" s="19"/>
      <c r="F821" s="96"/>
      <c r="G821" s="19"/>
      <c r="H821" s="19"/>
      <c r="I821" s="19"/>
      <c r="J821" s="19"/>
    </row>
    <row r="822" spans="5:10" ht="15.75" customHeight="1" x14ac:dyDescent="0.3">
      <c r="E822" s="19"/>
      <c r="F822" s="96"/>
      <c r="G822" s="19"/>
      <c r="H822" s="19"/>
      <c r="I822" s="19"/>
      <c r="J822" s="19"/>
    </row>
    <row r="823" spans="5:10" ht="15.75" customHeight="1" x14ac:dyDescent="0.3">
      <c r="E823" s="19"/>
      <c r="F823" s="96"/>
      <c r="G823" s="19"/>
      <c r="H823" s="19"/>
      <c r="I823" s="19"/>
      <c r="J823" s="19"/>
    </row>
    <row r="824" spans="5:10" ht="15.75" customHeight="1" x14ac:dyDescent="0.3">
      <c r="E824" s="19"/>
      <c r="F824" s="96"/>
      <c r="G824" s="19"/>
      <c r="H824" s="19"/>
      <c r="I824" s="19"/>
      <c r="J824" s="19"/>
    </row>
    <row r="825" spans="5:10" ht="15.75" customHeight="1" x14ac:dyDescent="0.3">
      <c r="E825" s="19"/>
      <c r="F825" s="96"/>
      <c r="G825" s="19"/>
      <c r="H825" s="19"/>
      <c r="I825" s="19"/>
      <c r="J825" s="19"/>
    </row>
    <row r="826" spans="5:10" ht="15.75" customHeight="1" x14ac:dyDescent="0.3">
      <c r="E826" s="19"/>
      <c r="F826" s="96"/>
      <c r="G826" s="19"/>
      <c r="H826" s="19"/>
      <c r="I826" s="19"/>
      <c r="J826" s="19"/>
    </row>
    <row r="827" spans="5:10" ht="15.75" customHeight="1" x14ac:dyDescent="0.3">
      <c r="E827" s="19"/>
      <c r="F827" s="96"/>
      <c r="G827" s="19"/>
      <c r="H827" s="19"/>
      <c r="I827" s="19"/>
      <c r="J827" s="19"/>
    </row>
    <row r="828" spans="5:10" ht="15.75" customHeight="1" x14ac:dyDescent="0.3">
      <c r="E828" s="19"/>
      <c r="F828" s="96"/>
      <c r="G828" s="19"/>
      <c r="H828" s="19"/>
      <c r="I828" s="19"/>
      <c r="J828" s="19"/>
    </row>
    <row r="829" spans="5:10" ht="15.75" customHeight="1" x14ac:dyDescent="0.3">
      <c r="E829" s="19"/>
      <c r="F829" s="96"/>
      <c r="G829" s="19"/>
      <c r="H829" s="19"/>
      <c r="I829" s="19"/>
      <c r="J829" s="19"/>
    </row>
    <row r="830" spans="5:10" ht="15.75" customHeight="1" x14ac:dyDescent="0.3">
      <c r="E830" s="19"/>
      <c r="F830" s="96"/>
      <c r="G830" s="19"/>
      <c r="H830" s="19"/>
      <c r="I830" s="19"/>
      <c r="J830" s="19"/>
    </row>
    <row r="831" spans="5:10" ht="15.75" customHeight="1" x14ac:dyDescent="0.3">
      <c r="E831" s="19"/>
      <c r="F831" s="96"/>
      <c r="G831" s="19"/>
      <c r="H831" s="19"/>
      <c r="I831" s="19"/>
      <c r="J831" s="19"/>
    </row>
    <row r="832" spans="5:10" ht="15.75" customHeight="1" x14ac:dyDescent="0.3">
      <c r="E832" s="19"/>
      <c r="F832" s="96"/>
      <c r="G832" s="19"/>
      <c r="H832" s="19"/>
      <c r="I832" s="19"/>
      <c r="J832" s="19"/>
    </row>
    <row r="833" spans="5:10" ht="15.75" customHeight="1" x14ac:dyDescent="0.3">
      <c r="E833" s="19"/>
      <c r="F833" s="96"/>
      <c r="G833" s="19"/>
      <c r="H833" s="19"/>
      <c r="I833" s="19"/>
      <c r="J833" s="19"/>
    </row>
    <row r="834" spans="5:10" ht="15.75" customHeight="1" x14ac:dyDescent="0.3">
      <c r="E834" s="19"/>
      <c r="F834" s="96"/>
      <c r="G834" s="19"/>
      <c r="H834" s="19"/>
      <c r="I834" s="19"/>
      <c r="J834" s="19"/>
    </row>
    <row r="835" spans="5:10" ht="15.75" customHeight="1" x14ac:dyDescent="0.3">
      <c r="E835" s="19"/>
      <c r="F835" s="96"/>
      <c r="G835" s="19"/>
      <c r="H835" s="19"/>
      <c r="I835" s="19"/>
      <c r="J835" s="19"/>
    </row>
    <row r="836" spans="5:10" ht="15.75" customHeight="1" x14ac:dyDescent="0.3">
      <c r="E836" s="19"/>
      <c r="F836" s="96"/>
      <c r="G836" s="19"/>
      <c r="H836" s="19"/>
      <c r="I836" s="19"/>
      <c r="J836" s="19"/>
    </row>
    <row r="837" spans="5:10" ht="15.75" customHeight="1" x14ac:dyDescent="0.3">
      <c r="E837" s="19"/>
      <c r="F837" s="96"/>
      <c r="G837" s="19"/>
      <c r="H837" s="19"/>
      <c r="I837" s="19"/>
      <c r="J837" s="19"/>
    </row>
    <row r="838" spans="5:10" ht="15.75" customHeight="1" x14ac:dyDescent="0.3">
      <c r="E838" s="19"/>
      <c r="F838" s="96"/>
      <c r="G838" s="19"/>
      <c r="H838" s="19"/>
      <c r="I838" s="19"/>
      <c r="J838" s="19"/>
    </row>
    <row r="839" spans="5:10" ht="15.75" customHeight="1" x14ac:dyDescent="0.3">
      <c r="E839" s="19"/>
      <c r="F839" s="96"/>
      <c r="G839" s="19"/>
      <c r="H839" s="19"/>
      <c r="I839" s="19"/>
      <c r="J839" s="19"/>
    </row>
    <row r="840" spans="5:10" ht="15.75" customHeight="1" x14ac:dyDescent="0.3">
      <c r="E840" s="19"/>
      <c r="F840" s="96"/>
      <c r="G840" s="19"/>
      <c r="H840" s="19"/>
      <c r="I840" s="19"/>
      <c r="J840" s="19"/>
    </row>
    <row r="841" spans="5:10" ht="15.75" customHeight="1" x14ac:dyDescent="0.3">
      <c r="E841" s="19"/>
      <c r="F841" s="96"/>
      <c r="G841" s="19"/>
      <c r="H841" s="19"/>
      <c r="I841" s="19"/>
      <c r="J841" s="19"/>
    </row>
    <row r="842" spans="5:10" ht="15.75" customHeight="1" x14ac:dyDescent="0.3">
      <c r="E842" s="19"/>
      <c r="F842" s="96"/>
      <c r="G842" s="19"/>
      <c r="H842" s="19"/>
      <c r="I842" s="19"/>
      <c r="J842" s="19"/>
    </row>
    <row r="843" spans="5:10" ht="15.75" customHeight="1" x14ac:dyDescent="0.3">
      <c r="E843" s="19"/>
      <c r="F843" s="96"/>
      <c r="G843" s="19"/>
      <c r="H843" s="19"/>
      <c r="I843" s="19"/>
      <c r="J843" s="19"/>
    </row>
    <row r="844" spans="5:10" ht="15.75" customHeight="1" x14ac:dyDescent="0.3">
      <c r="E844" s="19"/>
      <c r="F844" s="96"/>
      <c r="G844" s="19"/>
      <c r="H844" s="19"/>
      <c r="I844" s="19"/>
      <c r="J844" s="19"/>
    </row>
    <row r="845" spans="5:10" ht="15.75" customHeight="1" x14ac:dyDescent="0.3">
      <c r="E845" s="19"/>
      <c r="F845" s="96"/>
      <c r="G845" s="19"/>
      <c r="H845" s="19"/>
      <c r="I845" s="19"/>
      <c r="J845" s="19"/>
    </row>
    <row r="846" spans="5:10" ht="15.75" customHeight="1" x14ac:dyDescent="0.3">
      <c r="E846" s="19"/>
      <c r="F846" s="96"/>
      <c r="G846" s="19"/>
      <c r="H846" s="19"/>
      <c r="I846" s="19"/>
      <c r="J846" s="19"/>
    </row>
    <row r="847" spans="5:10" ht="15.75" customHeight="1" x14ac:dyDescent="0.3">
      <c r="E847" s="19"/>
      <c r="F847" s="96"/>
      <c r="G847" s="19"/>
      <c r="H847" s="19"/>
      <c r="I847" s="19"/>
      <c r="J847" s="19"/>
    </row>
    <row r="848" spans="5:10" ht="15.75" customHeight="1" x14ac:dyDescent="0.3">
      <c r="E848" s="19"/>
      <c r="F848" s="96"/>
      <c r="G848" s="19"/>
      <c r="H848" s="19"/>
      <c r="I848" s="19"/>
      <c r="J848" s="19"/>
    </row>
    <row r="849" spans="5:10" ht="15.75" customHeight="1" x14ac:dyDescent="0.3">
      <c r="E849" s="19"/>
      <c r="F849" s="96"/>
      <c r="G849" s="19"/>
      <c r="H849" s="19"/>
      <c r="I849" s="19"/>
      <c r="J849" s="19"/>
    </row>
    <row r="850" spans="5:10" ht="15.75" customHeight="1" x14ac:dyDescent="0.3">
      <c r="E850" s="19"/>
      <c r="F850" s="96"/>
      <c r="G850" s="19"/>
      <c r="H850" s="19"/>
      <c r="I850" s="19"/>
      <c r="J850" s="19"/>
    </row>
    <row r="851" spans="5:10" ht="15.75" customHeight="1" x14ac:dyDescent="0.3">
      <c r="E851" s="19"/>
      <c r="F851" s="96"/>
      <c r="G851" s="19"/>
      <c r="H851" s="19"/>
      <c r="I851" s="19"/>
      <c r="J851" s="19"/>
    </row>
    <row r="852" spans="5:10" ht="15.75" customHeight="1" x14ac:dyDescent="0.3">
      <c r="E852" s="19"/>
      <c r="F852" s="96"/>
      <c r="G852" s="19"/>
      <c r="H852" s="19"/>
      <c r="I852" s="19"/>
      <c r="J852" s="19"/>
    </row>
    <row r="853" spans="5:10" ht="15.75" customHeight="1" x14ac:dyDescent="0.3">
      <c r="E853" s="19"/>
      <c r="F853" s="96"/>
      <c r="G853" s="19"/>
      <c r="H853" s="19"/>
      <c r="I853" s="19"/>
      <c r="J853" s="19"/>
    </row>
    <row r="854" spans="5:10" ht="15.75" customHeight="1" x14ac:dyDescent="0.3">
      <c r="E854" s="19"/>
      <c r="F854" s="96"/>
      <c r="G854" s="19"/>
      <c r="H854" s="19"/>
      <c r="I854" s="19"/>
      <c r="J854" s="19"/>
    </row>
    <row r="855" spans="5:10" ht="15.75" customHeight="1" x14ac:dyDescent="0.3">
      <c r="E855" s="19"/>
      <c r="F855" s="96"/>
      <c r="G855" s="19"/>
      <c r="H855" s="19"/>
      <c r="I855" s="19"/>
      <c r="J855" s="19"/>
    </row>
    <row r="856" spans="5:10" ht="15.75" customHeight="1" x14ac:dyDescent="0.3">
      <c r="E856" s="19"/>
      <c r="F856" s="96"/>
      <c r="G856" s="19"/>
      <c r="H856" s="19"/>
      <c r="I856" s="19"/>
      <c r="J856" s="19"/>
    </row>
    <row r="857" spans="5:10" ht="15.75" customHeight="1" x14ac:dyDescent="0.3">
      <c r="E857" s="19"/>
      <c r="F857" s="96"/>
      <c r="G857" s="19"/>
      <c r="H857" s="19"/>
      <c r="I857" s="19"/>
      <c r="J857" s="19"/>
    </row>
    <row r="858" spans="5:10" ht="15.75" customHeight="1" x14ac:dyDescent="0.3">
      <c r="E858" s="19"/>
      <c r="F858" s="96"/>
      <c r="G858" s="19"/>
      <c r="H858" s="19"/>
      <c r="I858" s="19"/>
      <c r="J858" s="19"/>
    </row>
    <row r="859" spans="5:10" ht="15.75" customHeight="1" x14ac:dyDescent="0.3">
      <c r="E859" s="19"/>
      <c r="F859" s="96"/>
      <c r="G859" s="19"/>
      <c r="H859" s="19"/>
      <c r="I859" s="19"/>
      <c r="J859" s="19"/>
    </row>
    <row r="860" spans="5:10" ht="15.75" customHeight="1" x14ac:dyDescent="0.3">
      <c r="E860" s="19"/>
      <c r="F860" s="96"/>
      <c r="G860" s="19"/>
      <c r="H860" s="19"/>
      <c r="I860" s="19"/>
      <c r="J860" s="19"/>
    </row>
    <row r="861" spans="5:10" ht="15.75" customHeight="1" x14ac:dyDescent="0.3">
      <c r="E861" s="19"/>
      <c r="F861" s="96"/>
      <c r="G861" s="19"/>
      <c r="H861" s="19"/>
      <c r="I861" s="19"/>
      <c r="J861" s="19"/>
    </row>
    <row r="862" spans="5:10" ht="15.75" customHeight="1" x14ac:dyDescent="0.3">
      <c r="E862" s="19"/>
      <c r="F862" s="96"/>
      <c r="G862" s="19"/>
      <c r="H862" s="19"/>
      <c r="I862" s="19"/>
      <c r="J862" s="19"/>
    </row>
    <row r="863" spans="5:10" ht="15.75" customHeight="1" x14ac:dyDescent="0.3">
      <c r="E863" s="19"/>
      <c r="F863" s="96"/>
      <c r="G863" s="19"/>
      <c r="H863" s="19"/>
      <c r="I863" s="19"/>
      <c r="J863" s="19"/>
    </row>
    <row r="864" spans="5:10" ht="15.75" customHeight="1" x14ac:dyDescent="0.3">
      <c r="E864" s="19"/>
      <c r="F864" s="96"/>
      <c r="G864" s="19"/>
      <c r="H864" s="19"/>
      <c r="I864" s="19"/>
      <c r="J864" s="19"/>
    </row>
    <row r="865" spans="5:10" ht="15.75" customHeight="1" x14ac:dyDescent="0.3">
      <c r="E865" s="19"/>
      <c r="F865" s="96"/>
      <c r="G865" s="19"/>
      <c r="H865" s="19"/>
      <c r="I865" s="19"/>
      <c r="J865" s="19"/>
    </row>
    <row r="866" spans="5:10" ht="15.75" customHeight="1" x14ac:dyDescent="0.3">
      <c r="E866" s="19"/>
      <c r="F866" s="96"/>
      <c r="G866" s="19"/>
      <c r="H866" s="19"/>
      <c r="I866" s="19"/>
      <c r="J866" s="19"/>
    </row>
    <row r="867" spans="5:10" ht="15.75" customHeight="1" x14ac:dyDescent="0.3">
      <c r="E867" s="19"/>
      <c r="F867" s="96"/>
      <c r="G867" s="19"/>
      <c r="H867" s="19"/>
      <c r="I867" s="19"/>
      <c r="J867" s="19"/>
    </row>
    <row r="868" spans="5:10" ht="15.75" customHeight="1" x14ac:dyDescent="0.3">
      <c r="E868" s="19"/>
      <c r="F868" s="96"/>
      <c r="G868" s="19"/>
      <c r="H868" s="19"/>
      <c r="I868" s="19"/>
      <c r="J868" s="19"/>
    </row>
    <row r="869" spans="5:10" ht="15.75" customHeight="1" x14ac:dyDescent="0.3">
      <c r="E869" s="19"/>
      <c r="F869" s="96"/>
      <c r="G869" s="19"/>
      <c r="H869" s="19"/>
      <c r="I869" s="19"/>
      <c r="J869" s="19"/>
    </row>
    <row r="870" spans="5:10" ht="15.75" customHeight="1" x14ac:dyDescent="0.3">
      <c r="E870" s="19"/>
      <c r="F870" s="96"/>
      <c r="G870" s="19"/>
      <c r="H870" s="19"/>
      <c r="I870" s="19"/>
      <c r="J870" s="19"/>
    </row>
    <row r="871" spans="5:10" ht="15.75" customHeight="1" x14ac:dyDescent="0.3">
      <c r="E871" s="19"/>
      <c r="F871" s="96"/>
      <c r="G871" s="19"/>
      <c r="H871" s="19"/>
      <c r="I871" s="19"/>
      <c r="J871" s="19"/>
    </row>
    <row r="872" spans="5:10" ht="15.75" customHeight="1" x14ac:dyDescent="0.3">
      <c r="E872" s="19"/>
      <c r="F872" s="96"/>
      <c r="G872" s="19"/>
      <c r="H872" s="19"/>
      <c r="I872" s="19"/>
      <c r="J872" s="19"/>
    </row>
    <row r="873" spans="5:10" ht="15.75" customHeight="1" x14ac:dyDescent="0.3">
      <c r="E873" s="19"/>
      <c r="F873" s="96"/>
      <c r="G873" s="19"/>
      <c r="H873" s="19"/>
      <c r="I873" s="19"/>
      <c r="J873" s="19"/>
    </row>
    <row r="874" spans="5:10" ht="15.75" customHeight="1" x14ac:dyDescent="0.3">
      <c r="E874" s="19"/>
      <c r="F874" s="96"/>
      <c r="G874" s="19"/>
      <c r="H874" s="19"/>
      <c r="I874" s="19"/>
      <c r="J874" s="19"/>
    </row>
    <row r="875" spans="5:10" ht="15.75" customHeight="1" x14ac:dyDescent="0.3">
      <c r="E875" s="19"/>
      <c r="F875" s="96"/>
      <c r="G875" s="19"/>
      <c r="H875" s="19"/>
      <c r="I875" s="19"/>
      <c r="J875" s="19"/>
    </row>
    <row r="876" spans="5:10" ht="15.75" customHeight="1" x14ac:dyDescent="0.3">
      <c r="E876" s="19"/>
      <c r="F876" s="96"/>
      <c r="G876" s="19"/>
      <c r="H876" s="19"/>
      <c r="I876" s="19"/>
      <c r="J876" s="19"/>
    </row>
    <row r="877" spans="5:10" ht="15.75" customHeight="1" x14ac:dyDescent="0.3">
      <c r="E877" s="19"/>
      <c r="F877" s="96"/>
      <c r="G877" s="19"/>
      <c r="H877" s="19"/>
      <c r="I877" s="19"/>
      <c r="J877" s="19"/>
    </row>
    <row r="878" spans="5:10" ht="15.75" customHeight="1" x14ac:dyDescent="0.3">
      <c r="E878" s="19"/>
      <c r="F878" s="96"/>
      <c r="G878" s="19"/>
      <c r="H878" s="19"/>
      <c r="I878" s="19"/>
      <c r="J878" s="19"/>
    </row>
    <row r="879" spans="5:10" ht="15.75" customHeight="1" x14ac:dyDescent="0.3">
      <c r="E879" s="19"/>
      <c r="F879" s="96"/>
      <c r="G879" s="19"/>
      <c r="H879" s="19"/>
      <c r="I879" s="19"/>
      <c r="J879" s="19"/>
    </row>
    <row r="880" spans="5:10" ht="15.75" customHeight="1" x14ac:dyDescent="0.3">
      <c r="E880" s="19"/>
      <c r="F880" s="96"/>
      <c r="G880" s="19"/>
      <c r="H880" s="19"/>
      <c r="I880" s="19"/>
      <c r="J880" s="19"/>
    </row>
    <row r="881" spans="5:10" ht="15.75" customHeight="1" x14ac:dyDescent="0.3">
      <c r="E881" s="19"/>
      <c r="F881" s="96"/>
      <c r="G881" s="19"/>
      <c r="H881" s="19"/>
      <c r="I881" s="19"/>
      <c r="J881" s="19"/>
    </row>
    <row r="882" spans="5:10" ht="15.75" customHeight="1" x14ac:dyDescent="0.3">
      <c r="E882" s="19"/>
      <c r="F882" s="96"/>
      <c r="G882" s="19"/>
      <c r="H882" s="19"/>
      <c r="I882" s="19"/>
      <c r="J882" s="19"/>
    </row>
    <row r="883" spans="5:10" ht="15.75" customHeight="1" x14ac:dyDescent="0.3">
      <c r="E883" s="19"/>
      <c r="F883" s="96"/>
      <c r="G883" s="19"/>
      <c r="H883" s="19"/>
      <c r="I883" s="19"/>
      <c r="J883" s="19"/>
    </row>
    <row r="884" spans="5:10" ht="15.75" customHeight="1" x14ac:dyDescent="0.3">
      <c r="E884" s="19"/>
      <c r="F884" s="96"/>
      <c r="G884" s="19"/>
      <c r="H884" s="19"/>
      <c r="I884" s="19"/>
      <c r="J884" s="19"/>
    </row>
    <row r="885" spans="5:10" ht="15.75" customHeight="1" x14ac:dyDescent="0.3">
      <c r="E885" s="19"/>
      <c r="F885" s="96"/>
      <c r="G885" s="19"/>
      <c r="H885" s="19"/>
      <c r="I885" s="19"/>
      <c r="J885" s="19"/>
    </row>
    <row r="886" spans="5:10" ht="15.75" customHeight="1" x14ac:dyDescent="0.3">
      <c r="E886" s="19"/>
      <c r="F886" s="96"/>
      <c r="G886" s="19"/>
      <c r="H886" s="19"/>
      <c r="I886" s="19"/>
      <c r="J886" s="19"/>
    </row>
    <row r="887" spans="5:10" ht="15.75" customHeight="1" x14ac:dyDescent="0.3">
      <c r="E887" s="19"/>
      <c r="F887" s="96"/>
      <c r="G887" s="19"/>
      <c r="H887" s="19"/>
      <c r="I887" s="19"/>
      <c r="J887" s="19"/>
    </row>
    <row r="888" spans="5:10" ht="15.75" customHeight="1" x14ac:dyDescent="0.3">
      <c r="E888" s="19"/>
      <c r="F888" s="96"/>
      <c r="G888" s="19"/>
      <c r="H888" s="19"/>
      <c r="I888" s="19"/>
      <c r="J888" s="19"/>
    </row>
    <row r="889" spans="5:10" ht="15.75" customHeight="1" x14ac:dyDescent="0.3">
      <c r="E889" s="19"/>
      <c r="F889" s="96"/>
      <c r="G889" s="19"/>
      <c r="H889" s="19"/>
      <c r="I889" s="19"/>
      <c r="J889" s="19"/>
    </row>
    <row r="890" spans="5:10" ht="15.75" customHeight="1" x14ac:dyDescent="0.3">
      <c r="E890" s="19"/>
      <c r="F890" s="96"/>
      <c r="G890" s="19"/>
      <c r="H890" s="19"/>
      <c r="I890" s="19"/>
      <c r="J890" s="19"/>
    </row>
    <row r="891" spans="5:10" ht="15.75" customHeight="1" x14ac:dyDescent="0.3">
      <c r="E891" s="19"/>
      <c r="F891" s="96"/>
      <c r="G891" s="19"/>
      <c r="H891" s="19"/>
      <c r="I891" s="19"/>
      <c r="J891" s="19"/>
    </row>
    <row r="892" spans="5:10" ht="15.75" customHeight="1" x14ac:dyDescent="0.3">
      <c r="E892" s="19"/>
      <c r="F892" s="96"/>
      <c r="G892" s="19"/>
      <c r="H892" s="19"/>
      <c r="I892" s="19"/>
      <c r="J892" s="19"/>
    </row>
    <row r="893" spans="5:10" ht="15.75" customHeight="1" x14ac:dyDescent="0.3">
      <c r="E893" s="19"/>
      <c r="F893" s="96"/>
      <c r="G893" s="19"/>
      <c r="H893" s="19"/>
      <c r="I893" s="19"/>
      <c r="J893" s="19"/>
    </row>
    <row r="894" spans="5:10" ht="15.75" customHeight="1" x14ac:dyDescent="0.3">
      <c r="E894" s="19"/>
      <c r="F894" s="96"/>
      <c r="G894" s="19"/>
      <c r="H894" s="19"/>
      <c r="I894" s="19"/>
      <c r="J894" s="19"/>
    </row>
    <row r="895" spans="5:10" ht="15.75" customHeight="1" x14ac:dyDescent="0.3">
      <c r="E895" s="19"/>
      <c r="F895" s="96"/>
      <c r="G895" s="19"/>
      <c r="H895" s="19"/>
      <c r="I895" s="19"/>
      <c r="J895" s="19"/>
    </row>
    <row r="896" spans="5:10" ht="15.75" customHeight="1" x14ac:dyDescent="0.3">
      <c r="E896" s="19"/>
      <c r="F896" s="96"/>
      <c r="G896" s="19"/>
      <c r="H896" s="19"/>
      <c r="I896" s="19"/>
      <c r="J896" s="19"/>
    </row>
    <row r="897" spans="5:10" ht="15.75" customHeight="1" x14ac:dyDescent="0.3">
      <c r="E897" s="19"/>
      <c r="F897" s="96"/>
      <c r="G897" s="19"/>
      <c r="H897" s="19"/>
      <c r="I897" s="19"/>
      <c r="J897" s="19"/>
    </row>
    <row r="898" spans="5:10" ht="15.75" customHeight="1" x14ac:dyDescent="0.3">
      <c r="E898" s="19"/>
      <c r="F898" s="96"/>
      <c r="G898" s="19"/>
      <c r="H898" s="19"/>
      <c r="I898" s="19"/>
      <c r="J898" s="19"/>
    </row>
    <row r="899" spans="5:10" ht="15.75" customHeight="1" x14ac:dyDescent="0.3">
      <c r="E899" s="19"/>
      <c r="F899" s="96"/>
      <c r="G899" s="19"/>
      <c r="H899" s="19"/>
      <c r="I899" s="19"/>
      <c r="J899" s="19"/>
    </row>
    <row r="900" spans="5:10" ht="15.75" customHeight="1" x14ac:dyDescent="0.3">
      <c r="E900" s="19"/>
      <c r="F900" s="96"/>
      <c r="G900" s="19"/>
      <c r="H900" s="19"/>
      <c r="I900" s="19"/>
      <c r="J900" s="19"/>
    </row>
    <row r="901" spans="5:10" ht="15.75" customHeight="1" x14ac:dyDescent="0.3">
      <c r="E901" s="19"/>
      <c r="F901" s="96"/>
      <c r="G901" s="19"/>
      <c r="H901" s="19"/>
      <c r="I901" s="19"/>
      <c r="J901" s="19"/>
    </row>
    <row r="902" spans="5:10" ht="15.75" customHeight="1" x14ac:dyDescent="0.3">
      <c r="E902" s="19"/>
      <c r="F902" s="96"/>
      <c r="G902" s="19"/>
      <c r="H902" s="19"/>
      <c r="I902" s="19"/>
      <c r="J902" s="19"/>
    </row>
    <row r="903" spans="5:10" ht="15.75" customHeight="1" x14ac:dyDescent="0.3">
      <c r="E903" s="19"/>
      <c r="F903" s="96"/>
      <c r="G903" s="19"/>
      <c r="H903" s="19"/>
      <c r="I903" s="19"/>
      <c r="J903" s="19"/>
    </row>
    <row r="904" spans="5:10" ht="15.75" customHeight="1" x14ac:dyDescent="0.3">
      <c r="E904" s="19"/>
      <c r="F904" s="96"/>
      <c r="G904" s="19"/>
      <c r="H904" s="19"/>
      <c r="I904" s="19"/>
      <c r="J904" s="19"/>
    </row>
    <row r="905" spans="5:10" ht="15.75" customHeight="1" x14ac:dyDescent="0.3">
      <c r="E905" s="19"/>
      <c r="F905" s="96"/>
      <c r="G905" s="19"/>
      <c r="H905" s="19"/>
      <c r="I905" s="19"/>
      <c r="J905" s="19"/>
    </row>
    <row r="906" spans="5:10" ht="15.75" customHeight="1" x14ac:dyDescent="0.3">
      <c r="E906" s="19"/>
      <c r="F906" s="96"/>
      <c r="G906" s="19"/>
      <c r="H906" s="19"/>
      <c r="I906" s="19"/>
      <c r="J906" s="19"/>
    </row>
    <row r="907" spans="5:10" ht="15.75" customHeight="1" x14ac:dyDescent="0.3">
      <c r="E907" s="19"/>
      <c r="F907" s="96"/>
      <c r="G907" s="19"/>
      <c r="H907" s="19"/>
      <c r="I907" s="19"/>
      <c r="J907" s="19"/>
    </row>
    <row r="908" spans="5:10" ht="15.75" customHeight="1" x14ac:dyDescent="0.3">
      <c r="E908" s="19"/>
      <c r="F908" s="96"/>
      <c r="G908" s="19"/>
      <c r="H908" s="19"/>
      <c r="I908" s="19"/>
      <c r="J908" s="19"/>
    </row>
    <row r="909" spans="5:10" ht="15.75" customHeight="1" x14ac:dyDescent="0.3">
      <c r="E909" s="19"/>
      <c r="F909" s="96"/>
      <c r="G909" s="19"/>
      <c r="H909" s="19"/>
      <c r="I909" s="19"/>
      <c r="J909" s="19"/>
    </row>
    <row r="910" spans="5:10" ht="15.75" customHeight="1" x14ac:dyDescent="0.3">
      <c r="E910" s="19"/>
      <c r="F910" s="96"/>
      <c r="G910" s="19"/>
      <c r="H910" s="19"/>
      <c r="I910" s="19"/>
      <c r="J910" s="19"/>
    </row>
    <row r="911" spans="5:10" ht="15.75" customHeight="1" x14ac:dyDescent="0.3">
      <c r="E911" s="19"/>
      <c r="F911" s="96"/>
      <c r="G911" s="19"/>
      <c r="H911" s="19"/>
      <c r="I911" s="19"/>
      <c r="J911" s="19"/>
    </row>
    <row r="912" spans="5:10" ht="15.75" customHeight="1" x14ac:dyDescent="0.3">
      <c r="E912" s="19"/>
      <c r="F912" s="96"/>
      <c r="G912" s="19"/>
      <c r="H912" s="19"/>
      <c r="I912" s="19"/>
      <c r="J912" s="19"/>
    </row>
    <row r="913" spans="5:10" ht="15.75" customHeight="1" x14ac:dyDescent="0.3">
      <c r="E913" s="19"/>
      <c r="F913" s="96"/>
      <c r="G913" s="19"/>
      <c r="H913" s="19"/>
      <c r="I913" s="19"/>
      <c r="J913" s="19"/>
    </row>
    <row r="914" spans="5:10" ht="15.75" customHeight="1" x14ac:dyDescent="0.3">
      <c r="E914" s="19"/>
      <c r="F914" s="96"/>
      <c r="G914" s="19"/>
      <c r="H914" s="19"/>
      <c r="I914" s="19"/>
      <c r="J914" s="19"/>
    </row>
    <row r="915" spans="5:10" ht="15.75" customHeight="1" x14ac:dyDescent="0.3">
      <c r="E915" s="19"/>
      <c r="F915" s="96"/>
      <c r="G915" s="19"/>
      <c r="H915" s="19"/>
      <c r="I915" s="19"/>
      <c r="J915" s="19"/>
    </row>
    <row r="916" spans="5:10" ht="15.75" customHeight="1" x14ac:dyDescent="0.3">
      <c r="E916" s="19"/>
      <c r="F916" s="96"/>
      <c r="G916" s="19"/>
      <c r="H916" s="19"/>
      <c r="I916" s="19"/>
      <c r="J916" s="19"/>
    </row>
    <row r="917" spans="5:10" ht="15.75" customHeight="1" x14ac:dyDescent="0.3">
      <c r="E917" s="19"/>
      <c r="F917" s="96"/>
      <c r="G917" s="19"/>
      <c r="H917" s="19"/>
      <c r="I917" s="19"/>
      <c r="J917" s="19"/>
    </row>
    <row r="918" spans="5:10" ht="15.75" customHeight="1" x14ac:dyDescent="0.3">
      <c r="E918" s="19"/>
      <c r="F918" s="96"/>
      <c r="G918" s="19"/>
      <c r="H918" s="19"/>
      <c r="I918" s="19"/>
      <c r="J918" s="19"/>
    </row>
    <row r="919" spans="5:10" ht="15.75" customHeight="1" x14ac:dyDescent="0.3">
      <c r="E919" s="19"/>
      <c r="F919" s="96"/>
      <c r="G919" s="19"/>
      <c r="H919" s="19"/>
      <c r="I919" s="19"/>
      <c r="J919" s="19"/>
    </row>
    <row r="920" spans="5:10" ht="15.75" customHeight="1" x14ac:dyDescent="0.3">
      <c r="E920" s="19"/>
      <c r="F920" s="96"/>
      <c r="G920" s="19"/>
      <c r="H920" s="19"/>
      <c r="I920" s="19"/>
      <c r="J920" s="19"/>
    </row>
    <row r="921" spans="5:10" ht="15.75" customHeight="1" x14ac:dyDescent="0.3">
      <c r="E921" s="19"/>
      <c r="F921" s="96"/>
      <c r="G921" s="19"/>
      <c r="H921" s="19"/>
      <c r="I921" s="19"/>
      <c r="J921" s="19"/>
    </row>
    <row r="922" spans="5:10" ht="15.75" customHeight="1" x14ac:dyDescent="0.3">
      <c r="E922" s="19"/>
      <c r="F922" s="96"/>
      <c r="G922" s="19"/>
      <c r="H922" s="19"/>
      <c r="I922" s="19"/>
      <c r="J922" s="19"/>
    </row>
    <row r="923" spans="5:10" ht="15.75" customHeight="1" x14ac:dyDescent="0.3">
      <c r="E923" s="19"/>
      <c r="F923" s="96"/>
      <c r="G923" s="19"/>
      <c r="H923" s="19"/>
      <c r="I923" s="19"/>
      <c r="J923" s="19"/>
    </row>
    <row r="924" spans="5:10" ht="15.75" customHeight="1" x14ac:dyDescent="0.3">
      <c r="E924" s="19"/>
      <c r="F924" s="96"/>
      <c r="G924" s="19"/>
      <c r="H924" s="19"/>
      <c r="I924" s="19"/>
      <c r="J924" s="19"/>
    </row>
    <row r="925" spans="5:10" ht="15.75" customHeight="1" x14ac:dyDescent="0.3">
      <c r="E925" s="19"/>
      <c r="F925" s="96"/>
      <c r="G925" s="19"/>
      <c r="H925" s="19"/>
      <c r="I925" s="19"/>
      <c r="J925" s="19"/>
    </row>
    <row r="926" spans="5:10" ht="15.75" customHeight="1" x14ac:dyDescent="0.3">
      <c r="E926" s="19"/>
      <c r="F926" s="96"/>
      <c r="G926" s="19"/>
      <c r="H926" s="19"/>
      <c r="I926" s="19"/>
      <c r="J926" s="19"/>
    </row>
    <row r="927" spans="5:10" ht="15.75" customHeight="1" x14ac:dyDescent="0.3">
      <c r="E927" s="19"/>
      <c r="F927" s="96"/>
      <c r="G927" s="19"/>
      <c r="H927" s="19"/>
      <c r="I927" s="19"/>
      <c r="J927" s="19"/>
    </row>
    <row r="928" spans="5:10" ht="15.75" customHeight="1" x14ac:dyDescent="0.3">
      <c r="E928" s="19"/>
      <c r="F928" s="96"/>
      <c r="G928" s="19"/>
      <c r="H928" s="19"/>
      <c r="I928" s="19"/>
      <c r="J928" s="19"/>
    </row>
    <row r="929" spans="5:10" ht="15.75" customHeight="1" x14ac:dyDescent="0.3">
      <c r="E929" s="19"/>
      <c r="F929" s="96"/>
      <c r="G929" s="19"/>
      <c r="H929" s="19"/>
      <c r="I929" s="19"/>
      <c r="J929" s="19"/>
    </row>
    <row r="930" spans="5:10" ht="15.75" customHeight="1" x14ac:dyDescent="0.3">
      <c r="E930" s="19"/>
      <c r="F930" s="96"/>
      <c r="G930" s="19"/>
      <c r="H930" s="19"/>
      <c r="I930" s="19"/>
      <c r="J930" s="19"/>
    </row>
    <row r="931" spans="5:10" ht="15.75" customHeight="1" x14ac:dyDescent="0.3">
      <c r="E931" s="19"/>
      <c r="F931" s="96"/>
      <c r="G931" s="19"/>
      <c r="H931" s="19"/>
      <c r="I931" s="19"/>
      <c r="J931" s="19"/>
    </row>
    <row r="932" spans="5:10" ht="15.75" customHeight="1" x14ac:dyDescent="0.3">
      <c r="E932" s="19"/>
      <c r="F932" s="96"/>
      <c r="G932" s="19"/>
      <c r="H932" s="19"/>
      <c r="I932" s="19"/>
      <c r="J932" s="19"/>
    </row>
    <row r="933" spans="5:10" ht="15.75" customHeight="1" x14ac:dyDescent="0.3">
      <c r="E933" s="19"/>
      <c r="F933" s="96"/>
      <c r="G933" s="19"/>
      <c r="H933" s="19"/>
      <c r="I933" s="19"/>
      <c r="J933" s="19"/>
    </row>
    <row r="934" spans="5:10" ht="15.75" customHeight="1" x14ac:dyDescent="0.3">
      <c r="E934" s="19"/>
      <c r="F934" s="96"/>
      <c r="G934" s="19"/>
      <c r="H934" s="19"/>
      <c r="I934" s="19"/>
      <c r="J934" s="19"/>
    </row>
    <row r="935" spans="5:10" ht="15.75" customHeight="1" x14ac:dyDescent="0.3">
      <c r="E935" s="19"/>
      <c r="F935" s="96"/>
      <c r="G935" s="19"/>
      <c r="H935" s="19"/>
      <c r="I935" s="19"/>
      <c r="J935" s="19"/>
    </row>
    <row r="936" spans="5:10" ht="15.75" customHeight="1" x14ac:dyDescent="0.3">
      <c r="E936" s="19"/>
      <c r="F936" s="96"/>
      <c r="G936" s="19"/>
      <c r="H936" s="19"/>
      <c r="I936" s="19"/>
      <c r="J936" s="19"/>
    </row>
    <row r="937" spans="5:10" ht="15.75" customHeight="1" x14ac:dyDescent="0.3">
      <c r="E937" s="19"/>
      <c r="F937" s="96"/>
      <c r="G937" s="19"/>
      <c r="H937" s="19"/>
      <c r="I937" s="19"/>
      <c r="J937" s="19"/>
    </row>
    <row r="938" spans="5:10" ht="15.75" customHeight="1" x14ac:dyDescent="0.3">
      <c r="E938" s="19"/>
      <c r="F938" s="96"/>
      <c r="G938" s="19"/>
      <c r="H938" s="19"/>
      <c r="I938" s="19"/>
      <c r="J938" s="19"/>
    </row>
    <row r="939" spans="5:10" ht="15.75" customHeight="1" x14ac:dyDescent="0.3">
      <c r="E939" s="19"/>
      <c r="F939" s="96"/>
      <c r="G939" s="19"/>
      <c r="H939" s="19"/>
      <c r="I939" s="19"/>
      <c r="J939" s="19"/>
    </row>
    <row r="940" spans="5:10" ht="15.75" customHeight="1" x14ac:dyDescent="0.3">
      <c r="E940" s="19"/>
      <c r="F940" s="96"/>
      <c r="G940" s="19"/>
      <c r="H940" s="19"/>
      <c r="I940" s="19"/>
      <c r="J940" s="19"/>
    </row>
    <row r="941" spans="5:10" ht="15.75" customHeight="1" x14ac:dyDescent="0.3">
      <c r="E941" s="19"/>
      <c r="F941" s="96"/>
      <c r="G941" s="19"/>
      <c r="H941" s="19"/>
      <c r="I941" s="19"/>
      <c r="J941" s="19"/>
    </row>
    <row r="942" spans="5:10" ht="15.75" customHeight="1" x14ac:dyDescent="0.3">
      <c r="E942" s="19"/>
      <c r="F942" s="96"/>
      <c r="G942" s="19"/>
      <c r="H942" s="19"/>
      <c r="I942" s="19"/>
      <c r="J942" s="19"/>
    </row>
    <row r="943" spans="5:10" ht="15.75" customHeight="1" x14ac:dyDescent="0.3">
      <c r="E943" s="19"/>
      <c r="F943" s="96"/>
      <c r="G943" s="19"/>
      <c r="H943" s="19"/>
      <c r="I943" s="19"/>
      <c r="J943" s="19"/>
    </row>
    <row r="944" spans="5:10" ht="15.75" customHeight="1" x14ac:dyDescent="0.3">
      <c r="E944" s="19"/>
      <c r="F944" s="96"/>
      <c r="G944" s="19"/>
      <c r="H944" s="19"/>
      <c r="I944" s="19"/>
      <c r="J944" s="19"/>
    </row>
    <row r="945" spans="5:10" ht="15.75" customHeight="1" x14ac:dyDescent="0.3">
      <c r="E945" s="19"/>
      <c r="F945" s="96"/>
      <c r="G945" s="19"/>
      <c r="H945" s="19"/>
      <c r="I945" s="19"/>
      <c r="J945" s="19"/>
    </row>
    <row r="946" spans="5:10" ht="15.75" customHeight="1" x14ac:dyDescent="0.3">
      <c r="E946" s="19"/>
      <c r="F946" s="96"/>
      <c r="G946" s="19"/>
      <c r="H946" s="19"/>
      <c r="I946" s="19"/>
      <c r="J946" s="19"/>
    </row>
    <row r="947" spans="5:10" ht="15.75" customHeight="1" x14ac:dyDescent="0.3">
      <c r="E947" s="19"/>
      <c r="F947" s="96"/>
      <c r="G947" s="19"/>
      <c r="H947" s="19"/>
      <c r="I947" s="19"/>
      <c r="J947" s="19"/>
    </row>
    <row r="948" spans="5:10" ht="15.75" customHeight="1" x14ac:dyDescent="0.3">
      <c r="E948" s="19"/>
      <c r="F948" s="96"/>
      <c r="G948" s="19"/>
      <c r="H948" s="19"/>
      <c r="I948" s="19"/>
      <c r="J948" s="19"/>
    </row>
    <row r="949" spans="5:10" ht="15.75" customHeight="1" x14ac:dyDescent="0.3">
      <c r="E949" s="19"/>
      <c r="F949" s="96"/>
      <c r="G949" s="19"/>
      <c r="H949" s="19"/>
      <c r="I949" s="19"/>
      <c r="J949" s="19"/>
    </row>
    <row r="950" spans="5:10" ht="15.75" customHeight="1" x14ac:dyDescent="0.3">
      <c r="E950" s="19"/>
      <c r="F950" s="96"/>
      <c r="G950" s="19"/>
      <c r="H950" s="19"/>
      <c r="I950" s="19"/>
      <c r="J950" s="19"/>
    </row>
    <row r="951" spans="5:10" ht="15.75" customHeight="1" x14ac:dyDescent="0.3">
      <c r="E951" s="19"/>
      <c r="F951" s="96"/>
      <c r="G951" s="19"/>
      <c r="H951" s="19"/>
      <c r="I951" s="19"/>
      <c r="J951" s="19"/>
    </row>
    <row r="952" spans="5:10" ht="15.75" customHeight="1" x14ac:dyDescent="0.3">
      <c r="E952" s="19"/>
      <c r="F952" s="96"/>
      <c r="G952" s="19"/>
      <c r="H952" s="19"/>
      <c r="I952" s="19"/>
      <c r="J952" s="19"/>
    </row>
    <row r="953" spans="5:10" ht="15.75" customHeight="1" x14ac:dyDescent="0.3">
      <c r="E953" s="19"/>
      <c r="F953" s="96"/>
      <c r="G953" s="19"/>
      <c r="H953" s="19"/>
      <c r="I953" s="19"/>
      <c r="J953" s="19"/>
    </row>
    <row r="954" spans="5:10" ht="15.75" customHeight="1" x14ac:dyDescent="0.3">
      <c r="E954" s="19"/>
      <c r="F954" s="96"/>
      <c r="G954" s="19"/>
      <c r="H954" s="19"/>
      <c r="I954" s="19"/>
      <c r="J954" s="19"/>
    </row>
    <row r="955" spans="5:10" ht="15.75" customHeight="1" x14ac:dyDescent="0.3">
      <c r="E955" s="19"/>
      <c r="F955" s="96"/>
      <c r="G955" s="19"/>
      <c r="H955" s="19"/>
      <c r="I955" s="19"/>
      <c r="J955" s="19"/>
    </row>
    <row r="956" spans="5:10" ht="15.75" customHeight="1" x14ac:dyDescent="0.3">
      <c r="E956" s="19"/>
      <c r="F956" s="96"/>
      <c r="G956" s="19"/>
      <c r="H956" s="19"/>
      <c r="I956" s="19"/>
      <c r="J956" s="19"/>
    </row>
    <row r="957" spans="5:10" ht="15.75" customHeight="1" x14ac:dyDescent="0.3">
      <c r="E957" s="19"/>
      <c r="F957" s="96"/>
      <c r="G957" s="19"/>
      <c r="H957" s="19"/>
      <c r="I957" s="19"/>
      <c r="J957" s="19"/>
    </row>
    <row r="958" spans="5:10" ht="15.75" customHeight="1" x14ac:dyDescent="0.3">
      <c r="E958" s="19"/>
      <c r="F958" s="96"/>
      <c r="G958" s="19"/>
      <c r="H958" s="19"/>
      <c r="I958" s="19"/>
      <c r="J958" s="19"/>
    </row>
    <row r="959" spans="5:10" ht="15.75" customHeight="1" x14ac:dyDescent="0.3">
      <c r="E959" s="19"/>
      <c r="F959" s="96"/>
      <c r="G959" s="19"/>
      <c r="H959" s="19"/>
      <c r="I959" s="19"/>
      <c r="J959" s="19"/>
    </row>
    <row r="960" spans="5:10" ht="15.75" customHeight="1" x14ac:dyDescent="0.3">
      <c r="E960" s="19"/>
      <c r="F960" s="96"/>
      <c r="G960" s="19"/>
      <c r="H960" s="19"/>
      <c r="I960" s="19"/>
      <c r="J960" s="19"/>
    </row>
    <row r="961" spans="5:10" ht="15.75" customHeight="1" x14ac:dyDescent="0.3">
      <c r="E961" s="19"/>
      <c r="F961" s="96"/>
      <c r="G961" s="19"/>
      <c r="H961" s="19"/>
      <c r="I961" s="19"/>
      <c r="J961" s="19"/>
    </row>
    <row r="962" spans="5:10" ht="15.75" customHeight="1" x14ac:dyDescent="0.3">
      <c r="E962" s="19"/>
      <c r="F962" s="96"/>
      <c r="G962" s="19"/>
      <c r="H962" s="19"/>
      <c r="I962" s="19"/>
      <c r="J962" s="19"/>
    </row>
    <row r="963" spans="5:10" ht="15.75" customHeight="1" x14ac:dyDescent="0.3">
      <c r="E963" s="19"/>
      <c r="F963" s="96"/>
      <c r="G963" s="19"/>
      <c r="H963" s="19"/>
      <c r="I963" s="19"/>
      <c r="J963" s="19"/>
    </row>
    <row r="964" spans="5:10" ht="15.75" customHeight="1" x14ac:dyDescent="0.3">
      <c r="E964" s="19"/>
      <c r="F964" s="96"/>
      <c r="G964" s="19"/>
      <c r="H964" s="19"/>
      <c r="I964" s="19"/>
      <c r="J964" s="19"/>
    </row>
    <row r="965" spans="5:10" ht="15.75" customHeight="1" x14ac:dyDescent="0.3">
      <c r="E965" s="19"/>
      <c r="F965" s="96"/>
      <c r="G965" s="19"/>
      <c r="H965" s="19"/>
      <c r="I965" s="19"/>
      <c r="J965" s="19"/>
    </row>
    <row r="966" spans="5:10" ht="15.75" customHeight="1" x14ac:dyDescent="0.3">
      <c r="E966" s="19"/>
      <c r="F966" s="96"/>
      <c r="G966" s="19"/>
      <c r="H966" s="19"/>
      <c r="I966" s="19"/>
      <c r="J966" s="19"/>
    </row>
    <row r="967" spans="5:10" ht="15.75" customHeight="1" x14ac:dyDescent="0.3">
      <c r="E967" s="19"/>
      <c r="F967" s="96"/>
      <c r="G967" s="19"/>
      <c r="H967" s="19"/>
      <c r="I967" s="19"/>
      <c r="J967" s="19"/>
    </row>
    <row r="968" spans="5:10" ht="15.75" customHeight="1" x14ac:dyDescent="0.3">
      <c r="E968" s="19"/>
      <c r="F968" s="96"/>
      <c r="G968" s="19"/>
      <c r="H968" s="19"/>
      <c r="I968" s="19"/>
      <c r="J968" s="19"/>
    </row>
    <row r="969" spans="5:10" ht="15.75" customHeight="1" x14ac:dyDescent="0.3">
      <c r="E969" s="19"/>
      <c r="F969" s="96"/>
      <c r="G969" s="19"/>
      <c r="H969" s="19"/>
      <c r="I969" s="19"/>
      <c r="J969" s="19"/>
    </row>
    <row r="970" spans="5:10" ht="15.75" customHeight="1" x14ac:dyDescent="0.3">
      <c r="E970" s="19"/>
      <c r="F970" s="96"/>
      <c r="G970" s="19"/>
      <c r="H970" s="19"/>
      <c r="I970" s="19"/>
      <c r="J970" s="19"/>
    </row>
    <row r="971" spans="5:10" ht="15.75" customHeight="1" x14ac:dyDescent="0.3">
      <c r="E971" s="19"/>
      <c r="F971" s="96"/>
      <c r="G971" s="19"/>
      <c r="H971" s="19"/>
      <c r="I971" s="19"/>
      <c r="J971" s="19"/>
    </row>
    <row r="972" spans="5:10" ht="15.75" customHeight="1" x14ac:dyDescent="0.3">
      <c r="E972" s="19"/>
      <c r="F972" s="96"/>
      <c r="G972" s="19"/>
      <c r="H972" s="19"/>
      <c r="I972" s="19"/>
      <c r="J972" s="19"/>
    </row>
    <row r="973" spans="5:10" ht="15.75" customHeight="1" x14ac:dyDescent="0.3">
      <c r="E973" s="19"/>
      <c r="F973" s="96"/>
      <c r="G973" s="19"/>
      <c r="H973" s="19"/>
      <c r="I973" s="19"/>
      <c r="J973" s="19"/>
    </row>
    <row r="974" spans="5:10" ht="15.75" customHeight="1" x14ac:dyDescent="0.3">
      <c r="E974" s="19"/>
      <c r="F974" s="96"/>
      <c r="G974" s="19"/>
      <c r="H974" s="19"/>
      <c r="I974" s="19"/>
      <c r="J974" s="19"/>
    </row>
    <row r="975" spans="5:10" ht="15.75" customHeight="1" x14ac:dyDescent="0.3">
      <c r="E975" s="19"/>
      <c r="F975" s="96"/>
      <c r="G975" s="19"/>
      <c r="H975" s="19"/>
      <c r="I975" s="19"/>
      <c r="J975" s="19"/>
    </row>
    <row r="976" spans="5:10" ht="15.75" customHeight="1" x14ac:dyDescent="0.3">
      <c r="E976" s="19"/>
      <c r="F976" s="96"/>
      <c r="G976" s="19"/>
      <c r="H976" s="19"/>
      <c r="I976" s="19"/>
      <c r="J976" s="19"/>
    </row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mergeCells count="2">
    <mergeCell ref="B2:J2"/>
    <mergeCell ref="C33:H33"/>
  </mergeCells>
  <phoneticPr fontId="18" type="noConversion"/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59BD7-BDAF-4CE3-8578-38CA79754B53}">
  <dimension ref="B1:X668"/>
  <sheetViews>
    <sheetView showGridLines="0" showRowColHeaders="0" topLeftCell="C5" zoomScaleNormal="100" workbookViewId="0">
      <selection activeCell="H89" sqref="H89:H93"/>
    </sheetView>
  </sheetViews>
  <sheetFormatPr baseColWidth="10" defaultColWidth="14" defaultRowHeight="15" customHeight="1" x14ac:dyDescent="0.25"/>
  <cols>
    <col min="1" max="1" width="4.44140625" style="18" customWidth="1"/>
    <col min="2" max="2" width="26.109375" style="18" customWidth="1"/>
    <col min="3" max="3" width="23.6640625" style="23" bestFit="1" customWidth="1"/>
    <col min="4" max="4" width="34.88671875" style="23" customWidth="1"/>
    <col min="5" max="5" width="62.109375" style="23" bestFit="1" customWidth="1"/>
    <col min="6" max="6" width="55" style="18" bestFit="1" customWidth="1"/>
    <col min="7" max="7" width="21.88671875" style="18" customWidth="1"/>
    <col min="8" max="8" width="33.6640625" style="23" bestFit="1" customWidth="1"/>
    <col min="9" max="9" width="37.44140625" style="23" bestFit="1" customWidth="1"/>
    <col min="10" max="10" width="21.109375" style="23" bestFit="1" customWidth="1"/>
    <col min="11" max="11" width="20.77734375" style="127" bestFit="1" customWidth="1"/>
    <col min="12" max="14" width="10.44140625" style="18" customWidth="1"/>
    <col min="15" max="15" width="22.109375" style="18" bestFit="1" customWidth="1"/>
    <col min="16" max="16" width="10.44140625" style="18" customWidth="1"/>
    <col min="17" max="17" width="17.109375" style="18" customWidth="1"/>
    <col min="18" max="19" width="10.44140625" style="18" customWidth="1"/>
    <col min="20" max="20" width="29.77734375" style="18" customWidth="1"/>
    <col min="21" max="21" width="6" style="18" customWidth="1"/>
    <col min="22" max="22" width="18.77734375" style="18" customWidth="1"/>
    <col min="23" max="23" width="5.44140625" style="18" customWidth="1"/>
    <col min="24" max="24" width="32.88671875" style="18" bestFit="1" customWidth="1"/>
    <col min="25" max="29" width="10.44140625" style="18" customWidth="1"/>
    <col min="30" max="16384" width="14" style="18"/>
  </cols>
  <sheetData>
    <row r="1" spans="2:12" ht="14.4" x14ac:dyDescent="0.3">
      <c r="E1" s="35"/>
      <c r="F1" s="19"/>
      <c r="G1" s="19"/>
    </row>
    <row r="2" spans="2:12" ht="14.4" x14ac:dyDescent="0.3">
      <c r="E2" s="35"/>
      <c r="F2" s="19"/>
      <c r="G2" s="19"/>
    </row>
    <row r="3" spans="2:12" ht="13.8" x14ac:dyDescent="0.25">
      <c r="E3" s="36"/>
      <c r="F3" s="20"/>
      <c r="G3" s="20"/>
    </row>
    <row r="4" spans="2:12" ht="14.4" x14ac:dyDescent="0.3">
      <c r="B4" s="457" t="s">
        <v>1180</v>
      </c>
      <c r="C4" s="457"/>
      <c r="D4" s="457"/>
      <c r="E4" s="36"/>
      <c r="F4" s="20"/>
      <c r="G4" s="20"/>
    </row>
    <row r="5" spans="2:12" ht="13.8" x14ac:dyDescent="0.25">
      <c r="E5" s="36"/>
      <c r="F5" s="20"/>
      <c r="G5" s="20"/>
    </row>
    <row r="6" spans="2:12" ht="14.4" x14ac:dyDescent="0.3">
      <c r="B6" s="21" t="s">
        <v>1153</v>
      </c>
      <c r="C6" s="29">
        <v>12000000</v>
      </c>
      <c r="E6" s="36"/>
      <c r="F6" s="20"/>
      <c r="G6" s="20"/>
    </row>
    <row r="7" spans="2:12" ht="13.8" x14ac:dyDescent="0.25">
      <c r="E7" s="36"/>
      <c r="F7" s="20"/>
      <c r="G7" s="20"/>
    </row>
    <row r="8" spans="2:12" ht="13.8" x14ac:dyDescent="0.25">
      <c r="E8" s="36"/>
      <c r="F8" s="20"/>
      <c r="G8" s="20"/>
    </row>
    <row r="9" spans="2:12" ht="13.8" x14ac:dyDescent="0.25">
      <c r="B9" s="132" t="s">
        <v>1154</v>
      </c>
      <c r="C9" s="133" t="s">
        <v>1973</v>
      </c>
      <c r="D9" s="133" t="s">
        <v>1123</v>
      </c>
      <c r="E9" s="134" t="s">
        <v>1156</v>
      </c>
      <c r="F9" s="20"/>
      <c r="G9" s="130"/>
      <c r="H9" s="127"/>
      <c r="I9" s="127"/>
      <c r="J9" s="127"/>
      <c r="K9" s="18"/>
    </row>
    <row r="10" spans="2:12" ht="14.4" x14ac:dyDescent="0.25">
      <c r="B10" s="22" t="s">
        <v>1282</v>
      </c>
      <c r="C10" s="28">
        <v>10</v>
      </c>
      <c r="D10" s="30">
        <f>(C10/$C$13)*100%</f>
        <v>0.1</v>
      </c>
      <c r="E10" s="37">
        <f>+D10*$C$6</f>
        <v>1200000</v>
      </c>
      <c r="F10" s="20"/>
      <c r="G10" s="23"/>
      <c r="H10" s="127"/>
      <c r="I10" s="127"/>
      <c r="J10" s="127"/>
      <c r="K10" s="18"/>
    </row>
    <row r="11" spans="2:12" ht="14.4" x14ac:dyDescent="0.25">
      <c r="B11" s="22" t="s">
        <v>1126</v>
      </c>
      <c r="C11" s="28">
        <v>60</v>
      </c>
      <c r="D11" s="30">
        <f>(C11/$C$13)*100%</f>
        <v>0.6</v>
      </c>
      <c r="E11" s="37">
        <f>+D11*$C$6</f>
        <v>7200000</v>
      </c>
      <c r="F11" s="20"/>
      <c r="G11" s="162"/>
      <c r="H11" s="127"/>
      <c r="I11" s="127"/>
      <c r="J11" s="127"/>
      <c r="K11" s="18"/>
    </row>
    <row r="12" spans="2:12" ht="14.4" x14ac:dyDescent="0.25">
      <c r="B12" s="22" t="s">
        <v>1</v>
      </c>
      <c r="C12" s="28">
        <v>30</v>
      </c>
      <c r="D12" s="30">
        <f>(C12/$C$13)*100%</f>
        <v>0.3</v>
      </c>
      <c r="E12" s="37">
        <f>+D12*$C$6</f>
        <v>3600000</v>
      </c>
      <c r="F12" s="20"/>
      <c r="G12" s="131"/>
      <c r="H12" s="127"/>
      <c r="I12" s="127"/>
      <c r="J12" s="127"/>
      <c r="K12" s="18"/>
    </row>
    <row r="13" spans="2:12" ht="14.4" x14ac:dyDescent="0.25">
      <c r="B13" s="32" t="s">
        <v>1157</v>
      </c>
      <c r="C13" s="33">
        <f>SUM(C10:C12)</f>
        <v>100</v>
      </c>
      <c r="D13" s="34">
        <f>SUM(D10:D12)</f>
        <v>1</v>
      </c>
      <c r="E13" s="38">
        <f>SUM(E10:E12)</f>
        <v>12000000</v>
      </c>
      <c r="F13" s="20"/>
      <c r="G13" s="162"/>
      <c r="H13" s="162"/>
      <c r="I13" s="127"/>
      <c r="J13" s="127"/>
    </row>
    <row r="14" spans="2:12" ht="14.4" thickBot="1" x14ac:dyDescent="0.3">
      <c r="E14" s="36"/>
      <c r="F14" s="20"/>
      <c r="G14" s="20"/>
      <c r="H14" s="20"/>
      <c r="K14" s="23"/>
      <c r="L14" s="127"/>
    </row>
    <row r="15" spans="2:12" ht="42" thickBot="1" x14ac:dyDescent="0.3">
      <c r="B15" s="150" t="s">
        <v>1154</v>
      </c>
      <c r="C15" s="151" t="s">
        <v>1185</v>
      </c>
      <c r="D15" s="151" t="s">
        <v>1158</v>
      </c>
      <c r="E15" s="152" t="s">
        <v>1187</v>
      </c>
      <c r="F15" s="151" t="s">
        <v>1150</v>
      </c>
      <c r="G15" s="153" t="s">
        <v>1419</v>
      </c>
      <c r="H15" s="153" t="s">
        <v>1923</v>
      </c>
      <c r="I15" s="153" t="s">
        <v>1420</v>
      </c>
      <c r="J15" s="154" t="s">
        <v>1924</v>
      </c>
      <c r="K15" s="155" t="s">
        <v>1421</v>
      </c>
    </row>
    <row r="16" spans="2:12" ht="14.4" x14ac:dyDescent="0.25">
      <c r="B16" s="427" t="s">
        <v>1282</v>
      </c>
      <c r="C16" s="449" t="s">
        <v>1190</v>
      </c>
      <c r="D16" s="451" t="s">
        <v>1417</v>
      </c>
      <c r="E16" s="175" t="str">
        <f>'01-ACTIVIDADES'!D4</f>
        <v>CA01 01</v>
      </c>
      <c r="F16" s="188" t="str">
        <f>'01-ACTIVIDADES'!E4</f>
        <v>Representar legalmente la empresa ante diferentes entidades.</v>
      </c>
      <c r="G16" s="422">
        <f>E10</f>
        <v>1200000</v>
      </c>
      <c r="H16" s="396">
        <f>SUM(J16:J24)</f>
        <v>2.4999999999999996</v>
      </c>
      <c r="I16" s="416">
        <f>SUM(K16:K24)</f>
        <v>300000</v>
      </c>
      <c r="J16" s="196">
        <f>($C$10/4)/9</f>
        <v>0.27777777777777779</v>
      </c>
      <c r="K16" s="147">
        <f>($E$13/100)*J16</f>
        <v>33333.333333333336</v>
      </c>
    </row>
    <row r="17" spans="2:24" ht="14.4" x14ac:dyDescent="0.25">
      <c r="B17" s="428"/>
      <c r="C17" s="388"/>
      <c r="D17" s="452"/>
      <c r="E17" s="179" t="str">
        <f>'01-ACTIVIDADES'!D5</f>
        <v>CA01 02</v>
      </c>
      <c r="F17" s="190" t="str">
        <f>'01-ACTIVIDADES'!E5</f>
        <v>Atencion al cliente</v>
      </c>
      <c r="G17" s="423"/>
      <c r="H17" s="397"/>
      <c r="I17" s="417"/>
      <c r="J17" s="198">
        <f t="shared" ref="J17:J24" si="0">($C$10/4)/9</f>
        <v>0.27777777777777779</v>
      </c>
      <c r="K17" s="148">
        <f t="shared" ref="K17:K53" si="1">($E$13/100)*J17</f>
        <v>33333.333333333336</v>
      </c>
    </row>
    <row r="18" spans="2:24" ht="14.4" x14ac:dyDescent="0.25">
      <c r="B18" s="428"/>
      <c r="C18" s="388"/>
      <c r="D18" s="452"/>
      <c r="E18" s="179" t="str">
        <f>'01-ACTIVIDADES'!D6</f>
        <v>CA01 03</v>
      </c>
      <c r="F18" s="190" t="str">
        <f>'01-ACTIVIDADES'!E6</f>
        <v>Planificacion y organizacion</v>
      </c>
      <c r="G18" s="423"/>
      <c r="H18" s="397"/>
      <c r="I18" s="417"/>
      <c r="J18" s="198">
        <f t="shared" si="0"/>
        <v>0.27777777777777779</v>
      </c>
      <c r="K18" s="148">
        <f t="shared" si="1"/>
        <v>33333.333333333336</v>
      </c>
    </row>
    <row r="19" spans="2:24" ht="14.4" x14ac:dyDescent="0.25">
      <c r="B19" s="428"/>
      <c r="C19" s="388"/>
      <c r="D19" s="452"/>
      <c r="E19" s="179" t="str">
        <f>'01-ACTIVIDADES'!D9</f>
        <v>CA01 06</v>
      </c>
      <c r="F19" s="190" t="str">
        <f>'01-ACTIVIDADES'!E9</f>
        <v>Control de saldos de Caja y Banco</v>
      </c>
      <c r="G19" s="423"/>
      <c r="H19" s="397"/>
      <c r="I19" s="417"/>
      <c r="J19" s="198">
        <f t="shared" si="0"/>
        <v>0.27777777777777779</v>
      </c>
      <c r="K19" s="148">
        <f t="shared" si="1"/>
        <v>33333.333333333336</v>
      </c>
    </row>
    <row r="20" spans="2:24" ht="14.4" x14ac:dyDescent="0.25">
      <c r="B20" s="428"/>
      <c r="C20" s="388"/>
      <c r="D20" s="452"/>
      <c r="E20" s="179" t="str">
        <f>'01-ACTIVIDADES'!D10</f>
        <v>CA01 07</v>
      </c>
      <c r="F20" s="190" t="str">
        <f>'01-ACTIVIDADES'!E10</f>
        <v>Contratacion de personal</v>
      </c>
      <c r="G20" s="423"/>
      <c r="H20" s="397"/>
      <c r="I20" s="417"/>
      <c r="J20" s="198">
        <f t="shared" si="0"/>
        <v>0.27777777777777779</v>
      </c>
      <c r="K20" s="148">
        <f t="shared" si="1"/>
        <v>33333.333333333336</v>
      </c>
    </row>
    <row r="21" spans="2:24" ht="14.4" x14ac:dyDescent="0.25">
      <c r="B21" s="428"/>
      <c r="C21" s="388"/>
      <c r="D21" s="452"/>
      <c r="E21" s="179" t="str">
        <f>'01-ACTIVIDADES'!D11</f>
        <v>CA01 08</v>
      </c>
      <c r="F21" s="190" t="str">
        <f>'01-ACTIVIDADES'!E11</f>
        <v>Contratacion de servicios</v>
      </c>
      <c r="G21" s="423"/>
      <c r="H21" s="397"/>
      <c r="I21" s="417"/>
      <c r="J21" s="198">
        <f t="shared" si="0"/>
        <v>0.27777777777777779</v>
      </c>
      <c r="K21" s="148">
        <f t="shared" si="1"/>
        <v>33333.333333333336</v>
      </c>
      <c r="T21" s="103"/>
      <c r="U21" s="388"/>
      <c r="V21" s="388"/>
      <c r="W21" s="388"/>
      <c r="X21" s="389"/>
    </row>
    <row r="22" spans="2:24" ht="14.4" x14ac:dyDescent="0.25">
      <c r="B22" s="428"/>
      <c r="C22" s="388"/>
      <c r="D22" s="452"/>
      <c r="E22" s="227" t="str">
        <f>'01-ACTIVIDADES'!D12</f>
        <v>CA01 09</v>
      </c>
      <c r="F22" s="189" t="str">
        <f>'01-ACTIVIDADES'!E12</f>
        <v>Recepcion de correspondencia</v>
      </c>
      <c r="G22" s="423"/>
      <c r="H22" s="397"/>
      <c r="I22" s="417"/>
      <c r="J22" s="198">
        <f t="shared" si="0"/>
        <v>0.27777777777777779</v>
      </c>
      <c r="K22" s="148">
        <f t="shared" si="1"/>
        <v>33333.333333333336</v>
      </c>
      <c r="T22" s="125"/>
      <c r="U22" s="388"/>
      <c r="V22" s="388"/>
      <c r="W22" s="388"/>
      <c r="X22" s="389"/>
    </row>
    <row r="23" spans="2:24" ht="14.4" x14ac:dyDescent="0.25">
      <c r="B23" s="428"/>
      <c r="C23" s="388"/>
      <c r="D23" s="452"/>
      <c r="E23" s="227" t="str">
        <f>'01-ACTIVIDADES'!D13</f>
        <v>CA01 10</v>
      </c>
      <c r="F23" s="189" t="str">
        <f>'01-ACTIVIDADES'!E13</f>
        <v>Elaboracion de documentos o informes requeridos</v>
      </c>
      <c r="G23" s="423"/>
      <c r="H23" s="397"/>
      <c r="I23" s="417"/>
      <c r="J23" s="198">
        <f t="shared" si="0"/>
        <v>0.27777777777777779</v>
      </c>
      <c r="K23" s="148">
        <f t="shared" si="1"/>
        <v>33333.333333333336</v>
      </c>
    </row>
    <row r="24" spans="2:24" ht="14.4" x14ac:dyDescent="0.25">
      <c r="B24" s="428"/>
      <c r="C24" s="450"/>
      <c r="D24" s="452"/>
      <c r="E24" s="227" t="str">
        <f>'01-ACTIVIDADES'!D14</f>
        <v>CA01 11</v>
      </c>
      <c r="F24" s="189" t="str">
        <f>'01-ACTIVIDADES'!E14</f>
        <v>Archivo</v>
      </c>
      <c r="G24" s="423"/>
      <c r="H24" s="398"/>
      <c r="I24" s="418"/>
      <c r="J24" s="197">
        <f t="shared" si="0"/>
        <v>0.27777777777777779</v>
      </c>
      <c r="K24" s="148">
        <f t="shared" si="1"/>
        <v>33333.333333333336</v>
      </c>
    </row>
    <row r="25" spans="2:24" ht="14.4" x14ac:dyDescent="0.25">
      <c r="B25" s="428"/>
      <c r="C25" s="439" t="s">
        <v>1191</v>
      </c>
      <c r="D25" s="441" t="s">
        <v>1281</v>
      </c>
      <c r="E25" s="228" t="str">
        <f>'01-ACTIVIDADES'!D15</f>
        <v>CA02 12</v>
      </c>
      <c r="F25" s="187" t="str">
        <f>'01-ACTIVIDADES'!E15</f>
        <v>Pago Proveedores</v>
      </c>
      <c r="G25" s="423"/>
      <c r="H25" s="399">
        <f>SUM(J25:J27)</f>
        <v>2.5</v>
      </c>
      <c r="I25" s="419">
        <f>SUM(K25:K27)</f>
        <v>300000</v>
      </c>
      <c r="J25" s="135">
        <f>($C$10/4)/3</f>
        <v>0.83333333333333337</v>
      </c>
      <c r="K25" s="148">
        <f t="shared" si="1"/>
        <v>100000</v>
      </c>
    </row>
    <row r="26" spans="2:24" ht="14.4" x14ac:dyDescent="0.25">
      <c r="B26" s="428"/>
      <c r="C26" s="440"/>
      <c r="D26" s="442"/>
      <c r="E26" s="228" t="str">
        <f>'01-ACTIVIDADES'!D16</f>
        <v>CA02 13</v>
      </c>
      <c r="F26" s="187" t="str">
        <f>'01-ACTIVIDADES'!E16</f>
        <v>Pago Gastos administrativos</v>
      </c>
      <c r="G26" s="423"/>
      <c r="H26" s="400"/>
      <c r="I26" s="417"/>
      <c r="J26" s="135">
        <f>($C$10/4)/3</f>
        <v>0.83333333333333337</v>
      </c>
      <c r="K26" s="148">
        <f t="shared" si="1"/>
        <v>100000</v>
      </c>
    </row>
    <row r="27" spans="2:24" ht="14.4" x14ac:dyDescent="0.25">
      <c r="B27" s="428"/>
      <c r="C27" s="440"/>
      <c r="D27" s="442"/>
      <c r="E27" s="177" t="str">
        <f>'01-ACTIVIDADES'!D17</f>
        <v>CA02 14</v>
      </c>
      <c r="F27" s="191" t="str">
        <f>'01-ACTIVIDADES'!E17</f>
        <v>Pago Obligaciones financieras</v>
      </c>
      <c r="G27" s="423"/>
      <c r="H27" s="401"/>
      <c r="I27" s="417"/>
      <c r="J27" s="135">
        <f>($C$10/4)/3</f>
        <v>0.83333333333333337</v>
      </c>
      <c r="K27" s="148">
        <f t="shared" si="1"/>
        <v>100000</v>
      </c>
    </row>
    <row r="28" spans="2:24" ht="14.4" x14ac:dyDescent="0.25">
      <c r="B28" s="428"/>
      <c r="C28" s="436" t="s">
        <v>1193</v>
      </c>
      <c r="D28" s="436" t="s">
        <v>1280</v>
      </c>
      <c r="E28" s="178" t="str">
        <f>'01-ACTIVIDADES'!D26</f>
        <v>CA04 23</v>
      </c>
      <c r="F28" s="192" t="str">
        <f>'01-ACTIVIDADES'!E26</f>
        <v>Elaboracion de estados financieros</v>
      </c>
      <c r="G28" s="423"/>
      <c r="H28" s="408">
        <f>SUM(J28:J37)</f>
        <v>2.5</v>
      </c>
      <c r="I28" s="421">
        <f>SUM(K28:K37)</f>
        <v>300000</v>
      </c>
      <c r="J28" s="193">
        <f t="shared" ref="J28:J36" si="2">($C$10/4)/10</f>
        <v>0.25</v>
      </c>
      <c r="K28" s="148">
        <f t="shared" si="1"/>
        <v>30000</v>
      </c>
    </row>
    <row r="29" spans="2:24" ht="14.4" x14ac:dyDescent="0.25">
      <c r="B29" s="428"/>
      <c r="C29" s="436"/>
      <c r="D29" s="436"/>
      <c r="E29" s="178" t="str">
        <f>'01-ACTIVIDADES'!D27</f>
        <v>CA04 24</v>
      </c>
      <c r="F29" s="192" t="str">
        <f>'01-ACTIVIDADES'!E27</f>
        <v>Liquidar y revisar los pagos correspondientes a impuestos</v>
      </c>
      <c r="G29" s="423"/>
      <c r="H29" s="409"/>
      <c r="I29" s="421"/>
      <c r="J29" s="193">
        <f t="shared" si="2"/>
        <v>0.25</v>
      </c>
      <c r="K29" s="148">
        <f t="shared" si="1"/>
        <v>30000</v>
      </c>
    </row>
    <row r="30" spans="2:24" ht="14.4" x14ac:dyDescent="0.25">
      <c r="B30" s="428"/>
      <c r="C30" s="436"/>
      <c r="D30" s="436"/>
      <c r="E30" s="178" t="str">
        <f>'01-ACTIVIDADES'!D28</f>
        <v>CA04 25</v>
      </c>
      <c r="F30" s="192" t="str">
        <f>'01-ACTIVIDADES'!E28</f>
        <v>Elaborar las declaraciones de renta</v>
      </c>
      <c r="G30" s="423"/>
      <c r="H30" s="409"/>
      <c r="I30" s="421"/>
      <c r="J30" s="193">
        <f t="shared" si="2"/>
        <v>0.25</v>
      </c>
      <c r="K30" s="148">
        <f t="shared" si="1"/>
        <v>30000</v>
      </c>
    </row>
    <row r="31" spans="2:24" ht="14.4" x14ac:dyDescent="0.25">
      <c r="B31" s="428"/>
      <c r="C31" s="436"/>
      <c r="D31" s="436"/>
      <c r="E31" s="178" t="str">
        <f>'01-ACTIVIDADES'!D29</f>
        <v>CA04 26</v>
      </c>
      <c r="F31" s="192" t="str">
        <f>'01-ACTIVIDADES'!E29</f>
        <v>Elaboracion de información exogena.</v>
      </c>
      <c r="G31" s="423"/>
      <c r="H31" s="409"/>
      <c r="I31" s="421"/>
      <c r="J31" s="193">
        <f t="shared" si="2"/>
        <v>0.25</v>
      </c>
      <c r="K31" s="148">
        <f t="shared" si="1"/>
        <v>30000</v>
      </c>
    </row>
    <row r="32" spans="2:24" ht="14.4" x14ac:dyDescent="0.25">
      <c r="B32" s="428"/>
      <c r="C32" s="436"/>
      <c r="D32" s="436"/>
      <c r="E32" s="178" t="str">
        <f>'01-ACTIVIDADES'!D30</f>
        <v>CA04 27</v>
      </c>
      <c r="F32" s="192" t="str">
        <f>'01-ACTIVIDADES'!E30</f>
        <v xml:space="preserve">Mantener actualizada la contabilidad. </v>
      </c>
      <c r="G32" s="423"/>
      <c r="H32" s="409"/>
      <c r="I32" s="421"/>
      <c r="J32" s="193">
        <f t="shared" si="2"/>
        <v>0.25</v>
      </c>
      <c r="K32" s="148">
        <f t="shared" si="1"/>
        <v>30000</v>
      </c>
    </row>
    <row r="33" spans="2:11" ht="14.4" x14ac:dyDescent="0.25">
      <c r="B33" s="428"/>
      <c r="C33" s="436"/>
      <c r="D33" s="436"/>
      <c r="E33" s="178" t="str">
        <f>'01-ACTIVIDADES'!D31</f>
        <v>CA04 28</v>
      </c>
      <c r="F33" s="192" t="str">
        <f>'01-ACTIVIDADES'!E31</f>
        <v>Asesoria financiera</v>
      </c>
      <c r="G33" s="423"/>
      <c r="H33" s="409"/>
      <c r="I33" s="421"/>
      <c r="J33" s="193">
        <f t="shared" si="2"/>
        <v>0.25</v>
      </c>
      <c r="K33" s="148">
        <f t="shared" si="1"/>
        <v>30000</v>
      </c>
    </row>
    <row r="34" spans="2:11" ht="15" customHeight="1" x14ac:dyDescent="0.25">
      <c r="B34" s="428"/>
      <c r="C34" s="436"/>
      <c r="D34" s="436"/>
      <c r="E34" s="178" t="str">
        <f>'01-ACTIVIDADES'!D32</f>
        <v>CA04 29</v>
      </c>
      <c r="F34" s="192" t="str">
        <f>'01-ACTIVIDADES'!E32</f>
        <v>Recibir documentación de facturas y documentos equivalentes</v>
      </c>
      <c r="G34" s="423"/>
      <c r="H34" s="409"/>
      <c r="I34" s="421"/>
      <c r="J34" s="193">
        <f t="shared" si="2"/>
        <v>0.25</v>
      </c>
      <c r="K34" s="148">
        <f t="shared" si="1"/>
        <v>30000</v>
      </c>
    </row>
    <row r="35" spans="2:11" ht="15" customHeight="1" x14ac:dyDescent="0.25">
      <c r="B35" s="428"/>
      <c r="C35" s="436"/>
      <c r="D35" s="436"/>
      <c r="E35" s="178" t="str">
        <f>'01-ACTIVIDADES'!D33</f>
        <v>CA04 30</v>
      </c>
      <c r="F35" s="192" t="str">
        <f>'01-ACTIVIDADES'!E33</f>
        <v>Conciliacion bancaria</v>
      </c>
      <c r="G35" s="423"/>
      <c r="H35" s="409"/>
      <c r="I35" s="421"/>
      <c r="J35" s="193">
        <f t="shared" si="2"/>
        <v>0.25</v>
      </c>
      <c r="K35" s="148">
        <f t="shared" si="1"/>
        <v>30000</v>
      </c>
    </row>
    <row r="36" spans="2:11" ht="14.4" x14ac:dyDescent="0.25">
      <c r="B36" s="428"/>
      <c r="C36" s="436"/>
      <c r="D36" s="436"/>
      <c r="E36" s="178" t="str">
        <f>'01-ACTIVIDADES'!D34</f>
        <v>CA04 31</v>
      </c>
      <c r="F36" s="192" t="str">
        <f>'01-ACTIVIDADES'!E34</f>
        <v>Nomina electronica</v>
      </c>
      <c r="G36" s="423"/>
      <c r="H36" s="409"/>
      <c r="I36" s="421"/>
      <c r="J36" s="193">
        <f t="shared" si="2"/>
        <v>0.25</v>
      </c>
      <c r="K36" s="148">
        <f t="shared" si="1"/>
        <v>30000</v>
      </c>
    </row>
    <row r="37" spans="2:11" ht="14.4" x14ac:dyDescent="0.25">
      <c r="B37" s="428"/>
      <c r="C37" s="436"/>
      <c r="D37" s="436"/>
      <c r="E37" s="178" t="str">
        <f>'01-ACTIVIDADES'!D35</f>
        <v>CA04 32</v>
      </c>
      <c r="F37" s="192" t="str">
        <f>'01-ACTIVIDADES'!E35</f>
        <v>Documento sopoerte electronico</v>
      </c>
      <c r="G37" s="423"/>
      <c r="H37" s="410"/>
      <c r="I37" s="421"/>
      <c r="J37" s="193">
        <f>($C$10/4)/10</f>
        <v>0.25</v>
      </c>
      <c r="K37" s="148">
        <f t="shared" si="1"/>
        <v>30000</v>
      </c>
    </row>
    <row r="38" spans="2:11" ht="14.4" x14ac:dyDescent="0.25">
      <c r="B38" s="428"/>
      <c r="C38" s="431" t="s">
        <v>1194</v>
      </c>
      <c r="D38" s="435" t="s">
        <v>1188</v>
      </c>
      <c r="E38" s="229" t="str">
        <f>'01-ACTIVIDADES'!D36</f>
        <v>CA05 33</v>
      </c>
      <c r="F38" s="136" t="str">
        <f>'01-ACTIVIDADES'!E36</f>
        <v>Elaborar cuentas de cobro a los clientes o empresas</v>
      </c>
      <c r="G38" s="423"/>
      <c r="H38" s="402">
        <f>SUM(J38:J42)</f>
        <v>2.5</v>
      </c>
      <c r="I38" s="417">
        <f>SUM(K38:K42)</f>
        <v>300000</v>
      </c>
      <c r="J38" s="135">
        <f>($C$10/4)/5</f>
        <v>0.5</v>
      </c>
      <c r="K38" s="148">
        <f t="shared" si="1"/>
        <v>60000</v>
      </c>
    </row>
    <row r="39" spans="2:11" ht="14.4" x14ac:dyDescent="0.25">
      <c r="B39" s="428"/>
      <c r="C39" s="432"/>
      <c r="D39" s="436"/>
      <c r="E39" s="229" t="str">
        <f>'01-ACTIVIDADES'!D37</f>
        <v>CA05 34</v>
      </c>
      <c r="F39" s="136" t="str">
        <f>'01-ACTIVIDADES'!E37</f>
        <v xml:space="preserve">Verificar documentos necesarios para solicitar el pago de facturas </v>
      </c>
      <c r="G39" s="423"/>
      <c r="H39" s="403"/>
      <c r="I39" s="417"/>
      <c r="J39" s="135">
        <f>($C$10/4)/5</f>
        <v>0.5</v>
      </c>
      <c r="K39" s="148">
        <f t="shared" si="1"/>
        <v>60000</v>
      </c>
    </row>
    <row r="40" spans="2:11" ht="14.4" x14ac:dyDescent="0.25">
      <c r="B40" s="428"/>
      <c r="C40" s="432"/>
      <c r="D40" s="436"/>
      <c r="E40" s="229" t="str">
        <f>'01-ACTIVIDADES'!D38</f>
        <v>CA05 35</v>
      </c>
      <c r="F40" s="136" t="str">
        <f>'01-ACTIVIDADES'!E38</f>
        <v>Informar al area contable el estado de cartera</v>
      </c>
      <c r="G40" s="423"/>
      <c r="H40" s="403"/>
      <c r="I40" s="417"/>
      <c r="J40" s="135">
        <f>($C$10/4)/5</f>
        <v>0.5</v>
      </c>
      <c r="K40" s="148">
        <f t="shared" si="1"/>
        <v>60000</v>
      </c>
    </row>
    <row r="41" spans="2:11" ht="14.4" x14ac:dyDescent="0.25">
      <c r="B41" s="429"/>
      <c r="C41" s="433"/>
      <c r="D41" s="437"/>
      <c r="E41" s="229" t="str">
        <f>'01-ACTIVIDADES'!D39</f>
        <v>CA05 36</v>
      </c>
      <c r="F41" s="136" t="str">
        <f>'01-ACTIVIDADES'!E39</f>
        <v xml:space="preserve">Actualizar información de clientes y proveedores </v>
      </c>
      <c r="G41" s="424"/>
      <c r="H41" s="403"/>
      <c r="I41" s="417"/>
      <c r="J41" s="135">
        <f>($C$10/4)/5</f>
        <v>0.5</v>
      </c>
      <c r="K41" s="148">
        <f t="shared" si="1"/>
        <v>60000</v>
      </c>
    </row>
    <row r="42" spans="2:11" thickBot="1" x14ac:dyDescent="0.3">
      <c r="B42" s="430"/>
      <c r="C42" s="434"/>
      <c r="D42" s="438"/>
      <c r="E42" s="229" t="str">
        <f>'01-ACTIVIDADES'!D40</f>
        <v>CA05 37</v>
      </c>
      <c r="F42" s="136" t="str">
        <f>'01-ACTIVIDADES'!E40</f>
        <v>Cobro de cartera</v>
      </c>
      <c r="G42" s="425"/>
      <c r="H42" s="404"/>
      <c r="I42" s="420"/>
      <c r="J42" s="135">
        <f>($C$10/4)/5</f>
        <v>0.5</v>
      </c>
      <c r="K42" s="148">
        <f t="shared" si="1"/>
        <v>60000</v>
      </c>
    </row>
    <row r="43" spans="2:11" ht="14.4" customHeight="1" x14ac:dyDescent="0.25">
      <c r="B43" s="427" t="s">
        <v>1126</v>
      </c>
      <c r="C43" s="443" t="s">
        <v>1192</v>
      </c>
      <c r="D43" s="446" t="s">
        <v>1542</v>
      </c>
      <c r="E43" s="176" t="str">
        <f>'01-ACTIVIDADES'!D18</f>
        <v>CA03 15</v>
      </c>
      <c r="F43" s="194" t="str">
        <f>'01-ACTIVIDADES'!E18</f>
        <v>Informacion de Productos y precios</v>
      </c>
      <c r="G43" s="416">
        <f>E11</f>
        <v>7200000</v>
      </c>
      <c r="H43" s="405">
        <f>SUM(J43:J50)</f>
        <v>60</v>
      </c>
      <c r="I43" s="411">
        <f>SUM(K43:K50)</f>
        <v>7200000</v>
      </c>
      <c r="J43" s="141">
        <f>($C$11/8)</f>
        <v>7.5</v>
      </c>
      <c r="K43" s="142">
        <f t="shared" si="1"/>
        <v>900000</v>
      </c>
    </row>
    <row r="44" spans="2:11" ht="13.8" x14ac:dyDescent="0.25">
      <c r="B44" s="428"/>
      <c r="C44" s="444"/>
      <c r="D44" s="447"/>
      <c r="E44" s="178" t="str">
        <f>'01-ACTIVIDADES'!D19</f>
        <v>CA03 16</v>
      </c>
      <c r="F44" s="192" t="str">
        <f>'01-ACTIVIDADES'!E19</f>
        <v>Recepcion de llamadas para pedidos</v>
      </c>
      <c r="G44" s="426"/>
      <c r="H44" s="406"/>
      <c r="I44" s="412"/>
      <c r="J44" s="138">
        <f>($C$11/8)</f>
        <v>7.5</v>
      </c>
      <c r="K44" s="143">
        <f t="shared" si="1"/>
        <v>900000</v>
      </c>
    </row>
    <row r="45" spans="2:11" ht="15.75" customHeight="1" x14ac:dyDescent="0.25">
      <c r="B45" s="428"/>
      <c r="C45" s="444"/>
      <c r="D45" s="447"/>
      <c r="E45" s="178" t="str">
        <f>'01-ACTIVIDADES'!D20</f>
        <v>CA03 17</v>
      </c>
      <c r="F45" s="192" t="str">
        <f>'01-ACTIVIDADES'!E20</f>
        <v xml:space="preserve">Realizar cuadre de caja diario </v>
      </c>
      <c r="G45" s="426"/>
      <c r="H45" s="406"/>
      <c r="I45" s="412"/>
      <c r="J45" s="138">
        <f t="shared" ref="J45:J50" si="3">($C$11/8)</f>
        <v>7.5</v>
      </c>
      <c r="K45" s="143">
        <f t="shared" si="1"/>
        <v>900000</v>
      </c>
    </row>
    <row r="46" spans="2:11" ht="15.75" customHeight="1" x14ac:dyDescent="0.25">
      <c r="B46" s="428"/>
      <c r="C46" s="444"/>
      <c r="D46" s="447"/>
      <c r="E46" s="178" t="str">
        <f>'01-ACTIVIDADES'!D21</f>
        <v>CA03 18</v>
      </c>
      <c r="F46" s="192" t="str">
        <f>'01-ACTIVIDADES'!E21</f>
        <v>Asesoria y recomendación de productos</v>
      </c>
      <c r="G46" s="426"/>
      <c r="H46" s="406"/>
      <c r="I46" s="412"/>
      <c r="J46" s="138">
        <f t="shared" si="3"/>
        <v>7.5</v>
      </c>
      <c r="K46" s="143">
        <f t="shared" si="1"/>
        <v>900000</v>
      </c>
    </row>
    <row r="47" spans="2:11" ht="15.75" customHeight="1" x14ac:dyDescent="0.25">
      <c r="B47" s="428"/>
      <c r="C47" s="444"/>
      <c r="D47" s="447"/>
      <c r="E47" s="178" t="str">
        <f>'01-ACTIVIDADES'!D22</f>
        <v>CA03 19</v>
      </c>
      <c r="F47" s="192" t="str">
        <f>'01-ACTIVIDADES'!E22</f>
        <v>Venta de mercancia</v>
      </c>
      <c r="G47" s="426"/>
      <c r="H47" s="406"/>
      <c r="I47" s="412"/>
      <c r="J47" s="138">
        <f t="shared" si="3"/>
        <v>7.5</v>
      </c>
      <c r="K47" s="143">
        <f t="shared" si="1"/>
        <v>900000</v>
      </c>
    </row>
    <row r="48" spans="2:11" ht="15.75" customHeight="1" x14ac:dyDescent="0.25">
      <c r="B48" s="428"/>
      <c r="C48" s="444"/>
      <c r="D48" s="447"/>
      <c r="E48" s="178" t="str">
        <f>'01-ACTIVIDADES'!D23</f>
        <v>CA03 20</v>
      </c>
      <c r="F48" s="192" t="str">
        <f>'01-ACTIVIDADES'!E23</f>
        <v>Recepcion de ordenes de pedidos.</v>
      </c>
      <c r="G48" s="426"/>
      <c r="H48" s="406"/>
      <c r="I48" s="412"/>
      <c r="J48" s="138">
        <f t="shared" si="3"/>
        <v>7.5</v>
      </c>
      <c r="K48" s="143">
        <f t="shared" si="1"/>
        <v>900000</v>
      </c>
    </row>
    <row r="49" spans="2:11" ht="15.75" customHeight="1" x14ac:dyDescent="0.25">
      <c r="B49" s="428"/>
      <c r="C49" s="444"/>
      <c r="D49" s="447"/>
      <c r="E49" s="178" t="str">
        <f>'01-ACTIVIDADES'!D24</f>
        <v>CA03 21</v>
      </c>
      <c r="F49" s="192" t="str">
        <f>'01-ACTIVIDADES'!E24</f>
        <v>Facturacion de ventas</v>
      </c>
      <c r="G49" s="426"/>
      <c r="H49" s="406"/>
      <c r="I49" s="412"/>
      <c r="J49" s="138">
        <f t="shared" si="3"/>
        <v>7.5</v>
      </c>
      <c r="K49" s="143">
        <f t="shared" si="1"/>
        <v>900000</v>
      </c>
    </row>
    <row r="50" spans="2:11" ht="15.75" customHeight="1" thickBot="1" x14ac:dyDescent="0.3">
      <c r="B50" s="430"/>
      <c r="C50" s="445"/>
      <c r="D50" s="448"/>
      <c r="E50" s="230" t="str">
        <f>'01-ACTIVIDADES'!D25</f>
        <v>CA03 22</v>
      </c>
      <c r="F50" s="195" t="str">
        <f>'01-ACTIVIDADES'!E25</f>
        <v>Mostrador agricola</v>
      </c>
      <c r="G50" s="420"/>
      <c r="H50" s="407"/>
      <c r="I50" s="413"/>
      <c r="J50" s="145">
        <f t="shared" si="3"/>
        <v>7.5</v>
      </c>
      <c r="K50" s="146">
        <f t="shared" si="1"/>
        <v>900000</v>
      </c>
    </row>
    <row r="51" spans="2:11" ht="15.75" customHeight="1" x14ac:dyDescent="0.25">
      <c r="B51" s="393" t="s">
        <v>1</v>
      </c>
      <c r="C51" s="455" t="s">
        <v>1418</v>
      </c>
      <c r="D51" s="453" t="s">
        <v>1225</v>
      </c>
      <c r="E51" s="231" t="s">
        <v>1271</v>
      </c>
      <c r="F51" s="139" t="s">
        <v>1226</v>
      </c>
      <c r="G51" s="412">
        <f>E12</f>
        <v>3600000</v>
      </c>
      <c r="H51" s="390">
        <f>SUM(J51:J53)</f>
        <v>30</v>
      </c>
      <c r="I51" s="414">
        <f>G51</f>
        <v>3600000</v>
      </c>
      <c r="J51" s="140">
        <f>($C$12/3)</f>
        <v>10</v>
      </c>
      <c r="K51" s="156">
        <f t="shared" si="1"/>
        <v>1200000</v>
      </c>
    </row>
    <row r="52" spans="2:11" ht="15.75" customHeight="1" x14ac:dyDescent="0.25">
      <c r="B52" s="394"/>
      <c r="C52" s="455"/>
      <c r="D52" s="453"/>
      <c r="E52" s="27" t="s">
        <v>1272</v>
      </c>
      <c r="F52" s="137" t="s">
        <v>1227</v>
      </c>
      <c r="G52" s="412"/>
      <c r="H52" s="391"/>
      <c r="I52" s="414"/>
      <c r="J52" s="140">
        <f>($C$12/3)</f>
        <v>10</v>
      </c>
      <c r="K52" s="156">
        <f t="shared" si="1"/>
        <v>1200000</v>
      </c>
    </row>
    <row r="53" spans="2:11" ht="15.75" customHeight="1" thickBot="1" x14ac:dyDescent="0.3">
      <c r="B53" s="395"/>
      <c r="C53" s="456"/>
      <c r="D53" s="454"/>
      <c r="E53" s="232" t="s">
        <v>1273</v>
      </c>
      <c r="F53" s="144" t="s">
        <v>1228</v>
      </c>
      <c r="G53" s="413"/>
      <c r="H53" s="392"/>
      <c r="I53" s="415"/>
      <c r="J53" s="140">
        <f>($C$12/3)</f>
        <v>10</v>
      </c>
      <c r="K53" s="156">
        <f t="shared" si="1"/>
        <v>1200000</v>
      </c>
    </row>
    <row r="54" spans="2:11" ht="15.75" customHeight="1" thickBot="1" x14ac:dyDescent="0.3">
      <c r="B54" s="106"/>
      <c r="C54" s="106"/>
      <c r="D54" s="106"/>
      <c r="F54" s="149"/>
      <c r="G54" s="309">
        <f>SUM(G16:G53)</f>
        <v>12000000</v>
      </c>
      <c r="H54" s="308">
        <f>SUM(H16:H53)</f>
        <v>100</v>
      </c>
      <c r="I54" s="309">
        <f>SUM(I16:I53)</f>
        <v>12000000</v>
      </c>
      <c r="J54" s="308">
        <f>SUM(J16:J53)</f>
        <v>100</v>
      </c>
      <c r="K54" s="157">
        <f>SUM(K16:K53)</f>
        <v>12000000</v>
      </c>
    </row>
    <row r="55" spans="2:11" ht="15.75" customHeight="1" x14ac:dyDescent="0.25">
      <c r="E55" s="36"/>
      <c r="F55" s="20"/>
      <c r="G55" s="20"/>
    </row>
    <row r="56" spans="2:11" ht="15.75" customHeight="1" x14ac:dyDescent="0.25">
      <c r="E56" s="36"/>
      <c r="F56" s="20"/>
      <c r="G56" s="20"/>
    </row>
    <row r="57" spans="2:11" ht="15.75" customHeight="1" x14ac:dyDescent="0.3">
      <c r="B57" s="21" t="s">
        <v>1544</v>
      </c>
      <c r="C57" s="29">
        <f>'ESTADO RESULTADOS'!C68</f>
        <v>218000</v>
      </c>
      <c r="E57" s="36"/>
      <c r="F57" s="20"/>
      <c r="G57" s="20"/>
    </row>
    <row r="58" spans="2:11" ht="15.75" customHeight="1" x14ac:dyDescent="0.25">
      <c r="E58" s="36"/>
      <c r="F58" s="20"/>
      <c r="G58" s="20"/>
    </row>
    <row r="59" spans="2:11" ht="15.75" customHeight="1" x14ac:dyDescent="0.25">
      <c r="E59" s="36"/>
      <c r="F59" s="20"/>
      <c r="G59" s="20"/>
    </row>
    <row r="60" spans="2:11" ht="15.75" customHeight="1" x14ac:dyDescent="0.25">
      <c r="B60" s="132" t="s">
        <v>1154</v>
      </c>
      <c r="C60" s="133" t="s">
        <v>1155</v>
      </c>
      <c r="D60" s="133" t="s">
        <v>1123</v>
      </c>
      <c r="E60" s="134" t="s">
        <v>1156</v>
      </c>
      <c r="F60" s="20"/>
      <c r="G60" s="130"/>
      <c r="H60" s="127"/>
      <c r="I60" s="127"/>
      <c r="J60" s="127"/>
      <c r="K60" s="18"/>
    </row>
    <row r="61" spans="2:11" ht="15.75" customHeight="1" x14ac:dyDescent="0.25">
      <c r="B61" s="22" t="s">
        <v>1282</v>
      </c>
      <c r="C61" s="28">
        <v>10</v>
      </c>
      <c r="D61" s="30">
        <f>(C61/$C$13)*100%</f>
        <v>0.1</v>
      </c>
      <c r="E61" s="37">
        <f>+D61*$C$57</f>
        <v>21800</v>
      </c>
      <c r="F61" s="20"/>
      <c r="G61" s="23"/>
      <c r="H61" s="127"/>
      <c r="I61" s="127"/>
      <c r="J61" s="127"/>
      <c r="K61" s="18"/>
    </row>
    <row r="62" spans="2:11" ht="15.75" customHeight="1" x14ac:dyDescent="0.25">
      <c r="B62" s="22" t="s">
        <v>1126</v>
      </c>
      <c r="C62" s="28">
        <v>60</v>
      </c>
      <c r="D62" s="30">
        <f>(C62/$C$13)*100%</f>
        <v>0.6</v>
      </c>
      <c r="E62" s="37">
        <f>+D62*$C$57</f>
        <v>130800</v>
      </c>
      <c r="F62" s="20"/>
      <c r="G62" s="162"/>
      <c r="H62" s="127"/>
      <c r="I62" s="127"/>
      <c r="J62" s="127"/>
      <c r="K62" s="18"/>
    </row>
    <row r="63" spans="2:11" ht="15.75" customHeight="1" x14ac:dyDescent="0.25">
      <c r="B63" s="22" t="s">
        <v>1</v>
      </c>
      <c r="C63" s="28">
        <v>30</v>
      </c>
      <c r="D63" s="30">
        <f>(C63/$C$13)*100%</f>
        <v>0.3</v>
      </c>
      <c r="E63" s="37">
        <f>+D63*$C$57</f>
        <v>65400</v>
      </c>
      <c r="F63" s="20"/>
      <c r="G63" s="131"/>
      <c r="H63" s="127"/>
      <c r="I63" s="127"/>
      <c r="J63" s="127"/>
      <c r="K63" s="18"/>
    </row>
    <row r="64" spans="2:11" ht="15.75" customHeight="1" x14ac:dyDescent="0.25">
      <c r="B64" s="32" t="s">
        <v>1157</v>
      </c>
      <c r="C64" s="33">
        <f>SUM(C61:C63)</f>
        <v>100</v>
      </c>
      <c r="D64" s="34">
        <f>SUM(D61:D63)</f>
        <v>1</v>
      </c>
      <c r="E64" s="38">
        <f>SUM(E61:E63)</f>
        <v>218000</v>
      </c>
      <c r="F64" s="20"/>
      <c r="G64" s="162"/>
      <c r="H64" s="127"/>
      <c r="I64" s="127"/>
      <c r="J64" s="127"/>
      <c r="K64" s="18"/>
    </row>
    <row r="65" spans="2:11" ht="15.75" customHeight="1" thickBot="1" x14ac:dyDescent="0.3">
      <c r="E65" s="36"/>
      <c r="F65" s="20"/>
      <c r="G65" s="20"/>
    </row>
    <row r="66" spans="2:11" ht="42" thickBot="1" x14ac:dyDescent="0.3">
      <c r="B66" s="150" t="s">
        <v>1154</v>
      </c>
      <c r="C66" s="151" t="s">
        <v>1185</v>
      </c>
      <c r="D66" s="151" t="s">
        <v>1158</v>
      </c>
      <c r="E66" s="152" t="s">
        <v>1187</v>
      </c>
      <c r="F66" s="151" t="s">
        <v>1150</v>
      </c>
      <c r="G66" s="153" t="s">
        <v>1558</v>
      </c>
      <c r="H66" s="153" t="s">
        <v>1422</v>
      </c>
      <c r="I66" s="153" t="s">
        <v>1559</v>
      </c>
      <c r="J66" s="154" t="s">
        <v>1159</v>
      </c>
      <c r="K66" s="155" t="s">
        <v>1560</v>
      </c>
    </row>
    <row r="67" spans="2:11" ht="15.75" customHeight="1" x14ac:dyDescent="0.25">
      <c r="B67" s="427" t="s">
        <v>1282</v>
      </c>
      <c r="C67" s="449" t="s">
        <v>1190</v>
      </c>
      <c r="D67" s="451" t="s">
        <v>1417</v>
      </c>
      <c r="E67" s="175" t="s">
        <v>1229</v>
      </c>
      <c r="F67" s="188" t="s">
        <v>1204</v>
      </c>
      <c r="G67" s="422">
        <f>E61</f>
        <v>21800</v>
      </c>
      <c r="H67" s="396">
        <f>SUM(J67:J75)</f>
        <v>2.4999999999999996</v>
      </c>
      <c r="I67" s="416">
        <f>SUM(K67:K75)</f>
        <v>5450</v>
      </c>
      <c r="J67" s="196">
        <f>($C$10/4)/9</f>
        <v>0.27777777777777779</v>
      </c>
      <c r="K67" s="147">
        <f>($E$64/100)*J67</f>
        <v>605.55555555555554</v>
      </c>
    </row>
    <row r="68" spans="2:11" ht="15.75" customHeight="1" x14ac:dyDescent="0.25">
      <c r="B68" s="428"/>
      <c r="C68" s="388"/>
      <c r="D68" s="452"/>
      <c r="E68" s="179" t="s">
        <v>1230</v>
      </c>
      <c r="F68" s="190" t="s">
        <v>1203</v>
      </c>
      <c r="G68" s="423"/>
      <c r="H68" s="397"/>
      <c r="I68" s="417"/>
      <c r="J68" s="198">
        <f t="shared" ref="J68:J75" si="4">($C$10/4)/9</f>
        <v>0.27777777777777779</v>
      </c>
      <c r="K68" s="148">
        <f t="shared" ref="K68:K104" si="5">($E$64/100)*J68</f>
        <v>605.55555555555554</v>
      </c>
    </row>
    <row r="69" spans="2:11" ht="15.75" customHeight="1" x14ac:dyDescent="0.25">
      <c r="B69" s="428"/>
      <c r="C69" s="388"/>
      <c r="D69" s="452"/>
      <c r="E69" s="179" t="s">
        <v>1231</v>
      </c>
      <c r="F69" s="190" t="s">
        <v>1202</v>
      </c>
      <c r="G69" s="423"/>
      <c r="H69" s="397"/>
      <c r="I69" s="417"/>
      <c r="J69" s="198">
        <f t="shared" si="4"/>
        <v>0.27777777777777779</v>
      </c>
      <c r="K69" s="148">
        <f t="shared" si="5"/>
        <v>605.55555555555554</v>
      </c>
    </row>
    <row r="70" spans="2:11" ht="15.75" customHeight="1" x14ac:dyDescent="0.25">
      <c r="B70" s="428"/>
      <c r="C70" s="388"/>
      <c r="D70" s="452"/>
      <c r="E70" s="179" t="s">
        <v>1234</v>
      </c>
      <c r="F70" s="190" t="s">
        <v>1200</v>
      </c>
      <c r="G70" s="423"/>
      <c r="H70" s="397"/>
      <c r="I70" s="417"/>
      <c r="J70" s="198">
        <f t="shared" si="4"/>
        <v>0.27777777777777779</v>
      </c>
      <c r="K70" s="148">
        <f t="shared" si="5"/>
        <v>605.55555555555554</v>
      </c>
    </row>
    <row r="71" spans="2:11" ht="15.75" customHeight="1" x14ac:dyDescent="0.25">
      <c r="B71" s="428"/>
      <c r="C71" s="388"/>
      <c r="D71" s="452"/>
      <c r="E71" s="179" t="s">
        <v>1235</v>
      </c>
      <c r="F71" s="190" t="s">
        <v>1195</v>
      </c>
      <c r="G71" s="423"/>
      <c r="H71" s="397"/>
      <c r="I71" s="417"/>
      <c r="J71" s="198">
        <f t="shared" si="4"/>
        <v>0.27777777777777779</v>
      </c>
      <c r="K71" s="148">
        <f t="shared" si="5"/>
        <v>605.55555555555554</v>
      </c>
    </row>
    <row r="72" spans="2:11" ht="15.75" customHeight="1" x14ac:dyDescent="0.25">
      <c r="B72" s="428"/>
      <c r="C72" s="388"/>
      <c r="D72" s="452"/>
      <c r="E72" s="179" t="s">
        <v>1236</v>
      </c>
      <c r="F72" s="190" t="s">
        <v>1196</v>
      </c>
      <c r="G72" s="423"/>
      <c r="H72" s="397"/>
      <c r="I72" s="417"/>
      <c r="J72" s="198">
        <f t="shared" si="4"/>
        <v>0.27777777777777779</v>
      </c>
      <c r="K72" s="148">
        <f t="shared" si="5"/>
        <v>605.55555555555554</v>
      </c>
    </row>
    <row r="73" spans="2:11" ht="15.75" customHeight="1" x14ac:dyDescent="0.25">
      <c r="B73" s="428"/>
      <c r="C73" s="388"/>
      <c r="D73" s="452"/>
      <c r="E73" s="227" t="s">
        <v>1239</v>
      </c>
      <c r="F73" s="189" t="s">
        <v>1197</v>
      </c>
      <c r="G73" s="423"/>
      <c r="H73" s="397"/>
      <c r="I73" s="417"/>
      <c r="J73" s="198">
        <f t="shared" si="4"/>
        <v>0.27777777777777779</v>
      </c>
      <c r="K73" s="148">
        <f t="shared" si="5"/>
        <v>605.55555555555554</v>
      </c>
    </row>
    <row r="74" spans="2:11" ht="15.75" customHeight="1" x14ac:dyDescent="0.25">
      <c r="B74" s="428"/>
      <c r="C74" s="388"/>
      <c r="D74" s="452"/>
      <c r="E74" s="227" t="s">
        <v>1237</v>
      </c>
      <c r="F74" s="189" t="s">
        <v>1198</v>
      </c>
      <c r="G74" s="423"/>
      <c r="H74" s="397"/>
      <c r="I74" s="417"/>
      <c r="J74" s="198">
        <f t="shared" si="4"/>
        <v>0.27777777777777779</v>
      </c>
      <c r="K74" s="148">
        <f t="shared" si="5"/>
        <v>605.55555555555554</v>
      </c>
    </row>
    <row r="75" spans="2:11" ht="15.75" customHeight="1" x14ac:dyDescent="0.25">
      <c r="B75" s="428"/>
      <c r="C75" s="450"/>
      <c r="D75" s="452"/>
      <c r="E75" s="227" t="s">
        <v>1238</v>
      </c>
      <c r="F75" s="189" t="s">
        <v>1199</v>
      </c>
      <c r="G75" s="423"/>
      <c r="H75" s="398"/>
      <c r="I75" s="418"/>
      <c r="J75" s="197">
        <f t="shared" si="4"/>
        <v>0.27777777777777779</v>
      </c>
      <c r="K75" s="148">
        <f t="shared" si="5"/>
        <v>605.55555555555554</v>
      </c>
    </row>
    <row r="76" spans="2:11" ht="15.75" customHeight="1" x14ac:dyDescent="0.25">
      <c r="B76" s="428"/>
      <c r="C76" s="439" t="s">
        <v>1191</v>
      </c>
      <c r="D76" s="441" t="s">
        <v>1281</v>
      </c>
      <c r="E76" s="228" t="s">
        <v>1245</v>
      </c>
      <c r="F76" s="187" t="s">
        <v>1205</v>
      </c>
      <c r="G76" s="423"/>
      <c r="H76" s="399">
        <f>SUM(J76:J78)</f>
        <v>2.5</v>
      </c>
      <c r="I76" s="419">
        <f>SUM(K76:K78)</f>
        <v>5450</v>
      </c>
      <c r="J76" s="135">
        <f>($C$10/4)/3</f>
        <v>0.83333333333333337</v>
      </c>
      <c r="K76" s="148">
        <f t="shared" si="5"/>
        <v>1816.6666666666667</v>
      </c>
    </row>
    <row r="77" spans="2:11" ht="15.75" customHeight="1" x14ac:dyDescent="0.25">
      <c r="B77" s="428"/>
      <c r="C77" s="440"/>
      <c r="D77" s="442"/>
      <c r="E77" s="228" t="s">
        <v>1246</v>
      </c>
      <c r="F77" s="187" t="s">
        <v>1206</v>
      </c>
      <c r="G77" s="423"/>
      <c r="H77" s="400"/>
      <c r="I77" s="417"/>
      <c r="J77" s="135">
        <f>($C$10/4)/3</f>
        <v>0.83333333333333337</v>
      </c>
      <c r="K77" s="148">
        <f t="shared" si="5"/>
        <v>1816.6666666666667</v>
      </c>
    </row>
    <row r="78" spans="2:11" ht="15.75" customHeight="1" x14ac:dyDescent="0.25">
      <c r="B78" s="428"/>
      <c r="C78" s="440"/>
      <c r="D78" s="442"/>
      <c r="E78" s="177" t="s">
        <v>1247</v>
      </c>
      <c r="F78" s="191" t="s">
        <v>1207</v>
      </c>
      <c r="G78" s="423"/>
      <c r="H78" s="401"/>
      <c r="I78" s="417"/>
      <c r="J78" s="135">
        <f>($C$10/4)/3</f>
        <v>0.83333333333333337</v>
      </c>
      <c r="K78" s="148">
        <f t="shared" si="5"/>
        <v>1816.6666666666667</v>
      </c>
    </row>
    <row r="79" spans="2:11" ht="15.75" customHeight="1" x14ac:dyDescent="0.25">
      <c r="B79" s="428"/>
      <c r="C79" s="436" t="s">
        <v>1193</v>
      </c>
      <c r="D79" s="436" t="s">
        <v>1280</v>
      </c>
      <c r="E79" s="178" t="s">
        <v>1256</v>
      </c>
      <c r="F79" s="192" t="s">
        <v>1211</v>
      </c>
      <c r="G79" s="423"/>
      <c r="H79" s="408">
        <f>SUM(J79:J88)</f>
        <v>2.5</v>
      </c>
      <c r="I79" s="421">
        <f>SUM(K79:K88)</f>
        <v>5450</v>
      </c>
      <c r="J79" s="193">
        <f t="shared" ref="J79:J87" si="6">($C$10/4)/10</f>
        <v>0.25</v>
      </c>
      <c r="K79" s="148">
        <f t="shared" si="5"/>
        <v>545</v>
      </c>
    </row>
    <row r="80" spans="2:11" ht="15.75" customHeight="1" x14ac:dyDescent="0.25">
      <c r="B80" s="428"/>
      <c r="C80" s="436"/>
      <c r="D80" s="436"/>
      <c r="E80" s="178" t="s">
        <v>1257</v>
      </c>
      <c r="F80" s="192" t="s">
        <v>1212</v>
      </c>
      <c r="G80" s="423"/>
      <c r="H80" s="409"/>
      <c r="I80" s="421"/>
      <c r="J80" s="193">
        <f t="shared" si="6"/>
        <v>0.25</v>
      </c>
      <c r="K80" s="148">
        <f t="shared" si="5"/>
        <v>545</v>
      </c>
    </row>
    <row r="81" spans="2:11" ht="15.75" customHeight="1" x14ac:dyDescent="0.25">
      <c r="B81" s="428"/>
      <c r="C81" s="436"/>
      <c r="D81" s="436"/>
      <c r="E81" s="178" t="s">
        <v>1258</v>
      </c>
      <c r="F81" s="192" t="s">
        <v>1213</v>
      </c>
      <c r="G81" s="423"/>
      <c r="H81" s="409"/>
      <c r="I81" s="421"/>
      <c r="J81" s="193">
        <f t="shared" si="6"/>
        <v>0.25</v>
      </c>
      <c r="K81" s="148">
        <f t="shared" si="5"/>
        <v>545</v>
      </c>
    </row>
    <row r="82" spans="2:11" ht="15.75" customHeight="1" x14ac:dyDescent="0.25">
      <c r="B82" s="428"/>
      <c r="C82" s="436"/>
      <c r="D82" s="436"/>
      <c r="E82" s="178" t="s">
        <v>1259</v>
      </c>
      <c r="F82" s="192" t="s">
        <v>1214</v>
      </c>
      <c r="G82" s="423"/>
      <c r="H82" s="409"/>
      <c r="I82" s="421"/>
      <c r="J82" s="193">
        <f t="shared" si="6"/>
        <v>0.25</v>
      </c>
      <c r="K82" s="148">
        <f t="shared" si="5"/>
        <v>545</v>
      </c>
    </row>
    <row r="83" spans="2:11" ht="15.75" customHeight="1" x14ac:dyDescent="0.25">
      <c r="B83" s="428"/>
      <c r="C83" s="436"/>
      <c r="D83" s="436"/>
      <c r="E83" s="178" t="s">
        <v>1260</v>
      </c>
      <c r="F83" s="192" t="s">
        <v>1215</v>
      </c>
      <c r="G83" s="423"/>
      <c r="H83" s="409"/>
      <c r="I83" s="421"/>
      <c r="J83" s="193">
        <f t="shared" si="6"/>
        <v>0.25</v>
      </c>
      <c r="K83" s="148">
        <f t="shared" si="5"/>
        <v>545</v>
      </c>
    </row>
    <row r="84" spans="2:11" ht="15.75" customHeight="1" x14ac:dyDescent="0.25">
      <c r="B84" s="428"/>
      <c r="C84" s="436"/>
      <c r="D84" s="436"/>
      <c r="E84" s="178" t="s">
        <v>1261</v>
      </c>
      <c r="F84" s="192" t="s">
        <v>1216</v>
      </c>
      <c r="G84" s="423"/>
      <c r="H84" s="409"/>
      <c r="I84" s="421"/>
      <c r="J84" s="193">
        <f t="shared" si="6"/>
        <v>0.25</v>
      </c>
      <c r="K84" s="148">
        <f t="shared" si="5"/>
        <v>545</v>
      </c>
    </row>
    <row r="85" spans="2:11" ht="15.75" customHeight="1" x14ac:dyDescent="0.25">
      <c r="B85" s="428"/>
      <c r="C85" s="436"/>
      <c r="D85" s="436"/>
      <c r="E85" s="178" t="s">
        <v>1262</v>
      </c>
      <c r="F85" s="192" t="s">
        <v>1217</v>
      </c>
      <c r="G85" s="423"/>
      <c r="H85" s="409"/>
      <c r="I85" s="421"/>
      <c r="J85" s="193">
        <f t="shared" si="6"/>
        <v>0.25</v>
      </c>
      <c r="K85" s="148">
        <f t="shared" si="5"/>
        <v>545</v>
      </c>
    </row>
    <row r="86" spans="2:11" ht="15.75" customHeight="1" x14ac:dyDescent="0.25">
      <c r="B86" s="428"/>
      <c r="C86" s="436"/>
      <c r="D86" s="436"/>
      <c r="E86" s="178" t="s">
        <v>1263</v>
      </c>
      <c r="F86" s="192" t="s">
        <v>1243</v>
      </c>
      <c r="G86" s="423"/>
      <c r="H86" s="409"/>
      <c r="I86" s="421"/>
      <c r="J86" s="193">
        <f t="shared" si="6"/>
        <v>0.25</v>
      </c>
      <c r="K86" s="148">
        <f t="shared" si="5"/>
        <v>545</v>
      </c>
    </row>
    <row r="87" spans="2:11" ht="15.75" customHeight="1" x14ac:dyDescent="0.25">
      <c r="B87" s="428"/>
      <c r="C87" s="436"/>
      <c r="D87" s="436"/>
      <c r="E87" s="178" t="s">
        <v>1264</v>
      </c>
      <c r="F87" s="192" t="s">
        <v>1223</v>
      </c>
      <c r="G87" s="423"/>
      <c r="H87" s="409"/>
      <c r="I87" s="421"/>
      <c r="J87" s="193">
        <f t="shared" si="6"/>
        <v>0.25</v>
      </c>
      <c r="K87" s="148">
        <f t="shared" si="5"/>
        <v>545</v>
      </c>
    </row>
    <row r="88" spans="2:11" ht="15.75" customHeight="1" x14ac:dyDescent="0.25">
      <c r="B88" s="428"/>
      <c r="C88" s="436"/>
      <c r="D88" s="436"/>
      <c r="E88" s="178" t="s">
        <v>1265</v>
      </c>
      <c r="F88" s="192" t="s">
        <v>1224</v>
      </c>
      <c r="G88" s="423"/>
      <c r="H88" s="410"/>
      <c r="I88" s="421"/>
      <c r="J88" s="193">
        <f>($C$10/4)/10</f>
        <v>0.25</v>
      </c>
      <c r="K88" s="148">
        <f t="shared" si="5"/>
        <v>545</v>
      </c>
    </row>
    <row r="89" spans="2:11" ht="15.75" customHeight="1" x14ac:dyDescent="0.25">
      <c r="B89" s="428"/>
      <c r="C89" s="431" t="s">
        <v>1194</v>
      </c>
      <c r="D89" s="435" t="s">
        <v>1188</v>
      </c>
      <c r="E89" s="229" t="s">
        <v>1266</v>
      </c>
      <c r="F89" s="136" t="s">
        <v>1218</v>
      </c>
      <c r="G89" s="423"/>
      <c r="H89" s="402">
        <f>SUM(J89:J93)</f>
        <v>2.5</v>
      </c>
      <c r="I89" s="417">
        <f>SUM(K89:K93)</f>
        <v>5450</v>
      </c>
      <c r="J89" s="135">
        <f>($C$10/4)/5</f>
        <v>0.5</v>
      </c>
      <c r="K89" s="148">
        <f t="shared" si="5"/>
        <v>1090</v>
      </c>
    </row>
    <row r="90" spans="2:11" ht="15.75" customHeight="1" x14ac:dyDescent="0.25">
      <c r="B90" s="428"/>
      <c r="C90" s="432"/>
      <c r="D90" s="436"/>
      <c r="E90" s="229" t="s">
        <v>1267</v>
      </c>
      <c r="F90" s="136" t="s">
        <v>1219</v>
      </c>
      <c r="G90" s="423"/>
      <c r="H90" s="403"/>
      <c r="I90" s="417"/>
      <c r="J90" s="135">
        <f>($C$10/4)/5</f>
        <v>0.5</v>
      </c>
      <c r="K90" s="148">
        <f t="shared" si="5"/>
        <v>1090</v>
      </c>
    </row>
    <row r="91" spans="2:11" ht="15.75" customHeight="1" x14ac:dyDescent="0.25">
      <c r="B91" s="428"/>
      <c r="C91" s="432"/>
      <c r="D91" s="436"/>
      <c r="E91" s="229" t="s">
        <v>1268</v>
      </c>
      <c r="F91" s="136" t="s">
        <v>1220</v>
      </c>
      <c r="G91" s="423"/>
      <c r="H91" s="403"/>
      <c r="I91" s="417"/>
      <c r="J91" s="135">
        <f>($C$10/4)/5</f>
        <v>0.5</v>
      </c>
      <c r="K91" s="148">
        <f t="shared" si="5"/>
        <v>1090</v>
      </c>
    </row>
    <row r="92" spans="2:11" ht="15.75" customHeight="1" x14ac:dyDescent="0.25">
      <c r="B92" s="429"/>
      <c r="C92" s="433"/>
      <c r="D92" s="437"/>
      <c r="E92" s="229" t="s">
        <v>1269</v>
      </c>
      <c r="F92" s="136" t="s">
        <v>1221</v>
      </c>
      <c r="G92" s="424"/>
      <c r="H92" s="403"/>
      <c r="I92" s="417"/>
      <c r="J92" s="135">
        <f>($C$10/4)/5</f>
        <v>0.5</v>
      </c>
      <c r="K92" s="148">
        <f t="shared" si="5"/>
        <v>1090</v>
      </c>
    </row>
    <row r="93" spans="2:11" ht="15.75" customHeight="1" thickBot="1" x14ac:dyDescent="0.3">
      <c r="B93" s="430"/>
      <c r="C93" s="434"/>
      <c r="D93" s="438"/>
      <c r="E93" s="229" t="s">
        <v>1270</v>
      </c>
      <c r="F93" s="136" t="s">
        <v>1242</v>
      </c>
      <c r="G93" s="425"/>
      <c r="H93" s="404"/>
      <c r="I93" s="420"/>
      <c r="J93" s="135">
        <f>($C$10/4)/5</f>
        <v>0.5</v>
      </c>
      <c r="K93" s="148">
        <f t="shared" si="5"/>
        <v>1090</v>
      </c>
    </row>
    <row r="94" spans="2:11" ht="15.75" customHeight="1" x14ac:dyDescent="0.25">
      <c r="B94" s="427" t="s">
        <v>1126</v>
      </c>
      <c r="C94" s="443" t="s">
        <v>1192</v>
      </c>
      <c r="D94" s="446" t="s">
        <v>1542</v>
      </c>
      <c r="E94" s="176" t="s">
        <v>1248</v>
      </c>
      <c r="F94" s="194" t="s">
        <v>1208</v>
      </c>
      <c r="G94" s="416">
        <f>E62</f>
        <v>130800</v>
      </c>
      <c r="H94" s="405">
        <f>SUM(J94:J101)</f>
        <v>60</v>
      </c>
      <c r="I94" s="411">
        <f>SUM(K94:K101)</f>
        <v>130800</v>
      </c>
      <c r="J94" s="141">
        <f>($C$11/8)</f>
        <v>7.5</v>
      </c>
      <c r="K94" s="199">
        <f t="shared" si="5"/>
        <v>16350</v>
      </c>
    </row>
    <row r="95" spans="2:11" ht="15.75" customHeight="1" x14ac:dyDescent="0.25">
      <c r="B95" s="428"/>
      <c r="C95" s="444"/>
      <c r="D95" s="447"/>
      <c r="E95" s="178" t="s">
        <v>1249</v>
      </c>
      <c r="F95" s="192" t="s">
        <v>1209</v>
      </c>
      <c r="G95" s="426"/>
      <c r="H95" s="406"/>
      <c r="I95" s="458"/>
      <c r="J95" s="138">
        <f>($C$11/8)</f>
        <v>7.5</v>
      </c>
      <c r="K95" s="200">
        <f t="shared" si="5"/>
        <v>16350</v>
      </c>
    </row>
    <row r="96" spans="2:11" ht="15.75" customHeight="1" x14ac:dyDescent="0.25">
      <c r="B96" s="428"/>
      <c r="C96" s="444"/>
      <c r="D96" s="447"/>
      <c r="E96" s="178" t="s">
        <v>1250</v>
      </c>
      <c r="F96" s="192" t="s">
        <v>1210</v>
      </c>
      <c r="G96" s="426"/>
      <c r="H96" s="406"/>
      <c r="I96" s="458"/>
      <c r="J96" s="138">
        <f t="shared" ref="J96:J101" si="7">($C$11/8)</f>
        <v>7.5</v>
      </c>
      <c r="K96" s="200">
        <f t="shared" si="5"/>
        <v>16350</v>
      </c>
    </row>
    <row r="97" spans="2:11" ht="15.75" customHeight="1" x14ac:dyDescent="0.25">
      <c r="B97" s="428"/>
      <c r="C97" s="444"/>
      <c r="D97" s="447"/>
      <c r="E97" s="178" t="s">
        <v>1251</v>
      </c>
      <c r="F97" s="192" t="s">
        <v>1240</v>
      </c>
      <c r="G97" s="426"/>
      <c r="H97" s="406"/>
      <c r="I97" s="458"/>
      <c r="J97" s="138">
        <f t="shared" si="7"/>
        <v>7.5</v>
      </c>
      <c r="K97" s="200">
        <f t="shared" si="5"/>
        <v>16350</v>
      </c>
    </row>
    <row r="98" spans="2:11" ht="15.75" customHeight="1" x14ac:dyDescent="0.25">
      <c r="B98" s="428"/>
      <c r="C98" s="444"/>
      <c r="D98" s="447"/>
      <c r="E98" s="178" t="s">
        <v>1252</v>
      </c>
      <c r="F98" s="192" t="s">
        <v>1178</v>
      </c>
      <c r="G98" s="426"/>
      <c r="H98" s="406"/>
      <c r="I98" s="458"/>
      <c r="J98" s="138">
        <f t="shared" si="7"/>
        <v>7.5</v>
      </c>
      <c r="K98" s="200">
        <f t="shared" si="5"/>
        <v>16350</v>
      </c>
    </row>
    <row r="99" spans="2:11" ht="15.75" customHeight="1" x14ac:dyDescent="0.25">
      <c r="B99" s="428"/>
      <c r="C99" s="444"/>
      <c r="D99" s="447"/>
      <c r="E99" s="178" t="s">
        <v>1253</v>
      </c>
      <c r="F99" s="192" t="s">
        <v>1244</v>
      </c>
      <c r="G99" s="426"/>
      <c r="H99" s="406"/>
      <c r="I99" s="458"/>
      <c r="J99" s="138">
        <f t="shared" si="7"/>
        <v>7.5</v>
      </c>
      <c r="K99" s="200">
        <f t="shared" si="5"/>
        <v>16350</v>
      </c>
    </row>
    <row r="100" spans="2:11" ht="15.75" customHeight="1" x14ac:dyDescent="0.25">
      <c r="B100" s="428"/>
      <c r="C100" s="444"/>
      <c r="D100" s="447"/>
      <c r="E100" s="178" t="s">
        <v>1254</v>
      </c>
      <c r="F100" s="192" t="s">
        <v>1222</v>
      </c>
      <c r="G100" s="426"/>
      <c r="H100" s="406"/>
      <c r="I100" s="458"/>
      <c r="J100" s="138">
        <f t="shared" si="7"/>
        <v>7.5</v>
      </c>
      <c r="K100" s="200">
        <f t="shared" si="5"/>
        <v>16350</v>
      </c>
    </row>
    <row r="101" spans="2:11" ht="15.75" customHeight="1" thickBot="1" x14ac:dyDescent="0.3">
      <c r="B101" s="430"/>
      <c r="C101" s="445"/>
      <c r="D101" s="448"/>
      <c r="E101" s="230" t="s">
        <v>1255</v>
      </c>
      <c r="F101" s="195" t="s">
        <v>1179</v>
      </c>
      <c r="G101" s="420"/>
      <c r="H101" s="407"/>
      <c r="I101" s="413"/>
      <c r="J101" s="145">
        <f t="shared" si="7"/>
        <v>7.5</v>
      </c>
      <c r="K101" s="201">
        <f t="shared" si="5"/>
        <v>16350</v>
      </c>
    </row>
    <row r="102" spans="2:11" ht="15.75" customHeight="1" x14ac:dyDescent="0.25">
      <c r="B102" s="393" t="s">
        <v>1</v>
      </c>
      <c r="C102" s="455" t="s">
        <v>1418</v>
      </c>
      <c r="D102" s="453" t="s">
        <v>1225</v>
      </c>
      <c r="E102" s="231" t="s">
        <v>1271</v>
      </c>
      <c r="F102" s="139" t="s">
        <v>1226</v>
      </c>
      <c r="G102" s="412">
        <f>E63</f>
        <v>65400</v>
      </c>
      <c r="H102" s="390">
        <f>SUM(J102:J104)</f>
        <v>30</v>
      </c>
      <c r="I102" s="414">
        <f>G102</f>
        <v>65400</v>
      </c>
      <c r="J102" s="140">
        <f>($C$12/3)</f>
        <v>10</v>
      </c>
      <c r="K102" s="156">
        <f t="shared" si="5"/>
        <v>21800</v>
      </c>
    </row>
    <row r="103" spans="2:11" ht="15.75" customHeight="1" x14ac:dyDescent="0.25">
      <c r="B103" s="394"/>
      <c r="C103" s="455"/>
      <c r="D103" s="453"/>
      <c r="E103" s="27" t="s">
        <v>1272</v>
      </c>
      <c r="F103" s="137" t="s">
        <v>1227</v>
      </c>
      <c r="G103" s="412"/>
      <c r="H103" s="391"/>
      <c r="I103" s="414"/>
      <c r="J103" s="140">
        <f>($C$12/3)</f>
        <v>10</v>
      </c>
      <c r="K103" s="156">
        <f t="shared" si="5"/>
        <v>21800</v>
      </c>
    </row>
    <row r="104" spans="2:11" ht="15.75" customHeight="1" thickBot="1" x14ac:dyDescent="0.3">
      <c r="B104" s="395"/>
      <c r="C104" s="456"/>
      <c r="D104" s="454"/>
      <c r="E104" s="232" t="s">
        <v>1273</v>
      </c>
      <c r="F104" s="144" t="s">
        <v>1228</v>
      </c>
      <c r="G104" s="413"/>
      <c r="H104" s="392"/>
      <c r="I104" s="415"/>
      <c r="J104" s="140">
        <f>($C$12/3)</f>
        <v>10</v>
      </c>
      <c r="K104" s="156">
        <f t="shared" si="5"/>
        <v>21800</v>
      </c>
    </row>
    <row r="105" spans="2:11" ht="15.75" customHeight="1" thickBot="1" x14ac:dyDescent="0.3">
      <c r="B105" s="106"/>
      <c r="C105" s="106"/>
      <c r="D105" s="106"/>
      <c r="F105" s="149"/>
      <c r="G105" s="309">
        <f>SUM(G67:G104)</f>
        <v>218000</v>
      </c>
      <c r="H105" s="308">
        <f>SUM(H67:H104)</f>
        <v>100</v>
      </c>
      <c r="I105" s="309">
        <f>SUM(I67:I104)</f>
        <v>218000</v>
      </c>
      <c r="J105" s="308">
        <f>SUM(J67:J104)</f>
        <v>100</v>
      </c>
      <c r="K105" s="157">
        <f>SUM(K67:K104)</f>
        <v>218000</v>
      </c>
    </row>
    <row r="106" spans="2:11" ht="15.75" customHeight="1" x14ac:dyDescent="0.25">
      <c r="E106" s="36"/>
      <c r="F106" s="20"/>
      <c r="G106" s="20"/>
    </row>
    <row r="107" spans="2:11" ht="15.75" customHeight="1" x14ac:dyDescent="0.25">
      <c r="E107" s="36"/>
      <c r="F107" s="20"/>
      <c r="G107" s="20"/>
    </row>
    <row r="108" spans="2:11" ht="15.75" customHeight="1" x14ac:dyDescent="0.25">
      <c r="E108" s="36"/>
      <c r="F108" s="20"/>
      <c r="G108" s="20"/>
    </row>
    <row r="109" spans="2:11" ht="15.75" customHeight="1" x14ac:dyDescent="0.3">
      <c r="B109" s="21" t="s">
        <v>1545</v>
      </c>
      <c r="C109" s="29">
        <f>'ESTADO RESULTADOS'!C89</f>
        <v>575134</v>
      </c>
      <c r="E109" s="36"/>
      <c r="F109" s="20"/>
      <c r="G109" s="20"/>
    </row>
    <row r="110" spans="2:11" ht="15.75" customHeight="1" x14ac:dyDescent="0.25">
      <c r="E110" s="36"/>
      <c r="F110" s="20"/>
      <c r="G110" s="20"/>
    </row>
    <row r="111" spans="2:11" ht="15.75" customHeight="1" x14ac:dyDescent="0.25">
      <c r="E111" s="36"/>
      <c r="F111" s="20"/>
      <c r="G111" s="20"/>
    </row>
    <row r="112" spans="2:11" ht="15.75" customHeight="1" x14ac:dyDescent="0.25">
      <c r="B112" s="132" t="s">
        <v>1154</v>
      </c>
      <c r="C112" s="133" t="s">
        <v>1155</v>
      </c>
      <c r="D112" s="133" t="s">
        <v>1123</v>
      </c>
      <c r="E112" s="134" t="s">
        <v>1156</v>
      </c>
      <c r="F112" s="20"/>
      <c r="G112" s="130"/>
      <c r="H112" s="127"/>
      <c r="I112" s="127"/>
      <c r="J112" s="127"/>
      <c r="K112" s="18"/>
    </row>
    <row r="113" spans="2:11" ht="15.75" customHeight="1" x14ac:dyDescent="0.25">
      <c r="B113" s="22" t="s">
        <v>1282</v>
      </c>
      <c r="C113" s="28">
        <v>10</v>
      </c>
      <c r="D113" s="30">
        <f>(C113/$C$13)*100%</f>
        <v>0.1</v>
      </c>
      <c r="E113" s="37">
        <f>+D113*$C$109</f>
        <v>57513.4</v>
      </c>
      <c r="F113" s="20"/>
      <c r="G113" s="23"/>
      <c r="H113" s="127"/>
      <c r="I113" s="127"/>
      <c r="J113" s="127"/>
      <c r="K113" s="18"/>
    </row>
    <row r="114" spans="2:11" ht="15.75" customHeight="1" x14ac:dyDescent="0.25">
      <c r="B114" s="22" t="s">
        <v>1126</v>
      </c>
      <c r="C114" s="28">
        <v>60</v>
      </c>
      <c r="D114" s="30">
        <f>(C114/$C$13)*100%</f>
        <v>0.6</v>
      </c>
      <c r="E114" s="37">
        <f>+D114*$C$109</f>
        <v>345080.39999999997</v>
      </c>
      <c r="F114" s="20"/>
      <c r="G114" s="162"/>
      <c r="H114" s="127"/>
      <c r="I114" s="127"/>
      <c r="J114" s="127"/>
      <c r="K114" s="18"/>
    </row>
    <row r="115" spans="2:11" ht="15.75" customHeight="1" x14ac:dyDescent="0.25">
      <c r="B115" s="22" t="s">
        <v>1</v>
      </c>
      <c r="C115" s="28">
        <v>30</v>
      </c>
      <c r="D115" s="30">
        <f>(C115/$C$13)*100%</f>
        <v>0.3</v>
      </c>
      <c r="E115" s="37">
        <f>+D115*$C$109</f>
        <v>172540.19999999998</v>
      </c>
      <c r="F115" s="20"/>
      <c r="G115" s="131"/>
      <c r="H115" s="127"/>
      <c r="I115" s="127"/>
      <c r="J115" s="127"/>
      <c r="K115" s="18"/>
    </row>
    <row r="116" spans="2:11" ht="15.75" customHeight="1" x14ac:dyDescent="0.25">
      <c r="B116" s="32" t="s">
        <v>1157</v>
      </c>
      <c r="C116" s="33">
        <f>SUM(C113:C115)</f>
        <v>100</v>
      </c>
      <c r="D116" s="34">
        <f>SUM(D113:D115)</f>
        <v>1</v>
      </c>
      <c r="E116" s="38">
        <f>SUM(E113:E115)</f>
        <v>575134</v>
      </c>
      <c r="F116" s="20"/>
      <c r="G116" s="162"/>
      <c r="H116" s="127"/>
      <c r="I116" s="127"/>
      <c r="J116" s="127"/>
      <c r="K116" s="18"/>
    </row>
    <row r="117" spans="2:11" ht="15.75" customHeight="1" thickBot="1" x14ac:dyDescent="0.3">
      <c r="E117" s="36"/>
      <c r="F117" s="20"/>
      <c r="G117" s="20"/>
    </row>
    <row r="118" spans="2:11" ht="43.2" customHeight="1" thickBot="1" x14ac:dyDescent="0.3">
      <c r="B118" s="150" t="s">
        <v>1154</v>
      </c>
      <c r="C118" s="151" t="s">
        <v>1185</v>
      </c>
      <c r="D118" s="151" t="s">
        <v>1158</v>
      </c>
      <c r="E118" s="152" t="s">
        <v>1187</v>
      </c>
      <c r="F118" s="151" t="s">
        <v>1150</v>
      </c>
      <c r="G118" s="153" t="s">
        <v>1555</v>
      </c>
      <c r="H118" s="153" t="s">
        <v>1422</v>
      </c>
      <c r="I118" s="153" t="s">
        <v>1556</v>
      </c>
      <c r="J118" s="154" t="s">
        <v>1159</v>
      </c>
      <c r="K118" s="155" t="s">
        <v>1557</v>
      </c>
    </row>
    <row r="119" spans="2:11" ht="15.75" customHeight="1" x14ac:dyDescent="0.25">
      <c r="B119" s="427" t="s">
        <v>1282</v>
      </c>
      <c r="C119" s="449" t="s">
        <v>1190</v>
      </c>
      <c r="D119" s="451" t="s">
        <v>1417</v>
      </c>
      <c r="E119" s="175" t="s">
        <v>1229</v>
      </c>
      <c r="F119" s="188" t="s">
        <v>1204</v>
      </c>
      <c r="G119" s="422">
        <f>E113</f>
        <v>57513.4</v>
      </c>
      <c r="H119" s="396">
        <f>SUM(J119:J127)</f>
        <v>2.4999999999999996</v>
      </c>
      <c r="I119" s="416">
        <f>SUM(K119:K127)</f>
        <v>14378.350000000002</v>
      </c>
      <c r="J119" s="196">
        <f>($C$10/4)/9</f>
        <v>0.27777777777777779</v>
      </c>
      <c r="K119" s="204">
        <f t="shared" ref="K119:K156" si="8">($E$116/100)*J119</f>
        <v>1597.5944444444447</v>
      </c>
    </row>
    <row r="120" spans="2:11" ht="15.75" customHeight="1" x14ac:dyDescent="0.25">
      <c r="B120" s="428"/>
      <c r="C120" s="388"/>
      <c r="D120" s="452"/>
      <c r="E120" s="179" t="s">
        <v>1230</v>
      </c>
      <c r="F120" s="190" t="s">
        <v>1203</v>
      </c>
      <c r="G120" s="423"/>
      <c r="H120" s="397"/>
      <c r="I120" s="459"/>
      <c r="J120" s="198">
        <f t="shared" ref="J120:J127" si="9">($C$10/4)/9</f>
        <v>0.27777777777777779</v>
      </c>
      <c r="K120" s="206">
        <f t="shared" si="8"/>
        <v>1597.5944444444447</v>
      </c>
    </row>
    <row r="121" spans="2:11" ht="15.75" customHeight="1" x14ac:dyDescent="0.25">
      <c r="B121" s="428"/>
      <c r="C121" s="388"/>
      <c r="D121" s="452"/>
      <c r="E121" s="179" t="s">
        <v>1231</v>
      </c>
      <c r="F121" s="190" t="s">
        <v>1202</v>
      </c>
      <c r="G121" s="423"/>
      <c r="H121" s="397"/>
      <c r="I121" s="459"/>
      <c r="J121" s="198">
        <f t="shared" si="9"/>
        <v>0.27777777777777779</v>
      </c>
      <c r="K121" s="206">
        <f t="shared" si="8"/>
        <v>1597.5944444444447</v>
      </c>
    </row>
    <row r="122" spans="2:11" ht="15.75" customHeight="1" x14ac:dyDescent="0.25">
      <c r="B122" s="428"/>
      <c r="C122" s="388"/>
      <c r="D122" s="452"/>
      <c r="E122" s="179" t="s">
        <v>1234</v>
      </c>
      <c r="F122" s="190" t="s">
        <v>1200</v>
      </c>
      <c r="G122" s="423"/>
      <c r="H122" s="397"/>
      <c r="I122" s="459"/>
      <c r="J122" s="198">
        <f t="shared" si="9"/>
        <v>0.27777777777777779</v>
      </c>
      <c r="K122" s="206">
        <f t="shared" si="8"/>
        <v>1597.5944444444447</v>
      </c>
    </row>
    <row r="123" spans="2:11" ht="15.75" customHeight="1" x14ac:dyDescent="0.25">
      <c r="B123" s="428"/>
      <c r="C123" s="388"/>
      <c r="D123" s="452"/>
      <c r="E123" s="179" t="s">
        <v>1235</v>
      </c>
      <c r="F123" s="190" t="s">
        <v>1195</v>
      </c>
      <c r="G123" s="423"/>
      <c r="H123" s="397"/>
      <c r="I123" s="459"/>
      <c r="J123" s="198">
        <f t="shared" si="9"/>
        <v>0.27777777777777779</v>
      </c>
      <c r="K123" s="206">
        <f t="shared" si="8"/>
        <v>1597.5944444444447</v>
      </c>
    </row>
    <row r="124" spans="2:11" ht="15.75" customHeight="1" x14ac:dyDescent="0.25">
      <c r="B124" s="428"/>
      <c r="C124" s="388"/>
      <c r="D124" s="452"/>
      <c r="E124" s="179" t="s">
        <v>1236</v>
      </c>
      <c r="F124" s="190" t="s">
        <v>1196</v>
      </c>
      <c r="G124" s="423"/>
      <c r="H124" s="397"/>
      <c r="I124" s="459"/>
      <c r="J124" s="198">
        <f t="shared" si="9"/>
        <v>0.27777777777777779</v>
      </c>
      <c r="K124" s="206">
        <f t="shared" si="8"/>
        <v>1597.5944444444447</v>
      </c>
    </row>
    <row r="125" spans="2:11" ht="15.75" customHeight="1" x14ac:dyDescent="0.25">
      <c r="B125" s="428"/>
      <c r="C125" s="388"/>
      <c r="D125" s="452"/>
      <c r="E125" s="227" t="s">
        <v>1239</v>
      </c>
      <c r="F125" s="189" t="s">
        <v>1197</v>
      </c>
      <c r="G125" s="423"/>
      <c r="H125" s="397"/>
      <c r="I125" s="459"/>
      <c r="J125" s="198">
        <f t="shared" si="9"/>
        <v>0.27777777777777779</v>
      </c>
      <c r="K125" s="206">
        <f t="shared" si="8"/>
        <v>1597.5944444444447</v>
      </c>
    </row>
    <row r="126" spans="2:11" ht="15.75" customHeight="1" x14ac:dyDescent="0.25">
      <c r="B126" s="428"/>
      <c r="C126" s="388"/>
      <c r="D126" s="452"/>
      <c r="E126" s="227" t="s">
        <v>1237</v>
      </c>
      <c r="F126" s="189" t="s">
        <v>1198</v>
      </c>
      <c r="G126" s="423"/>
      <c r="H126" s="397"/>
      <c r="I126" s="459"/>
      <c r="J126" s="198">
        <f t="shared" si="9"/>
        <v>0.27777777777777779</v>
      </c>
      <c r="K126" s="206">
        <f t="shared" si="8"/>
        <v>1597.5944444444447</v>
      </c>
    </row>
    <row r="127" spans="2:11" ht="15.75" customHeight="1" x14ac:dyDescent="0.25">
      <c r="B127" s="428"/>
      <c r="C127" s="450"/>
      <c r="D127" s="452"/>
      <c r="E127" s="227" t="s">
        <v>1238</v>
      </c>
      <c r="F127" s="189" t="s">
        <v>1199</v>
      </c>
      <c r="G127" s="423"/>
      <c r="H127" s="398"/>
      <c r="I127" s="418"/>
      <c r="J127" s="197">
        <f t="shared" si="9"/>
        <v>0.27777777777777779</v>
      </c>
      <c r="K127" s="205">
        <f t="shared" si="8"/>
        <v>1597.5944444444447</v>
      </c>
    </row>
    <row r="128" spans="2:11" ht="15.75" customHeight="1" x14ac:dyDescent="0.25">
      <c r="B128" s="428"/>
      <c r="C128" s="439" t="s">
        <v>1191</v>
      </c>
      <c r="D128" s="441" t="s">
        <v>1281</v>
      </c>
      <c r="E128" s="228" t="s">
        <v>1245</v>
      </c>
      <c r="F128" s="187" t="s">
        <v>1205</v>
      </c>
      <c r="G128" s="423"/>
      <c r="H128" s="399">
        <f>SUM(J128:J130)</f>
        <v>2.5</v>
      </c>
      <c r="I128" s="419">
        <f>SUM(K128:K130)</f>
        <v>14378.350000000002</v>
      </c>
      <c r="J128" s="135">
        <f>($C$10/4)/3</f>
        <v>0.83333333333333337</v>
      </c>
      <c r="K128" s="148">
        <f t="shared" si="8"/>
        <v>4792.7833333333338</v>
      </c>
    </row>
    <row r="129" spans="2:11" ht="15.75" customHeight="1" x14ac:dyDescent="0.25">
      <c r="B129" s="428"/>
      <c r="C129" s="440"/>
      <c r="D129" s="442"/>
      <c r="E129" s="228" t="s">
        <v>1246</v>
      </c>
      <c r="F129" s="187" t="s">
        <v>1206</v>
      </c>
      <c r="G129" s="423"/>
      <c r="H129" s="400"/>
      <c r="I129" s="417"/>
      <c r="J129" s="135">
        <f>($C$10/4)/3</f>
        <v>0.83333333333333337</v>
      </c>
      <c r="K129" s="148">
        <f t="shared" si="8"/>
        <v>4792.7833333333338</v>
      </c>
    </row>
    <row r="130" spans="2:11" ht="15.75" customHeight="1" x14ac:dyDescent="0.25">
      <c r="B130" s="428"/>
      <c r="C130" s="440"/>
      <c r="D130" s="442"/>
      <c r="E130" s="177" t="s">
        <v>1247</v>
      </c>
      <c r="F130" s="191" t="s">
        <v>1207</v>
      </c>
      <c r="G130" s="423"/>
      <c r="H130" s="401"/>
      <c r="I130" s="417"/>
      <c r="J130" s="135">
        <f>($C$10/4)/3</f>
        <v>0.83333333333333337</v>
      </c>
      <c r="K130" s="148">
        <f t="shared" si="8"/>
        <v>4792.7833333333338</v>
      </c>
    </row>
    <row r="131" spans="2:11" ht="15.75" customHeight="1" x14ac:dyDescent="0.25">
      <c r="B131" s="428"/>
      <c r="C131" s="436" t="s">
        <v>1193</v>
      </c>
      <c r="D131" s="436" t="s">
        <v>1280</v>
      </c>
      <c r="E131" s="178" t="s">
        <v>1256</v>
      </c>
      <c r="F131" s="192" t="s">
        <v>1211</v>
      </c>
      <c r="G131" s="423"/>
      <c r="H131" s="408">
        <f>SUM(J131:J140)</f>
        <v>2.5</v>
      </c>
      <c r="I131" s="421">
        <f>SUM(K131:K140)</f>
        <v>14378.349999999999</v>
      </c>
      <c r="J131" s="193">
        <f t="shared" ref="J131:J139" si="10">($C$10/4)/10</f>
        <v>0.25</v>
      </c>
      <c r="K131" s="148">
        <f t="shared" si="8"/>
        <v>1437.835</v>
      </c>
    </row>
    <row r="132" spans="2:11" ht="15.75" customHeight="1" x14ac:dyDescent="0.25">
      <c r="B132" s="428"/>
      <c r="C132" s="436"/>
      <c r="D132" s="436"/>
      <c r="E132" s="178" t="s">
        <v>1257</v>
      </c>
      <c r="F132" s="192" t="s">
        <v>1212</v>
      </c>
      <c r="G132" s="423"/>
      <c r="H132" s="409"/>
      <c r="I132" s="421"/>
      <c r="J132" s="193">
        <f t="shared" si="10"/>
        <v>0.25</v>
      </c>
      <c r="K132" s="148">
        <f t="shared" si="8"/>
        <v>1437.835</v>
      </c>
    </row>
    <row r="133" spans="2:11" ht="15.75" customHeight="1" x14ac:dyDescent="0.25">
      <c r="B133" s="428"/>
      <c r="C133" s="436"/>
      <c r="D133" s="436"/>
      <c r="E133" s="178" t="s">
        <v>1258</v>
      </c>
      <c r="F133" s="192" t="s">
        <v>1213</v>
      </c>
      <c r="G133" s="423"/>
      <c r="H133" s="409"/>
      <c r="I133" s="421"/>
      <c r="J133" s="193">
        <f t="shared" si="10"/>
        <v>0.25</v>
      </c>
      <c r="K133" s="148">
        <f t="shared" si="8"/>
        <v>1437.835</v>
      </c>
    </row>
    <row r="134" spans="2:11" ht="15.75" customHeight="1" x14ac:dyDescent="0.25">
      <c r="B134" s="428"/>
      <c r="C134" s="436"/>
      <c r="D134" s="436"/>
      <c r="E134" s="178" t="s">
        <v>1259</v>
      </c>
      <c r="F134" s="192" t="s">
        <v>1214</v>
      </c>
      <c r="G134" s="423"/>
      <c r="H134" s="409"/>
      <c r="I134" s="421"/>
      <c r="J134" s="193">
        <f t="shared" si="10"/>
        <v>0.25</v>
      </c>
      <c r="K134" s="148">
        <f t="shared" si="8"/>
        <v>1437.835</v>
      </c>
    </row>
    <row r="135" spans="2:11" ht="15.75" customHeight="1" x14ac:dyDescent="0.25">
      <c r="B135" s="428"/>
      <c r="C135" s="436"/>
      <c r="D135" s="436"/>
      <c r="E135" s="178" t="s">
        <v>1260</v>
      </c>
      <c r="F135" s="192" t="s">
        <v>1215</v>
      </c>
      <c r="G135" s="423"/>
      <c r="H135" s="409"/>
      <c r="I135" s="421"/>
      <c r="J135" s="193">
        <f t="shared" si="10"/>
        <v>0.25</v>
      </c>
      <c r="K135" s="148">
        <f t="shared" si="8"/>
        <v>1437.835</v>
      </c>
    </row>
    <row r="136" spans="2:11" ht="15.75" customHeight="1" x14ac:dyDescent="0.25">
      <c r="B136" s="428"/>
      <c r="C136" s="436"/>
      <c r="D136" s="436"/>
      <c r="E136" s="178" t="s">
        <v>1261</v>
      </c>
      <c r="F136" s="192" t="s">
        <v>1216</v>
      </c>
      <c r="G136" s="423"/>
      <c r="H136" s="409"/>
      <c r="I136" s="421"/>
      <c r="J136" s="193">
        <f t="shared" si="10"/>
        <v>0.25</v>
      </c>
      <c r="K136" s="148">
        <f t="shared" si="8"/>
        <v>1437.835</v>
      </c>
    </row>
    <row r="137" spans="2:11" ht="15.75" customHeight="1" x14ac:dyDescent="0.25">
      <c r="B137" s="428"/>
      <c r="C137" s="436"/>
      <c r="D137" s="436"/>
      <c r="E137" s="178" t="s">
        <v>1262</v>
      </c>
      <c r="F137" s="192" t="s">
        <v>1217</v>
      </c>
      <c r="G137" s="423"/>
      <c r="H137" s="409"/>
      <c r="I137" s="421"/>
      <c r="J137" s="193">
        <f t="shared" si="10"/>
        <v>0.25</v>
      </c>
      <c r="K137" s="148">
        <f t="shared" si="8"/>
        <v>1437.835</v>
      </c>
    </row>
    <row r="138" spans="2:11" ht="15.75" customHeight="1" x14ac:dyDescent="0.25">
      <c r="B138" s="428"/>
      <c r="C138" s="436"/>
      <c r="D138" s="436"/>
      <c r="E138" s="178" t="s">
        <v>1263</v>
      </c>
      <c r="F138" s="192" t="s">
        <v>1243</v>
      </c>
      <c r="G138" s="423"/>
      <c r="H138" s="409"/>
      <c r="I138" s="421"/>
      <c r="J138" s="193">
        <f t="shared" si="10"/>
        <v>0.25</v>
      </c>
      <c r="K138" s="148">
        <f t="shared" si="8"/>
        <v>1437.835</v>
      </c>
    </row>
    <row r="139" spans="2:11" ht="15.75" customHeight="1" x14ac:dyDescent="0.25">
      <c r="B139" s="428"/>
      <c r="C139" s="436"/>
      <c r="D139" s="436"/>
      <c r="E139" s="178" t="s">
        <v>1264</v>
      </c>
      <c r="F139" s="192" t="s">
        <v>1223</v>
      </c>
      <c r="G139" s="423"/>
      <c r="H139" s="409"/>
      <c r="I139" s="421"/>
      <c r="J139" s="193">
        <f t="shared" si="10"/>
        <v>0.25</v>
      </c>
      <c r="K139" s="148">
        <f t="shared" si="8"/>
        <v>1437.835</v>
      </c>
    </row>
    <row r="140" spans="2:11" ht="15.75" customHeight="1" x14ac:dyDescent="0.25">
      <c r="B140" s="428"/>
      <c r="C140" s="436"/>
      <c r="D140" s="436"/>
      <c r="E140" s="178" t="s">
        <v>1265</v>
      </c>
      <c r="F140" s="192" t="s">
        <v>1224</v>
      </c>
      <c r="G140" s="423"/>
      <c r="H140" s="410"/>
      <c r="I140" s="421"/>
      <c r="J140" s="193">
        <f>($C$10/4)/10</f>
        <v>0.25</v>
      </c>
      <c r="K140" s="148">
        <f t="shared" si="8"/>
        <v>1437.835</v>
      </c>
    </row>
    <row r="141" spans="2:11" ht="15.75" customHeight="1" x14ac:dyDescent="0.25">
      <c r="B141" s="428"/>
      <c r="C141" s="431" t="s">
        <v>1194</v>
      </c>
      <c r="D141" s="435" t="s">
        <v>1188</v>
      </c>
      <c r="E141" s="229" t="s">
        <v>1266</v>
      </c>
      <c r="F141" s="136" t="s">
        <v>1218</v>
      </c>
      <c r="G141" s="423"/>
      <c r="H141" s="402">
        <f>SUM(J141:J145)</f>
        <v>2.5</v>
      </c>
      <c r="I141" s="417">
        <f>SUM(K141:K145)</f>
        <v>14378.35</v>
      </c>
      <c r="J141" s="135">
        <f>($C$10/4)/5</f>
        <v>0.5</v>
      </c>
      <c r="K141" s="148">
        <f t="shared" si="8"/>
        <v>2875.67</v>
      </c>
    </row>
    <row r="142" spans="2:11" ht="15.75" customHeight="1" x14ac:dyDescent="0.25">
      <c r="B142" s="428"/>
      <c r="C142" s="432"/>
      <c r="D142" s="436"/>
      <c r="E142" s="229" t="s">
        <v>1267</v>
      </c>
      <c r="F142" s="136" t="s">
        <v>1219</v>
      </c>
      <c r="G142" s="423"/>
      <c r="H142" s="403"/>
      <c r="I142" s="417"/>
      <c r="J142" s="135">
        <f>($C$10/4)/5</f>
        <v>0.5</v>
      </c>
      <c r="K142" s="148">
        <f t="shared" si="8"/>
        <v>2875.67</v>
      </c>
    </row>
    <row r="143" spans="2:11" ht="15.75" customHeight="1" x14ac:dyDescent="0.25">
      <c r="B143" s="428"/>
      <c r="C143" s="432"/>
      <c r="D143" s="436"/>
      <c r="E143" s="229" t="s">
        <v>1268</v>
      </c>
      <c r="F143" s="136" t="s">
        <v>1220</v>
      </c>
      <c r="G143" s="423"/>
      <c r="H143" s="403"/>
      <c r="I143" s="417"/>
      <c r="J143" s="135">
        <f>($C$10/4)/5</f>
        <v>0.5</v>
      </c>
      <c r="K143" s="148">
        <f t="shared" si="8"/>
        <v>2875.67</v>
      </c>
    </row>
    <row r="144" spans="2:11" ht="15.75" customHeight="1" x14ac:dyDescent="0.25">
      <c r="B144" s="429"/>
      <c r="C144" s="433"/>
      <c r="D144" s="437"/>
      <c r="E144" s="229" t="s">
        <v>1269</v>
      </c>
      <c r="F144" s="136" t="s">
        <v>1221</v>
      </c>
      <c r="G144" s="424"/>
      <c r="H144" s="403"/>
      <c r="I144" s="417"/>
      <c r="J144" s="135">
        <f>($C$10/4)/5</f>
        <v>0.5</v>
      </c>
      <c r="K144" s="148">
        <f t="shared" si="8"/>
        <v>2875.67</v>
      </c>
    </row>
    <row r="145" spans="2:12" ht="15.75" customHeight="1" thickBot="1" x14ac:dyDescent="0.3">
      <c r="B145" s="430"/>
      <c r="C145" s="434"/>
      <c r="D145" s="438"/>
      <c r="E145" s="229" t="s">
        <v>1270</v>
      </c>
      <c r="F145" s="136" t="s">
        <v>1242</v>
      </c>
      <c r="G145" s="425"/>
      <c r="H145" s="404"/>
      <c r="I145" s="420"/>
      <c r="J145" s="135">
        <f>($C$10/4)/5</f>
        <v>0.5</v>
      </c>
      <c r="K145" s="148">
        <f t="shared" si="8"/>
        <v>2875.67</v>
      </c>
    </row>
    <row r="146" spans="2:12" ht="15.75" customHeight="1" x14ac:dyDescent="0.25">
      <c r="B146" s="427" t="s">
        <v>1126</v>
      </c>
      <c r="C146" s="443" t="s">
        <v>1192</v>
      </c>
      <c r="D146" s="446" t="s">
        <v>1542</v>
      </c>
      <c r="E146" s="176" t="s">
        <v>1248</v>
      </c>
      <c r="F146" s="194" t="s">
        <v>1208</v>
      </c>
      <c r="G146" s="416">
        <f>E114</f>
        <v>345080.39999999997</v>
      </c>
      <c r="H146" s="405">
        <f>SUM(J146:J153)</f>
        <v>60</v>
      </c>
      <c r="I146" s="411">
        <f>SUM(K146:K153)</f>
        <v>345080.39999999997</v>
      </c>
      <c r="J146" s="141">
        <f>($C$11/8)</f>
        <v>7.5</v>
      </c>
      <c r="K146" s="199">
        <f t="shared" si="8"/>
        <v>43135.05</v>
      </c>
    </row>
    <row r="147" spans="2:12" ht="15.75" customHeight="1" x14ac:dyDescent="0.25">
      <c r="B147" s="428"/>
      <c r="C147" s="444"/>
      <c r="D147" s="447"/>
      <c r="E147" s="178" t="s">
        <v>1249</v>
      </c>
      <c r="F147" s="192" t="s">
        <v>1209</v>
      </c>
      <c r="G147" s="426"/>
      <c r="H147" s="406"/>
      <c r="I147" s="458"/>
      <c r="J147" s="138">
        <f>($C$11/8)</f>
        <v>7.5</v>
      </c>
      <c r="K147" s="207">
        <f t="shared" si="8"/>
        <v>43135.05</v>
      </c>
    </row>
    <row r="148" spans="2:12" ht="15.75" customHeight="1" x14ac:dyDescent="0.25">
      <c r="B148" s="428"/>
      <c r="C148" s="444"/>
      <c r="D148" s="447"/>
      <c r="E148" s="178" t="s">
        <v>1250</v>
      </c>
      <c r="F148" s="192" t="s">
        <v>1210</v>
      </c>
      <c r="G148" s="426"/>
      <c r="H148" s="406"/>
      <c r="I148" s="458"/>
      <c r="J148" s="138">
        <f t="shared" ref="J148:J153" si="11">($C$11/8)</f>
        <v>7.5</v>
      </c>
      <c r="K148" s="207">
        <f t="shared" si="8"/>
        <v>43135.05</v>
      </c>
    </row>
    <row r="149" spans="2:12" ht="15.75" customHeight="1" x14ac:dyDescent="0.25">
      <c r="B149" s="428"/>
      <c r="C149" s="444"/>
      <c r="D149" s="447"/>
      <c r="E149" s="178" t="s">
        <v>1251</v>
      </c>
      <c r="F149" s="192" t="s">
        <v>1240</v>
      </c>
      <c r="G149" s="426"/>
      <c r="H149" s="406"/>
      <c r="I149" s="458"/>
      <c r="J149" s="138">
        <f t="shared" si="11"/>
        <v>7.5</v>
      </c>
      <c r="K149" s="207">
        <f t="shared" si="8"/>
        <v>43135.05</v>
      </c>
    </row>
    <row r="150" spans="2:12" ht="15.75" customHeight="1" x14ac:dyDescent="0.25">
      <c r="B150" s="428"/>
      <c r="C150" s="444"/>
      <c r="D150" s="447"/>
      <c r="E150" s="178" t="s">
        <v>1252</v>
      </c>
      <c r="F150" s="192" t="s">
        <v>1178</v>
      </c>
      <c r="G150" s="426"/>
      <c r="H150" s="406"/>
      <c r="I150" s="458"/>
      <c r="J150" s="138">
        <f t="shared" si="11"/>
        <v>7.5</v>
      </c>
      <c r="K150" s="207">
        <f t="shared" si="8"/>
        <v>43135.05</v>
      </c>
    </row>
    <row r="151" spans="2:12" ht="15.75" customHeight="1" x14ac:dyDescent="0.25">
      <c r="B151" s="428"/>
      <c r="C151" s="444"/>
      <c r="D151" s="447"/>
      <c r="E151" s="178" t="s">
        <v>1253</v>
      </c>
      <c r="F151" s="192" t="s">
        <v>1244</v>
      </c>
      <c r="G151" s="426"/>
      <c r="H151" s="406"/>
      <c r="I151" s="458"/>
      <c r="J151" s="138">
        <f t="shared" si="11"/>
        <v>7.5</v>
      </c>
      <c r="K151" s="207">
        <f t="shared" si="8"/>
        <v>43135.05</v>
      </c>
    </row>
    <row r="152" spans="2:12" ht="15.75" customHeight="1" x14ac:dyDescent="0.25">
      <c r="B152" s="428"/>
      <c r="C152" s="444"/>
      <c r="D152" s="447"/>
      <c r="E152" s="178" t="s">
        <v>1254</v>
      </c>
      <c r="F152" s="192" t="s">
        <v>1222</v>
      </c>
      <c r="G152" s="426"/>
      <c r="H152" s="406"/>
      <c r="I152" s="458"/>
      <c r="J152" s="138">
        <f t="shared" si="11"/>
        <v>7.5</v>
      </c>
      <c r="K152" s="207">
        <f t="shared" si="8"/>
        <v>43135.05</v>
      </c>
    </row>
    <row r="153" spans="2:12" ht="15.75" customHeight="1" thickBot="1" x14ac:dyDescent="0.3">
      <c r="B153" s="430"/>
      <c r="C153" s="445"/>
      <c r="D153" s="448"/>
      <c r="E153" s="230" t="s">
        <v>1255</v>
      </c>
      <c r="F153" s="195" t="s">
        <v>1179</v>
      </c>
      <c r="G153" s="420"/>
      <c r="H153" s="407"/>
      <c r="I153" s="413"/>
      <c r="J153" s="145">
        <f t="shared" si="11"/>
        <v>7.5</v>
      </c>
      <c r="K153" s="201">
        <f t="shared" si="8"/>
        <v>43135.05</v>
      </c>
    </row>
    <row r="154" spans="2:12" ht="15.75" customHeight="1" x14ac:dyDescent="0.25">
      <c r="B154" s="393" t="s">
        <v>1</v>
      </c>
      <c r="C154" s="455" t="s">
        <v>1418</v>
      </c>
      <c r="D154" s="453" t="s">
        <v>1225</v>
      </c>
      <c r="E154" s="231" t="s">
        <v>1271</v>
      </c>
      <c r="F154" s="139" t="s">
        <v>1226</v>
      </c>
      <c r="G154" s="412">
        <f>E115</f>
        <v>172540.19999999998</v>
      </c>
      <c r="H154" s="390">
        <f>SUM(J154:J156)</f>
        <v>30</v>
      </c>
      <c r="I154" s="414">
        <f>G154</f>
        <v>172540.19999999998</v>
      </c>
      <c r="J154" s="140">
        <f>($C$12/3)</f>
        <v>10</v>
      </c>
      <c r="K154" s="156">
        <f t="shared" si="8"/>
        <v>57513.4</v>
      </c>
    </row>
    <row r="155" spans="2:12" ht="15.75" customHeight="1" x14ac:dyDescent="0.25">
      <c r="B155" s="394"/>
      <c r="C155" s="455"/>
      <c r="D155" s="453"/>
      <c r="E155" s="27" t="s">
        <v>1272</v>
      </c>
      <c r="F155" s="137" t="s">
        <v>1227</v>
      </c>
      <c r="G155" s="412"/>
      <c r="H155" s="391"/>
      <c r="I155" s="414"/>
      <c r="J155" s="140">
        <f>($C$12/3)</f>
        <v>10</v>
      </c>
      <c r="K155" s="156">
        <f t="shared" si="8"/>
        <v>57513.4</v>
      </c>
    </row>
    <row r="156" spans="2:12" ht="15.75" customHeight="1" thickBot="1" x14ac:dyDescent="0.3">
      <c r="B156" s="395"/>
      <c r="C156" s="456"/>
      <c r="D156" s="454"/>
      <c r="E156" s="232" t="s">
        <v>1273</v>
      </c>
      <c r="F156" s="144" t="s">
        <v>1228</v>
      </c>
      <c r="G156" s="412"/>
      <c r="H156" s="392"/>
      <c r="I156" s="415"/>
      <c r="J156" s="140">
        <f>($C$12/3)</f>
        <v>10</v>
      </c>
      <c r="K156" s="156">
        <f t="shared" si="8"/>
        <v>57513.4</v>
      </c>
    </row>
    <row r="157" spans="2:12" ht="15.75" customHeight="1" thickBot="1" x14ac:dyDescent="0.3">
      <c r="B157" s="106"/>
      <c r="C157" s="106"/>
      <c r="D157" s="106"/>
      <c r="F157" s="36"/>
      <c r="G157" s="309">
        <f>SUM(G119:G156)</f>
        <v>575134</v>
      </c>
      <c r="H157" s="308">
        <f>SUM(H119:H156)</f>
        <v>100</v>
      </c>
      <c r="I157" s="309">
        <f>SUM(I119:I156)</f>
        <v>575134</v>
      </c>
      <c r="J157" s="308">
        <f>SUM(J119:J156)</f>
        <v>100</v>
      </c>
      <c r="K157" s="157">
        <f>SUM(K119:K156)</f>
        <v>575134</v>
      </c>
    </row>
    <row r="158" spans="2:12" ht="15.75" customHeight="1" x14ac:dyDescent="0.25">
      <c r="E158" s="36"/>
      <c r="F158" s="20"/>
      <c r="G158" s="20"/>
      <c r="H158" s="20"/>
      <c r="K158" s="23"/>
      <c r="L158" s="127"/>
    </row>
    <row r="159" spans="2:12" ht="15.75" customHeight="1" x14ac:dyDescent="0.25">
      <c r="E159" s="36"/>
      <c r="F159" s="20"/>
      <c r="G159" s="20"/>
    </row>
    <row r="160" spans="2:12" ht="15.75" customHeight="1" x14ac:dyDescent="0.25">
      <c r="E160" s="36"/>
      <c r="F160" s="20"/>
      <c r="G160" s="20"/>
    </row>
    <row r="161" spans="2:11" ht="15.75" customHeight="1" x14ac:dyDescent="0.3">
      <c r="B161" s="233" t="s">
        <v>1444</v>
      </c>
      <c r="C161" s="29">
        <f>'ESTADO RESULTADOS'!C66</f>
        <v>5457196</v>
      </c>
      <c r="E161" s="36"/>
      <c r="F161" s="20"/>
      <c r="G161" s="20"/>
    </row>
    <row r="162" spans="2:11" ht="15.75" customHeight="1" x14ac:dyDescent="0.25">
      <c r="B162" s="95" t="s">
        <v>1554</v>
      </c>
      <c r="C162" s="179">
        <v>34000</v>
      </c>
      <c r="E162" s="36"/>
      <c r="F162" s="20"/>
      <c r="G162" s="20"/>
    </row>
    <row r="163" spans="2:11" ht="15.75" customHeight="1" x14ac:dyDescent="0.25">
      <c r="B163" s="95" t="s">
        <v>1450</v>
      </c>
      <c r="C163" s="221">
        <f>C161/C162</f>
        <v>160.50576470588234</v>
      </c>
      <c r="E163" s="36"/>
      <c r="F163" s="20"/>
      <c r="G163" s="20"/>
    </row>
    <row r="164" spans="2:11" ht="15.75" customHeight="1" x14ac:dyDescent="0.25">
      <c r="E164" s="36"/>
      <c r="F164" s="20"/>
      <c r="G164" s="20"/>
    </row>
    <row r="165" spans="2:11" ht="15.75" customHeight="1" x14ac:dyDescent="0.25">
      <c r="B165" s="132" t="s">
        <v>1154</v>
      </c>
      <c r="C165" s="133" t="s">
        <v>1553</v>
      </c>
      <c r="D165" s="133" t="s">
        <v>1123</v>
      </c>
      <c r="E165" s="134" t="s">
        <v>1969</v>
      </c>
      <c r="F165" s="20"/>
      <c r="G165" s="130"/>
      <c r="H165" s="127"/>
      <c r="I165" s="127"/>
      <c r="J165" s="127"/>
      <c r="K165" s="18"/>
    </row>
    <row r="166" spans="2:11" ht="15.75" customHeight="1" x14ac:dyDescent="0.25">
      <c r="B166" s="22" t="s">
        <v>1124</v>
      </c>
      <c r="C166" s="222">
        <v>16</v>
      </c>
      <c r="D166" s="30">
        <f>(C166/$C$171)*100%</f>
        <v>9.9378881987577633E-2</v>
      </c>
      <c r="E166" s="37">
        <f>+D166*$C$161</f>
        <v>542330.03726708074</v>
      </c>
      <c r="F166" s="20"/>
      <c r="G166" s="23"/>
      <c r="H166" s="127"/>
      <c r="I166" s="127"/>
      <c r="J166" s="127"/>
      <c r="K166" s="18"/>
    </row>
    <row r="167" spans="2:11" ht="15.75" customHeight="1" x14ac:dyDescent="0.25">
      <c r="B167" s="22" t="s">
        <v>1125</v>
      </c>
      <c r="C167" s="222">
        <v>16</v>
      </c>
      <c r="D167" s="30">
        <f>(C167/$C$171)*100%</f>
        <v>9.9378881987577633E-2</v>
      </c>
      <c r="E167" s="37">
        <f>+D167*$C$161</f>
        <v>542330.03726708074</v>
      </c>
      <c r="F167" s="20"/>
      <c r="G167" s="162"/>
      <c r="H167" s="127"/>
      <c r="I167" s="127"/>
      <c r="J167" s="127"/>
      <c r="K167" s="18"/>
    </row>
    <row r="168" spans="2:11" ht="15.75" customHeight="1" x14ac:dyDescent="0.25">
      <c r="B168" s="22" t="s">
        <v>1563</v>
      </c>
      <c r="C168" s="222">
        <v>43</v>
      </c>
      <c r="D168" s="30">
        <f>(C168/$C$171)*100%</f>
        <v>0.26708074534161491</v>
      </c>
      <c r="E168" s="37">
        <f>+D168*$C$161</f>
        <v>1457511.9751552795</v>
      </c>
      <c r="F168" s="20"/>
      <c r="G168" s="131"/>
      <c r="H168" s="127"/>
      <c r="I168" s="127"/>
      <c r="J168" s="127"/>
      <c r="K168" s="18"/>
    </row>
    <row r="169" spans="2:11" ht="15.75" customHeight="1" x14ac:dyDescent="0.25">
      <c r="B169" s="22" t="s">
        <v>1126</v>
      </c>
      <c r="C169" s="222">
        <v>43</v>
      </c>
      <c r="D169" s="30">
        <f>(C169/$C$171)*100%</f>
        <v>0.26708074534161491</v>
      </c>
      <c r="E169" s="37">
        <f>+D169*$C$161</f>
        <v>1457511.9751552795</v>
      </c>
      <c r="F169" s="20"/>
      <c r="G169" s="131"/>
      <c r="H169" s="127"/>
      <c r="I169" s="127"/>
      <c r="J169" s="127"/>
      <c r="K169" s="18"/>
    </row>
    <row r="170" spans="2:11" ht="15.75" customHeight="1" x14ac:dyDescent="0.25">
      <c r="B170" s="22" t="s">
        <v>1177</v>
      </c>
      <c r="C170" s="222">
        <v>43</v>
      </c>
      <c r="D170" s="30">
        <f>(C170/$C$171)*100%</f>
        <v>0.26708074534161491</v>
      </c>
      <c r="E170" s="37">
        <f>+D170*$C$161</f>
        <v>1457511.9751552795</v>
      </c>
      <c r="F170" s="20"/>
      <c r="G170" s="131"/>
      <c r="H170" s="127"/>
      <c r="I170" s="127"/>
      <c r="J170" s="127"/>
      <c r="K170" s="18"/>
    </row>
    <row r="171" spans="2:11" ht="15.75" customHeight="1" x14ac:dyDescent="0.25">
      <c r="B171" s="32" t="s">
        <v>1157</v>
      </c>
      <c r="C171" s="223">
        <f>SUM(C166:C170)</f>
        <v>161</v>
      </c>
      <c r="D171" s="34">
        <f>SUM(D166:D170)</f>
        <v>1</v>
      </c>
      <c r="E171" s="38">
        <f>SUM(E166:E170)</f>
        <v>5457196</v>
      </c>
      <c r="F171" s="20"/>
      <c r="G171" s="162"/>
      <c r="H171" s="127"/>
      <c r="I171" s="127"/>
      <c r="J171" s="127"/>
      <c r="K171" s="18"/>
    </row>
    <row r="172" spans="2:11" ht="15.75" customHeight="1" x14ac:dyDescent="0.25">
      <c r="E172" s="36"/>
      <c r="F172" s="20"/>
      <c r="G172" s="20"/>
    </row>
    <row r="173" spans="2:11" ht="15.75" customHeight="1" thickBot="1" x14ac:dyDescent="0.3">
      <c r="E173" s="36"/>
      <c r="F173" s="20"/>
      <c r="G173" s="20"/>
    </row>
    <row r="174" spans="2:11" ht="15.75" customHeight="1" x14ac:dyDescent="0.25">
      <c r="B174" s="373" t="s">
        <v>1285</v>
      </c>
      <c r="C174" s="374"/>
      <c r="D174" s="374"/>
      <c r="E174" s="374"/>
      <c r="F174" s="374"/>
      <c r="G174" s="374"/>
      <c r="H174" s="374"/>
      <c r="I174" s="375"/>
    </row>
    <row r="175" spans="2:11" ht="15.75" customHeight="1" x14ac:dyDescent="0.25">
      <c r="B175" s="376"/>
      <c r="C175" s="377"/>
      <c r="D175" s="377"/>
      <c r="E175" s="377"/>
      <c r="F175" s="377"/>
      <c r="G175" s="377"/>
      <c r="H175" s="377"/>
      <c r="I175" s="378"/>
    </row>
    <row r="176" spans="2:11" ht="15.75" customHeight="1" x14ac:dyDescent="0.3">
      <c r="B176" s="66"/>
      <c r="C176" s="1"/>
      <c r="D176" s="1"/>
      <c r="E176" s="1"/>
      <c r="F176"/>
      <c r="G176"/>
      <c r="H176"/>
      <c r="I176" s="67"/>
    </row>
    <row r="177" spans="2:9" ht="15.75" customHeight="1" x14ac:dyDescent="0.3">
      <c r="B177" s="379" t="s">
        <v>1124</v>
      </c>
      <c r="C177" s="16" t="s">
        <v>1149</v>
      </c>
      <c r="D177" s="16" t="s">
        <v>1241</v>
      </c>
      <c r="E177" s="16" t="s">
        <v>1150</v>
      </c>
      <c r="F177" s="17" t="s">
        <v>1561</v>
      </c>
      <c r="G177" s="17" t="s">
        <v>1276</v>
      </c>
      <c r="H177" s="17" t="s">
        <v>1967</v>
      </c>
      <c r="I177" s="68" t="s">
        <v>1562</v>
      </c>
    </row>
    <row r="178" spans="2:9" ht="15.75" customHeight="1" x14ac:dyDescent="0.3">
      <c r="B178" s="380"/>
      <c r="C178" s="15">
        <v>1</v>
      </c>
      <c r="D178" s="15" t="s">
        <v>1229</v>
      </c>
      <c r="E178" s="15" t="s">
        <v>1204</v>
      </c>
      <c r="F178" s="3">
        <f>$C$162</f>
        <v>34000</v>
      </c>
      <c r="G178" s="59">
        <f>H178/$H$190</f>
        <v>8.3333333333333329E-2</v>
      </c>
      <c r="H178" s="344">
        <f>$C$166/$C$189</f>
        <v>1.3333333333333333</v>
      </c>
      <c r="I178" s="69">
        <f>($C$161/$C$171)*($C$166/$C$189)</f>
        <v>45194.169772256726</v>
      </c>
    </row>
    <row r="179" spans="2:9" ht="15.75" customHeight="1" x14ac:dyDescent="0.3">
      <c r="B179" s="70"/>
      <c r="C179" s="15">
        <v>2</v>
      </c>
      <c r="D179" s="15" t="s">
        <v>1230</v>
      </c>
      <c r="E179" s="15" t="s">
        <v>1203</v>
      </c>
      <c r="F179" s="3">
        <f t="shared" ref="F179:F189" si="12">$C$162</f>
        <v>34000</v>
      </c>
      <c r="G179" s="59">
        <f t="shared" ref="G179:G188" si="13">H179/$H$190</f>
        <v>8.3333333333333329E-2</v>
      </c>
      <c r="H179" s="344">
        <f t="shared" ref="H179:H189" si="14">$C$166/$C$189</f>
        <v>1.3333333333333333</v>
      </c>
      <c r="I179" s="69">
        <f t="shared" ref="I179:I189" si="15">($C$161/$C$171)*($C$166/$C$189)</f>
        <v>45194.169772256726</v>
      </c>
    </row>
    <row r="180" spans="2:9" ht="15.75" customHeight="1" x14ac:dyDescent="0.3">
      <c r="B180" s="70"/>
      <c r="C180" s="15">
        <v>3</v>
      </c>
      <c r="D180" s="15" t="s">
        <v>1231</v>
      </c>
      <c r="E180" s="15" t="s">
        <v>1202</v>
      </c>
      <c r="F180" s="3">
        <f t="shared" si="12"/>
        <v>34000</v>
      </c>
      <c r="G180" s="59">
        <f t="shared" si="13"/>
        <v>8.3333333333333329E-2</v>
      </c>
      <c r="H180" s="344">
        <f t="shared" si="14"/>
        <v>1.3333333333333333</v>
      </c>
      <c r="I180" s="69">
        <f t="shared" si="15"/>
        <v>45194.169772256726</v>
      </c>
    </row>
    <row r="181" spans="2:9" ht="15.75" customHeight="1" x14ac:dyDescent="0.3">
      <c r="B181" s="70"/>
      <c r="C181" s="15">
        <v>4</v>
      </c>
      <c r="D181" s="15" t="s">
        <v>1232</v>
      </c>
      <c r="E181" s="15" t="s">
        <v>1151</v>
      </c>
      <c r="F181" s="3">
        <f t="shared" si="12"/>
        <v>34000</v>
      </c>
      <c r="G181" s="59">
        <f t="shared" si="13"/>
        <v>8.3333333333333329E-2</v>
      </c>
      <c r="H181" s="344">
        <f t="shared" si="14"/>
        <v>1.3333333333333333</v>
      </c>
      <c r="I181" s="69">
        <f t="shared" si="15"/>
        <v>45194.169772256726</v>
      </c>
    </row>
    <row r="182" spans="2:9" ht="15.75" customHeight="1" x14ac:dyDescent="0.3">
      <c r="B182" s="70"/>
      <c r="C182" s="15">
        <v>5</v>
      </c>
      <c r="D182" s="15" t="s">
        <v>1233</v>
      </c>
      <c r="E182" s="15" t="s">
        <v>1201</v>
      </c>
      <c r="F182" s="3">
        <f t="shared" si="12"/>
        <v>34000</v>
      </c>
      <c r="G182" s="59">
        <f t="shared" si="13"/>
        <v>8.3333333333333329E-2</v>
      </c>
      <c r="H182" s="344">
        <f t="shared" si="14"/>
        <v>1.3333333333333333</v>
      </c>
      <c r="I182" s="69">
        <f t="shared" si="15"/>
        <v>45194.169772256726</v>
      </c>
    </row>
    <row r="183" spans="2:9" ht="15.75" customHeight="1" x14ac:dyDescent="0.3">
      <c r="B183" s="70"/>
      <c r="C183" s="15">
        <v>6</v>
      </c>
      <c r="D183" s="15" t="s">
        <v>1234</v>
      </c>
      <c r="E183" s="15" t="s">
        <v>1200</v>
      </c>
      <c r="F183" s="3">
        <f t="shared" si="12"/>
        <v>34000</v>
      </c>
      <c r="G183" s="59">
        <f t="shared" si="13"/>
        <v>8.3333333333333329E-2</v>
      </c>
      <c r="H183" s="344">
        <f t="shared" si="14"/>
        <v>1.3333333333333333</v>
      </c>
      <c r="I183" s="69">
        <f t="shared" si="15"/>
        <v>45194.169772256726</v>
      </c>
    </row>
    <row r="184" spans="2:9" ht="15.75" customHeight="1" x14ac:dyDescent="0.3">
      <c r="B184" s="70"/>
      <c r="C184" s="15">
        <v>7</v>
      </c>
      <c r="D184" s="15" t="s">
        <v>1235</v>
      </c>
      <c r="E184" s="15" t="s">
        <v>1195</v>
      </c>
      <c r="F184" s="3">
        <f t="shared" si="12"/>
        <v>34000</v>
      </c>
      <c r="G184" s="59">
        <f t="shared" si="13"/>
        <v>8.3333333333333329E-2</v>
      </c>
      <c r="H184" s="344">
        <f t="shared" si="14"/>
        <v>1.3333333333333333</v>
      </c>
      <c r="I184" s="69">
        <f t="shared" si="15"/>
        <v>45194.169772256726</v>
      </c>
    </row>
    <row r="185" spans="2:9" ht="15.75" customHeight="1" x14ac:dyDescent="0.3">
      <c r="B185" s="70"/>
      <c r="C185" s="15">
        <v>8</v>
      </c>
      <c r="D185" s="15" t="s">
        <v>1236</v>
      </c>
      <c r="E185" s="15" t="s">
        <v>1196</v>
      </c>
      <c r="F185" s="3">
        <f t="shared" si="12"/>
        <v>34000</v>
      </c>
      <c r="G185" s="59">
        <f t="shared" si="13"/>
        <v>8.3333333333333329E-2</v>
      </c>
      <c r="H185" s="344">
        <f t="shared" si="14"/>
        <v>1.3333333333333333</v>
      </c>
      <c r="I185" s="69">
        <f t="shared" si="15"/>
        <v>45194.169772256726</v>
      </c>
    </row>
    <row r="186" spans="2:9" ht="15.75" customHeight="1" x14ac:dyDescent="0.3">
      <c r="B186" s="70"/>
      <c r="C186" s="15">
        <v>9</v>
      </c>
      <c r="D186" s="15" t="s">
        <v>1454</v>
      </c>
      <c r="E186" s="15" t="s">
        <v>1226</v>
      </c>
      <c r="F186" s="3">
        <f t="shared" si="12"/>
        <v>34000</v>
      </c>
      <c r="G186" s="59">
        <f t="shared" si="13"/>
        <v>8.3333333333333329E-2</v>
      </c>
      <c r="H186" s="344">
        <f t="shared" si="14"/>
        <v>1.3333333333333333</v>
      </c>
      <c r="I186" s="69">
        <f t="shared" si="15"/>
        <v>45194.169772256726</v>
      </c>
    </row>
    <row r="187" spans="2:9" ht="15.75" customHeight="1" x14ac:dyDescent="0.3">
      <c r="B187" s="70"/>
      <c r="C187" s="15">
        <v>10</v>
      </c>
      <c r="D187" s="15" t="s">
        <v>1245</v>
      </c>
      <c r="E187" s="15" t="s">
        <v>1205</v>
      </c>
      <c r="F187" s="3">
        <f t="shared" si="12"/>
        <v>34000</v>
      </c>
      <c r="G187" s="59">
        <f t="shared" si="13"/>
        <v>8.3333333333333329E-2</v>
      </c>
      <c r="H187" s="344">
        <f t="shared" si="14"/>
        <v>1.3333333333333333</v>
      </c>
      <c r="I187" s="69">
        <f t="shared" si="15"/>
        <v>45194.169772256726</v>
      </c>
    </row>
    <row r="188" spans="2:9" ht="15.75" customHeight="1" x14ac:dyDescent="0.3">
      <c r="B188" s="70"/>
      <c r="C188" s="15">
        <v>11</v>
      </c>
      <c r="D188" s="15" t="s">
        <v>1246</v>
      </c>
      <c r="E188" s="15" t="s">
        <v>1206</v>
      </c>
      <c r="F188" s="3">
        <f t="shared" si="12"/>
        <v>34000</v>
      </c>
      <c r="G188" s="59">
        <f t="shared" si="13"/>
        <v>8.3333333333333329E-2</v>
      </c>
      <c r="H188" s="344">
        <f t="shared" si="14"/>
        <v>1.3333333333333333</v>
      </c>
      <c r="I188" s="69">
        <f t="shared" si="15"/>
        <v>45194.169772256726</v>
      </c>
    </row>
    <row r="189" spans="2:9" ht="15.75" customHeight="1" x14ac:dyDescent="0.3">
      <c r="B189" s="70"/>
      <c r="C189" s="15">
        <v>12</v>
      </c>
      <c r="D189" s="15" t="s">
        <v>1247</v>
      </c>
      <c r="E189" s="15" t="s">
        <v>1207</v>
      </c>
      <c r="F189" s="3">
        <f t="shared" si="12"/>
        <v>34000</v>
      </c>
      <c r="G189" s="59">
        <f>H189/$H$190</f>
        <v>8.3333333333333329E-2</v>
      </c>
      <c r="H189" s="344">
        <f t="shared" si="14"/>
        <v>1.3333333333333333</v>
      </c>
      <c r="I189" s="69">
        <f t="shared" si="15"/>
        <v>45194.169772256726</v>
      </c>
    </row>
    <row r="190" spans="2:9" ht="15.75" customHeight="1" x14ac:dyDescent="0.3">
      <c r="B190" s="70"/>
      <c r="C190" s="1"/>
      <c r="D190" s="1"/>
      <c r="E190" s="1"/>
      <c r="F190" s="71"/>
      <c r="G190" s="60">
        <f>SUM(G178:G189)</f>
        <v>1</v>
      </c>
      <c r="H190" s="58">
        <f>SUM(H178:H189)</f>
        <v>16</v>
      </c>
      <c r="I190" s="234">
        <f>SUM(I178:I189)</f>
        <v>542330.03726708086</v>
      </c>
    </row>
    <row r="191" spans="2:9" ht="15.75" customHeight="1" x14ac:dyDescent="0.3">
      <c r="B191" s="70"/>
      <c r="C191" s="1"/>
      <c r="D191" s="1"/>
      <c r="E191" s="1"/>
      <c r="F191"/>
      <c r="G191"/>
      <c r="H191"/>
      <c r="I191" s="67"/>
    </row>
    <row r="192" spans="2:9" ht="15.75" customHeight="1" x14ac:dyDescent="0.3">
      <c r="B192" s="379" t="s">
        <v>1125</v>
      </c>
      <c r="C192" s="16" t="s">
        <v>1149</v>
      </c>
      <c r="D192" s="16" t="s">
        <v>1241</v>
      </c>
      <c r="E192" s="16" t="s">
        <v>1150</v>
      </c>
      <c r="F192" s="17" t="s">
        <v>1561</v>
      </c>
      <c r="G192" s="17" t="s">
        <v>1276</v>
      </c>
      <c r="H192" s="17" t="s">
        <v>1564</v>
      </c>
      <c r="I192" s="68" t="s">
        <v>1562</v>
      </c>
    </row>
    <row r="193" spans="2:19" ht="15.75" customHeight="1" x14ac:dyDescent="0.3">
      <c r="B193" s="380"/>
      <c r="C193" s="15">
        <v>1</v>
      </c>
      <c r="D193" s="15" t="s">
        <v>1239</v>
      </c>
      <c r="E193" s="15" t="s">
        <v>1197</v>
      </c>
      <c r="F193" s="3">
        <f t="shared" ref="F193:F204" si="16">$C$162</f>
        <v>34000</v>
      </c>
      <c r="G193" s="59">
        <f>H193/$H$205</f>
        <v>8.3333333333333329E-2</v>
      </c>
      <c r="H193" s="344">
        <f>$C$167/$C$204</f>
        <v>1.3333333333333333</v>
      </c>
      <c r="I193" s="69">
        <f>($C$161/$C$171)*($C$166/$C$204)</f>
        <v>45194.169772256726</v>
      </c>
      <c r="O193" s="23" t="s">
        <v>1925</v>
      </c>
      <c r="P193" s="23" t="s">
        <v>1921</v>
      </c>
      <c r="Q193" s="23" t="s">
        <v>1926</v>
      </c>
      <c r="R193" s="23" t="s">
        <v>1920</v>
      </c>
      <c r="S193" s="23" t="s">
        <v>1927</v>
      </c>
    </row>
    <row r="194" spans="2:19" ht="15.75" customHeight="1" x14ac:dyDescent="0.3">
      <c r="B194" s="70"/>
      <c r="C194" s="15">
        <v>2</v>
      </c>
      <c r="D194" s="15" t="s">
        <v>1237</v>
      </c>
      <c r="E194" s="15" t="s">
        <v>1198</v>
      </c>
      <c r="F194" s="3">
        <f t="shared" si="16"/>
        <v>34000</v>
      </c>
      <c r="G194" s="59">
        <f t="shared" ref="G194:G204" si="17">H194/$H$205</f>
        <v>8.3333333333333329E-2</v>
      </c>
      <c r="H194" s="344">
        <f t="shared" ref="H194:H204" si="18">$C$167/$C$204</f>
        <v>1.3333333333333333</v>
      </c>
      <c r="I194" s="69">
        <f t="shared" ref="I194:I204" si="19">($C$161/$C$171)*($C$166/$C$204)</f>
        <v>45194.169772256726</v>
      </c>
    </row>
    <row r="195" spans="2:19" ht="15.75" customHeight="1" x14ac:dyDescent="0.3">
      <c r="B195" s="70"/>
      <c r="C195" s="15">
        <v>3</v>
      </c>
      <c r="D195" s="15" t="s">
        <v>1238</v>
      </c>
      <c r="E195" s="15" t="s">
        <v>1199</v>
      </c>
      <c r="F195" s="3">
        <f t="shared" si="16"/>
        <v>34000</v>
      </c>
      <c r="G195" s="59">
        <f t="shared" si="17"/>
        <v>8.3333333333333329E-2</v>
      </c>
      <c r="H195" s="344">
        <f t="shared" si="18"/>
        <v>1.3333333333333333</v>
      </c>
      <c r="I195" s="69">
        <f t="shared" si="19"/>
        <v>45194.169772256726</v>
      </c>
    </row>
    <row r="196" spans="2:19" ht="15.75" customHeight="1" x14ac:dyDescent="0.3">
      <c r="B196" s="70"/>
      <c r="C196" s="15">
        <v>4</v>
      </c>
      <c r="D196" s="15" t="s">
        <v>1245</v>
      </c>
      <c r="E196" s="15" t="s">
        <v>1205</v>
      </c>
      <c r="F196" s="3">
        <f t="shared" si="16"/>
        <v>34000</v>
      </c>
      <c r="G196" s="59">
        <f t="shared" si="17"/>
        <v>8.3333333333333329E-2</v>
      </c>
      <c r="H196" s="344">
        <f t="shared" si="18"/>
        <v>1.3333333333333333</v>
      </c>
      <c r="I196" s="69">
        <f t="shared" si="19"/>
        <v>45194.169772256726</v>
      </c>
    </row>
    <row r="197" spans="2:19" ht="15.75" customHeight="1" x14ac:dyDescent="0.3">
      <c r="B197" s="70"/>
      <c r="C197" s="15">
        <v>5</v>
      </c>
      <c r="D197" s="15" t="s">
        <v>1246</v>
      </c>
      <c r="E197" s="15" t="s">
        <v>1206</v>
      </c>
      <c r="F197" s="3">
        <f t="shared" si="16"/>
        <v>34000</v>
      </c>
      <c r="G197" s="59">
        <f t="shared" si="17"/>
        <v>8.3333333333333329E-2</v>
      </c>
      <c r="H197" s="344">
        <f t="shared" si="18"/>
        <v>1.3333333333333333</v>
      </c>
      <c r="I197" s="69">
        <f t="shared" si="19"/>
        <v>45194.169772256726</v>
      </c>
    </row>
    <row r="198" spans="2:19" ht="15.75" customHeight="1" x14ac:dyDescent="0.3">
      <c r="B198" s="70"/>
      <c r="C198" s="15">
        <v>6</v>
      </c>
      <c r="D198" s="15" t="s">
        <v>1247</v>
      </c>
      <c r="E198" s="15" t="s">
        <v>1207</v>
      </c>
      <c r="F198" s="3">
        <f t="shared" si="16"/>
        <v>34000</v>
      </c>
      <c r="G198" s="59">
        <f t="shared" si="17"/>
        <v>8.3333333333333329E-2</v>
      </c>
      <c r="H198" s="344">
        <f t="shared" si="18"/>
        <v>1.3333333333333333</v>
      </c>
      <c r="I198" s="69">
        <f t="shared" si="19"/>
        <v>45194.169772256726</v>
      </c>
    </row>
    <row r="199" spans="2:19" ht="15.75" customHeight="1" x14ac:dyDescent="0.3">
      <c r="B199" s="70"/>
      <c r="C199" s="15">
        <v>7</v>
      </c>
      <c r="D199" s="15" t="s">
        <v>1262</v>
      </c>
      <c r="E199" s="15" t="s">
        <v>1217</v>
      </c>
      <c r="F199" s="3">
        <f t="shared" si="16"/>
        <v>34000</v>
      </c>
      <c r="G199" s="59">
        <f t="shared" si="17"/>
        <v>8.3333333333333329E-2</v>
      </c>
      <c r="H199" s="344">
        <f t="shared" si="18"/>
        <v>1.3333333333333333</v>
      </c>
      <c r="I199" s="69">
        <f t="shared" si="19"/>
        <v>45194.169772256726</v>
      </c>
    </row>
    <row r="200" spans="2:19" ht="15.75" customHeight="1" x14ac:dyDescent="0.3">
      <c r="B200" s="70"/>
      <c r="C200" s="15">
        <v>8</v>
      </c>
      <c r="D200" s="15" t="s">
        <v>1266</v>
      </c>
      <c r="E200" s="15" t="s">
        <v>1218</v>
      </c>
      <c r="F200" s="3">
        <f t="shared" si="16"/>
        <v>34000</v>
      </c>
      <c r="G200" s="59">
        <f t="shared" si="17"/>
        <v>8.3333333333333329E-2</v>
      </c>
      <c r="H200" s="344">
        <f t="shared" si="18"/>
        <v>1.3333333333333333</v>
      </c>
      <c r="I200" s="69">
        <f t="shared" si="19"/>
        <v>45194.169772256726</v>
      </c>
    </row>
    <row r="201" spans="2:19" ht="15.75" customHeight="1" x14ac:dyDescent="0.3">
      <c r="B201" s="70"/>
      <c r="C201" s="15">
        <v>9</v>
      </c>
      <c r="D201" s="15" t="s">
        <v>1263</v>
      </c>
      <c r="E201" s="15" t="s">
        <v>1243</v>
      </c>
      <c r="F201" s="3">
        <f t="shared" si="16"/>
        <v>34000</v>
      </c>
      <c r="G201" s="59">
        <f t="shared" si="17"/>
        <v>8.3333333333333329E-2</v>
      </c>
      <c r="H201" s="344">
        <f t="shared" si="18"/>
        <v>1.3333333333333333</v>
      </c>
      <c r="I201" s="69">
        <f t="shared" si="19"/>
        <v>45194.169772256726</v>
      </c>
    </row>
    <row r="202" spans="2:19" ht="15.75" customHeight="1" x14ac:dyDescent="0.3">
      <c r="B202" s="70"/>
      <c r="C202" s="15">
        <v>10</v>
      </c>
      <c r="D202" s="15" t="s">
        <v>1268</v>
      </c>
      <c r="E202" s="15" t="s">
        <v>1220</v>
      </c>
      <c r="F202" s="3">
        <f t="shared" si="16"/>
        <v>34000</v>
      </c>
      <c r="G202" s="59">
        <f t="shared" si="17"/>
        <v>8.3333333333333329E-2</v>
      </c>
      <c r="H202" s="344">
        <f t="shared" si="18"/>
        <v>1.3333333333333333</v>
      </c>
      <c r="I202" s="69">
        <f t="shared" si="19"/>
        <v>45194.169772256726</v>
      </c>
    </row>
    <row r="203" spans="2:19" ht="15.75" customHeight="1" x14ac:dyDescent="0.3">
      <c r="B203" s="70"/>
      <c r="C203" s="15">
        <v>11</v>
      </c>
      <c r="D203" s="15" t="s">
        <v>1269</v>
      </c>
      <c r="E203" s="15" t="s">
        <v>1221</v>
      </c>
      <c r="F203" s="3">
        <f t="shared" si="16"/>
        <v>34000</v>
      </c>
      <c r="G203" s="59">
        <f t="shared" si="17"/>
        <v>8.3333333333333329E-2</v>
      </c>
      <c r="H203" s="344">
        <f t="shared" si="18"/>
        <v>1.3333333333333333</v>
      </c>
      <c r="I203" s="69">
        <f t="shared" si="19"/>
        <v>45194.169772256726</v>
      </c>
    </row>
    <row r="204" spans="2:19" ht="15.75" customHeight="1" x14ac:dyDescent="0.3">
      <c r="B204" s="70"/>
      <c r="C204" s="15">
        <v>12</v>
      </c>
      <c r="D204" s="15" t="s">
        <v>1270</v>
      </c>
      <c r="E204" s="15" t="s">
        <v>1242</v>
      </c>
      <c r="F204" s="3">
        <f t="shared" si="16"/>
        <v>34000</v>
      </c>
      <c r="G204" s="59">
        <f t="shared" si="17"/>
        <v>8.3333333333333329E-2</v>
      </c>
      <c r="H204" s="344">
        <f t="shared" si="18"/>
        <v>1.3333333333333333</v>
      </c>
      <c r="I204" s="69">
        <f t="shared" si="19"/>
        <v>45194.169772256726</v>
      </c>
    </row>
    <row r="205" spans="2:19" ht="15.75" customHeight="1" x14ac:dyDescent="0.3">
      <c r="B205" s="70"/>
      <c r="C205" s="1"/>
      <c r="D205" s="1"/>
      <c r="E205" s="1"/>
      <c r="F205" s="71"/>
      <c r="G205" s="60">
        <f>SUM(G193:G204)</f>
        <v>1</v>
      </c>
      <c r="H205" s="236">
        <f>SUM(H193:H204)</f>
        <v>16</v>
      </c>
      <c r="I205" s="235">
        <f>SUM(I193:I204)</f>
        <v>542330.03726708086</v>
      </c>
    </row>
    <row r="206" spans="2:19" ht="15.75" customHeight="1" x14ac:dyDescent="0.3">
      <c r="B206" s="70"/>
      <c r="C206" s="1"/>
      <c r="D206" s="1"/>
      <c r="E206" s="1"/>
      <c r="F206"/>
      <c r="G206"/>
      <c r="H206"/>
      <c r="I206" s="67"/>
    </row>
    <row r="207" spans="2:19" ht="15.75" customHeight="1" x14ac:dyDescent="0.3">
      <c r="B207" s="379" t="s">
        <v>1176</v>
      </c>
      <c r="C207" s="16" t="s">
        <v>1149</v>
      </c>
      <c r="D207" s="16" t="s">
        <v>1241</v>
      </c>
      <c r="E207" s="16" t="s">
        <v>1150</v>
      </c>
      <c r="F207" s="17" t="s">
        <v>1561</v>
      </c>
      <c r="G207" s="17" t="s">
        <v>1276</v>
      </c>
      <c r="H207" s="17" t="s">
        <v>1564</v>
      </c>
      <c r="I207" s="68" t="s">
        <v>1562</v>
      </c>
    </row>
    <row r="208" spans="2:19" ht="15.75" customHeight="1" x14ac:dyDescent="0.3">
      <c r="B208" s="380"/>
      <c r="C208" s="15">
        <v>1</v>
      </c>
      <c r="D208" s="15" t="s">
        <v>1252</v>
      </c>
      <c r="E208" s="15" t="s">
        <v>1178</v>
      </c>
      <c r="F208" s="3">
        <f>$C$162</f>
        <v>34000</v>
      </c>
      <c r="G208" s="59">
        <v>0.29166666666666702</v>
      </c>
      <c r="H208" s="343">
        <f>$C$168/$C$211</f>
        <v>10.75</v>
      </c>
      <c r="I208" s="69">
        <f>($C$161/$C$171)*($C$168/$C$211)</f>
        <v>364377.99378881988</v>
      </c>
    </row>
    <row r="209" spans="2:9" ht="15.75" customHeight="1" x14ac:dyDescent="0.3">
      <c r="B209" s="70"/>
      <c r="C209" s="15">
        <v>2</v>
      </c>
      <c r="D209" s="15" t="s">
        <v>1455</v>
      </c>
      <c r="E209" s="15" t="s">
        <v>1227</v>
      </c>
      <c r="F209" s="3">
        <f>$C$162</f>
        <v>34000</v>
      </c>
      <c r="G209" s="59">
        <v>0.32500000000000001</v>
      </c>
      <c r="H209" s="343">
        <f>$C$168/$C$211</f>
        <v>10.75</v>
      </c>
      <c r="I209" s="69">
        <f t="shared" ref="I209:I211" si="20">($C$161/$C$171)*($C$168/$C$211)</f>
        <v>364377.99378881988</v>
      </c>
    </row>
    <row r="210" spans="2:9" ht="15.75" customHeight="1" x14ac:dyDescent="0.3">
      <c r="B210" s="70"/>
      <c r="C210" s="15">
        <v>3</v>
      </c>
      <c r="D210" s="15" t="s">
        <v>1271</v>
      </c>
      <c r="E210" s="15" t="s">
        <v>1228</v>
      </c>
      <c r="F210" s="3">
        <f>$C$162</f>
        <v>34000</v>
      </c>
      <c r="G210" s="59">
        <v>0.05</v>
      </c>
      <c r="H210" s="343">
        <f>$C$168/$C$211</f>
        <v>10.75</v>
      </c>
      <c r="I210" s="69">
        <f t="shared" si="20"/>
        <v>364377.99378881988</v>
      </c>
    </row>
    <row r="211" spans="2:9" ht="15.75" customHeight="1" x14ac:dyDescent="0.3">
      <c r="B211" s="70"/>
      <c r="C211" s="15">
        <v>4</v>
      </c>
      <c r="D211" s="15" t="s">
        <v>1454</v>
      </c>
      <c r="E211" s="15" t="s">
        <v>1226</v>
      </c>
      <c r="F211" s="3">
        <f>$C$162</f>
        <v>34000</v>
      </c>
      <c r="G211" s="59">
        <v>0.33333333333333331</v>
      </c>
      <c r="H211" s="343">
        <f>$C$168/$C$211</f>
        <v>10.75</v>
      </c>
      <c r="I211" s="69">
        <f t="shared" si="20"/>
        <v>364377.99378881988</v>
      </c>
    </row>
    <row r="212" spans="2:9" ht="15.75" customHeight="1" x14ac:dyDescent="0.3">
      <c r="B212" s="70"/>
      <c r="C212" s="1"/>
      <c r="D212" s="1"/>
      <c r="E212" s="1"/>
      <c r="F212"/>
      <c r="G212" s="60">
        <f>SUM(G208:G211)</f>
        <v>1.0000000000000004</v>
      </c>
      <c r="H212" s="236">
        <f>SUM(H208:H211)</f>
        <v>43</v>
      </c>
      <c r="I212" s="235">
        <f>SUM(I208:I211)</f>
        <v>1457511.9751552795</v>
      </c>
    </row>
    <row r="213" spans="2:9" ht="15.75" customHeight="1" x14ac:dyDescent="0.3">
      <c r="B213" s="70"/>
      <c r="C213" s="1"/>
      <c r="D213" s="1"/>
      <c r="E213" s="1"/>
      <c r="F213"/>
      <c r="G213"/>
      <c r="H213"/>
      <c r="I213" s="67"/>
    </row>
    <row r="214" spans="2:9" ht="15.75" customHeight="1" x14ac:dyDescent="0.3">
      <c r="B214" s="379" t="s">
        <v>1126</v>
      </c>
      <c r="C214" s="16" t="s">
        <v>1149</v>
      </c>
      <c r="D214" s="16" t="s">
        <v>1241</v>
      </c>
      <c r="E214" s="16" t="s">
        <v>1150</v>
      </c>
      <c r="F214" s="17" t="s">
        <v>1561</v>
      </c>
      <c r="G214" s="17" t="s">
        <v>1276</v>
      </c>
      <c r="H214" s="17" t="s">
        <v>1564</v>
      </c>
      <c r="I214" s="68" t="s">
        <v>1562</v>
      </c>
    </row>
    <row r="215" spans="2:9" ht="15.75" customHeight="1" x14ac:dyDescent="0.3">
      <c r="B215" s="380"/>
      <c r="C215" s="15">
        <v>1</v>
      </c>
      <c r="D215" s="15" t="s">
        <v>1270</v>
      </c>
      <c r="E215" s="15" t="s">
        <v>1242</v>
      </c>
      <c r="F215" s="3">
        <f t="shared" ref="F215:F223" si="21">$C$162</f>
        <v>34000</v>
      </c>
      <c r="G215" s="59">
        <f>H215/$H$224</f>
        <v>0.1111111111111111</v>
      </c>
      <c r="H215" s="343">
        <f>$C$169/$C$223</f>
        <v>4.7777777777777777</v>
      </c>
      <c r="I215" s="69">
        <f>($C$161/$C$171)*($C$169/$C$223)</f>
        <v>161945.77501725327</v>
      </c>
    </row>
    <row r="216" spans="2:9" ht="15.75" customHeight="1" x14ac:dyDescent="0.3">
      <c r="B216" s="70"/>
      <c r="C216" s="15">
        <v>2</v>
      </c>
      <c r="D216" s="15" t="s">
        <v>1245</v>
      </c>
      <c r="E216" s="15" t="s">
        <v>1205</v>
      </c>
      <c r="F216" s="3">
        <f t="shared" si="21"/>
        <v>34000</v>
      </c>
      <c r="G216" s="59">
        <f t="shared" ref="G216:G222" si="22">H216/$H$224</f>
        <v>0.1111111111111111</v>
      </c>
      <c r="H216" s="343">
        <f t="shared" ref="H216:H223" si="23">$C$169/$C$223</f>
        <v>4.7777777777777777</v>
      </c>
      <c r="I216" s="69">
        <f t="shared" ref="I216:I223" si="24">($C$161/$C$171)*($C$169/$C$223)</f>
        <v>161945.77501725327</v>
      </c>
    </row>
    <row r="217" spans="2:9" ht="15.75" customHeight="1" x14ac:dyDescent="0.3">
      <c r="B217" s="70"/>
      <c r="C217" s="15">
        <v>3</v>
      </c>
      <c r="D217" s="15" t="s">
        <v>1252</v>
      </c>
      <c r="E217" s="15" t="s">
        <v>1178</v>
      </c>
      <c r="F217" s="3">
        <f t="shared" si="21"/>
        <v>34000</v>
      </c>
      <c r="G217" s="59">
        <f t="shared" si="22"/>
        <v>0.1111111111111111</v>
      </c>
      <c r="H217" s="343">
        <f t="shared" si="23"/>
        <v>4.7777777777777777</v>
      </c>
      <c r="I217" s="69">
        <f t="shared" si="24"/>
        <v>161945.77501725327</v>
      </c>
    </row>
    <row r="218" spans="2:9" ht="15.75" customHeight="1" x14ac:dyDescent="0.3">
      <c r="B218" s="70"/>
      <c r="C218" s="15">
        <v>4</v>
      </c>
      <c r="D218" s="15" t="s">
        <v>1250</v>
      </c>
      <c r="E218" s="15" t="s">
        <v>1210</v>
      </c>
      <c r="F218" s="3">
        <f t="shared" si="21"/>
        <v>34000</v>
      </c>
      <c r="G218" s="59">
        <f t="shared" si="22"/>
        <v>0.1111111111111111</v>
      </c>
      <c r="H218" s="343">
        <f t="shared" si="23"/>
        <v>4.7777777777777777</v>
      </c>
      <c r="I218" s="69">
        <f t="shared" si="24"/>
        <v>161945.77501725327</v>
      </c>
    </row>
    <row r="219" spans="2:9" ht="15.75" customHeight="1" x14ac:dyDescent="0.3">
      <c r="B219" s="70"/>
      <c r="C219" s="15">
        <v>5</v>
      </c>
      <c r="D219" s="15" t="s">
        <v>1251</v>
      </c>
      <c r="E219" s="15" t="s">
        <v>1240</v>
      </c>
      <c r="F219" s="3">
        <f t="shared" si="21"/>
        <v>34000</v>
      </c>
      <c r="G219" s="59">
        <f t="shared" si="22"/>
        <v>0.1111111111111111</v>
      </c>
      <c r="H219" s="343">
        <f t="shared" si="23"/>
        <v>4.7777777777777777</v>
      </c>
      <c r="I219" s="69">
        <f t="shared" si="24"/>
        <v>161945.77501725327</v>
      </c>
    </row>
    <row r="220" spans="2:9" ht="15.75" customHeight="1" x14ac:dyDescent="0.3">
      <c r="B220" s="70"/>
      <c r="C220" s="15">
        <v>6</v>
      </c>
      <c r="D220" s="15" t="s">
        <v>1253</v>
      </c>
      <c r="E220" s="15" t="s">
        <v>1244</v>
      </c>
      <c r="F220" s="3">
        <f t="shared" si="21"/>
        <v>34000</v>
      </c>
      <c r="G220" s="59">
        <f t="shared" si="22"/>
        <v>0.1111111111111111</v>
      </c>
      <c r="H220" s="343">
        <f t="shared" si="23"/>
        <v>4.7777777777777777</v>
      </c>
      <c r="I220" s="69">
        <f t="shared" si="24"/>
        <v>161945.77501725327</v>
      </c>
    </row>
    <row r="221" spans="2:9" ht="15.75" customHeight="1" x14ac:dyDescent="0.3">
      <c r="B221" s="70"/>
      <c r="C221" s="15">
        <v>7</v>
      </c>
      <c r="D221" s="15" t="s">
        <v>1254</v>
      </c>
      <c r="E221" s="15" t="s">
        <v>1222</v>
      </c>
      <c r="F221" s="3">
        <f t="shared" si="21"/>
        <v>34000</v>
      </c>
      <c r="G221" s="59">
        <f t="shared" si="22"/>
        <v>0.1111111111111111</v>
      </c>
      <c r="H221" s="343">
        <f t="shared" si="23"/>
        <v>4.7777777777777777</v>
      </c>
      <c r="I221" s="69">
        <f t="shared" si="24"/>
        <v>161945.77501725327</v>
      </c>
    </row>
    <row r="222" spans="2:9" ht="15.75" customHeight="1" x14ac:dyDescent="0.3">
      <c r="B222" s="70"/>
      <c r="C222" s="15">
        <v>8</v>
      </c>
      <c r="D222" s="15" t="s">
        <v>1248</v>
      </c>
      <c r="E222" s="15" t="s">
        <v>1208</v>
      </c>
      <c r="F222" s="3">
        <f t="shared" si="21"/>
        <v>34000</v>
      </c>
      <c r="G222" s="59">
        <f t="shared" si="22"/>
        <v>0.1111111111111111</v>
      </c>
      <c r="H222" s="343">
        <f t="shared" si="23"/>
        <v>4.7777777777777777</v>
      </c>
      <c r="I222" s="69">
        <f t="shared" si="24"/>
        <v>161945.77501725327</v>
      </c>
    </row>
    <row r="223" spans="2:9" ht="15.75" customHeight="1" x14ac:dyDescent="0.3">
      <c r="B223" s="70"/>
      <c r="C223" s="15">
        <v>9</v>
      </c>
      <c r="D223" s="15" t="s">
        <v>1249</v>
      </c>
      <c r="E223" s="15" t="s">
        <v>1209</v>
      </c>
      <c r="F223" s="3">
        <f t="shared" si="21"/>
        <v>34000</v>
      </c>
      <c r="G223" s="59">
        <f>H223/$H$224</f>
        <v>0.1111111111111111</v>
      </c>
      <c r="H223" s="343">
        <f t="shared" si="23"/>
        <v>4.7777777777777777</v>
      </c>
      <c r="I223" s="69">
        <f t="shared" si="24"/>
        <v>161945.77501725327</v>
      </c>
    </row>
    <row r="224" spans="2:9" ht="15.75" customHeight="1" x14ac:dyDescent="0.3">
      <c r="B224" s="70"/>
      <c r="C224" s="1"/>
      <c r="D224" s="1"/>
      <c r="E224" s="1"/>
      <c r="F224" s="71"/>
      <c r="G224" s="60">
        <f>SUM(G215:G223)</f>
        <v>1.0000000000000002</v>
      </c>
      <c r="H224" s="236">
        <f>SUM(H215:H223)</f>
        <v>43</v>
      </c>
      <c r="I224" s="235">
        <f>SUM(I215:I223)</f>
        <v>1457511.9751552795</v>
      </c>
    </row>
    <row r="225" spans="2:9" ht="15.75" customHeight="1" x14ac:dyDescent="0.3">
      <c r="B225" s="70"/>
      <c r="C225" s="1"/>
      <c r="D225" s="1"/>
      <c r="E225" s="1"/>
      <c r="F225"/>
      <c r="G225"/>
      <c r="H225"/>
      <c r="I225" s="67"/>
    </row>
    <row r="226" spans="2:9" ht="15.75" customHeight="1" x14ac:dyDescent="0.3">
      <c r="B226" s="379" t="s">
        <v>1177</v>
      </c>
      <c r="C226" s="16" t="s">
        <v>1149</v>
      </c>
      <c r="D226" s="16" t="s">
        <v>1241</v>
      </c>
      <c r="E226" s="16" t="s">
        <v>1150</v>
      </c>
      <c r="F226" s="17" t="s">
        <v>1561</v>
      </c>
      <c r="G226" s="17" t="s">
        <v>1276</v>
      </c>
      <c r="H226" s="17" t="s">
        <v>1564</v>
      </c>
      <c r="I226" s="68" t="s">
        <v>1562</v>
      </c>
    </row>
    <row r="227" spans="2:9" ht="15.75" customHeight="1" x14ac:dyDescent="0.3">
      <c r="B227" s="380"/>
      <c r="C227" s="15">
        <v>1</v>
      </c>
      <c r="D227" s="15" t="s">
        <v>1255</v>
      </c>
      <c r="E227" s="15" t="s">
        <v>1179</v>
      </c>
      <c r="F227" s="3">
        <f>$C$162</f>
        <v>34000</v>
      </c>
      <c r="G227" s="59">
        <f>H227/$H$230</f>
        <v>0.33333333333333337</v>
      </c>
      <c r="H227" s="343">
        <f>$C$170/$C$229</f>
        <v>14.333333333333334</v>
      </c>
      <c r="I227" s="69">
        <f>($C$161/$C$171)*($C$170/$C$229)</f>
        <v>485837.32505175984</v>
      </c>
    </row>
    <row r="228" spans="2:9" ht="15.75" customHeight="1" x14ac:dyDescent="0.3">
      <c r="B228" s="66"/>
      <c r="C228" s="15">
        <v>2</v>
      </c>
      <c r="D228" s="15" t="s">
        <v>1251</v>
      </c>
      <c r="E228" s="15" t="s">
        <v>1240</v>
      </c>
      <c r="F228" s="3">
        <f>$C$162</f>
        <v>34000</v>
      </c>
      <c r="G228" s="59">
        <f>H228/$H$230</f>
        <v>0.33333333333333337</v>
      </c>
      <c r="H228" s="343">
        <f>$C$170/$C$229</f>
        <v>14.333333333333334</v>
      </c>
      <c r="I228" s="69">
        <f t="shared" ref="I228:I229" si="25">($C$161/$C$171)*($C$170/$C$229)</f>
        <v>485837.32505175984</v>
      </c>
    </row>
    <row r="229" spans="2:9" ht="15.75" customHeight="1" x14ac:dyDescent="0.3">
      <c r="B229" s="66"/>
      <c r="C229" s="15">
        <v>3</v>
      </c>
      <c r="D229" s="15" t="s">
        <v>1252</v>
      </c>
      <c r="E229" s="15" t="s">
        <v>1178</v>
      </c>
      <c r="F229" s="3">
        <f>$C$162</f>
        <v>34000</v>
      </c>
      <c r="G229" s="59">
        <f>H229/$H$230</f>
        <v>0.33333333333333337</v>
      </c>
      <c r="H229" s="343">
        <f>$C$170/$C$229</f>
        <v>14.333333333333334</v>
      </c>
      <c r="I229" s="69">
        <f t="shared" si="25"/>
        <v>485837.32505175984</v>
      </c>
    </row>
    <row r="230" spans="2:9" ht="15.75" customHeight="1" x14ac:dyDescent="0.3">
      <c r="B230" s="66"/>
      <c r="C230" s="1"/>
      <c r="D230" s="1"/>
      <c r="E230" s="1"/>
      <c r="F230"/>
      <c r="G230" s="60">
        <f>SUM(G227:G229)</f>
        <v>1</v>
      </c>
      <c r="H230" s="236">
        <f>SUM(H227:H229)</f>
        <v>43</v>
      </c>
      <c r="I230" s="235">
        <f>SUM(I227:I229)</f>
        <v>1457511.9751552795</v>
      </c>
    </row>
    <row r="231" spans="2:9" ht="15.75" customHeight="1" x14ac:dyDescent="0.25">
      <c r="E231" s="36"/>
      <c r="F231" s="20"/>
      <c r="G231" s="20"/>
    </row>
    <row r="232" spans="2:9" ht="15.75" customHeight="1" x14ac:dyDescent="0.25">
      <c r="E232" s="36"/>
      <c r="F232" s="20"/>
      <c r="G232" s="20"/>
    </row>
    <row r="233" spans="2:9" ht="15.75" customHeight="1" x14ac:dyDescent="0.25">
      <c r="E233" s="36"/>
      <c r="F233" s="20"/>
      <c r="G233" s="20"/>
    </row>
    <row r="234" spans="2:9" ht="15.75" customHeight="1" x14ac:dyDescent="0.25">
      <c r="E234" s="36"/>
      <c r="F234" s="20"/>
      <c r="G234" s="20"/>
    </row>
    <row r="235" spans="2:9" ht="15.75" customHeight="1" x14ac:dyDescent="0.25">
      <c r="E235" s="36"/>
      <c r="F235" s="20"/>
      <c r="G235" s="20"/>
    </row>
    <row r="236" spans="2:9" ht="15.75" customHeight="1" x14ac:dyDescent="0.25">
      <c r="E236" s="36"/>
      <c r="F236" s="20"/>
      <c r="G236" s="20"/>
    </row>
    <row r="237" spans="2:9" ht="15.75" customHeight="1" x14ac:dyDescent="0.25">
      <c r="E237" s="36"/>
      <c r="F237" s="20"/>
      <c r="G237" s="20"/>
    </row>
    <row r="238" spans="2:9" ht="15.75" customHeight="1" x14ac:dyDescent="0.25">
      <c r="E238" s="36"/>
      <c r="F238" s="20"/>
      <c r="G238" s="20"/>
    </row>
    <row r="239" spans="2:9" ht="15.75" customHeight="1" x14ac:dyDescent="0.25">
      <c r="E239" s="36"/>
      <c r="F239" s="20"/>
      <c r="G239" s="20"/>
    </row>
    <row r="240" spans="2:9" ht="15.75" customHeight="1" x14ac:dyDescent="0.25">
      <c r="E240" s="36"/>
      <c r="F240" s="20"/>
      <c r="G240" s="20"/>
    </row>
    <row r="241" spans="5:7" ht="15.75" customHeight="1" x14ac:dyDescent="0.25">
      <c r="E241" s="36"/>
      <c r="F241" s="20"/>
      <c r="G241" s="20"/>
    </row>
    <row r="242" spans="5:7" ht="15.75" customHeight="1" x14ac:dyDescent="0.25">
      <c r="E242" s="36"/>
      <c r="F242" s="20"/>
      <c r="G242" s="20"/>
    </row>
    <row r="243" spans="5:7" ht="15.75" customHeight="1" x14ac:dyDescent="0.25">
      <c r="E243" s="36"/>
      <c r="F243" s="20"/>
      <c r="G243" s="20"/>
    </row>
    <row r="244" spans="5:7" ht="15.75" customHeight="1" x14ac:dyDescent="0.25">
      <c r="E244" s="36"/>
      <c r="F244" s="20"/>
      <c r="G244" s="20"/>
    </row>
    <row r="245" spans="5:7" ht="15.75" customHeight="1" x14ac:dyDescent="0.25">
      <c r="E245" s="36"/>
      <c r="F245" s="20"/>
      <c r="G245" s="20"/>
    </row>
    <row r="246" spans="5:7" ht="15.75" customHeight="1" x14ac:dyDescent="0.25">
      <c r="E246" s="36"/>
      <c r="F246" s="20"/>
      <c r="G246" s="20"/>
    </row>
    <row r="247" spans="5:7" ht="15.75" customHeight="1" x14ac:dyDescent="0.25">
      <c r="E247" s="36"/>
      <c r="F247" s="20"/>
      <c r="G247" s="20"/>
    </row>
    <row r="248" spans="5:7" ht="15.75" customHeight="1" x14ac:dyDescent="0.25">
      <c r="E248" s="36"/>
      <c r="F248" s="20"/>
      <c r="G248" s="20"/>
    </row>
    <row r="249" spans="5:7" ht="15.75" customHeight="1" x14ac:dyDescent="0.25">
      <c r="E249" s="36"/>
      <c r="F249" s="20"/>
      <c r="G249" s="20"/>
    </row>
    <row r="250" spans="5:7" ht="15.75" customHeight="1" x14ac:dyDescent="0.25">
      <c r="E250" s="36"/>
      <c r="F250" s="20"/>
      <c r="G250" s="20"/>
    </row>
    <row r="251" spans="5:7" ht="15.75" customHeight="1" x14ac:dyDescent="0.25">
      <c r="E251" s="36"/>
      <c r="F251" s="20"/>
      <c r="G251" s="20"/>
    </row>
    <row r="252" spans="5:7" ht="15.75" customHeight="1" x14ac:dyDescent="0.25">
      <c r="E252" s="36"/>
      <c r="F252" s="20"/>
      <c r="G252" s="20"/>
    </row>
    <row r="253" spans="5:7" ht="15.75" customHeight="1" x14ac:dyDescent="0.25">
      <c r="E253" s="36"/>
      <c r="F253" s="20"/>
      <c r="G253" s="20"/>
    </row>
    <row r="254" spans="5:7" ht="15.75" customHeight="1" x14ac:dyDescent="0.25">
      <c r="E254" s="36"/>
      <c r="F254" s="20"/>
      <c r="G254" s="20"/>
    </row>
    <row r="255" spans="5:7" ht="15.75" customHeight="1" x14ac:dyDescent="0.25">
      <c r="E255" s="36"/>
      <c r="F255" s="20"/>
      <c r="G255" s="20"/>
    </row>
    <row r="256" spans="5:7" ht="15.75" customHeight="1" x14ac:dyDescent="0.25">
      <c r="E256" s="36"/>
      <c r="F256" s="20"/>
      <c r="G256" s="20"/>
    </row>
    <row r="257" spans="5:7" ht="15.75" customHeight="1" x14ac:dyDescent="0.25">
      <c r="E257" s="36"/>
      <c r="F257" s="20"/>
      <c r="G257" s="20"/>
    </row>
    <row r="258" spans="5:7" ht="15.75" customHeight="1" x14ac:dyDescent="0.25">
      <c r="E258" s="36"/>
      <c r="F258" s="20"/>
      <c r="G258" s="20"/>
    </row>
    <row r="259" spans="5:7" ht="15.75" customHeight="1" x14ac:dyDescent="0.25">
      <c r="E259" s="36"/>
      <c r="F259" s="20"/>
      <c r="G259" s="20"/>
    </row>
    <row r="260" spans="5:7" ht="15.75" customHeight="1" x14ac:dyDescent="0.25">
      <c r="E260" s="36"/>
      <c r="F260" s="20"/>
      <c r="G260" s="20"/>
    </row>
    <row r="261" spans="5:7" ht="15.75" customHeight="1" x14ac:dyDescent="0.25">
      <c r="E261" s="36"/>
      <c r="F261" s="20"/>
      <c r="G261" s="20"/>
    </row>
    <row r="262" spans="5:7" ht="15.75" customHeight="1" x14ac:dyDescent="0.25">
      <c r="E262" s="36"/>
      <c r="F262" s="20"/>
      <c r="G262" s="20"/>
    </row>
    <row r="263" spans="5:7" ht="15.75" customHeight="1" x14ac:dyDescent="0.25">
      <c r="E263" s="36"/>
      <c r="F263" s="20"/>
      <c r="G263" s="20"/>
    </row>
    <row r="264" spans="5:7" ht="15.75" customHeight="1" x14ac:dyDescent="0.25">
      <c r="E264" s="36"/>
      <c r="F264" s="20"/>
      <c r="G264" s="20"/>
    </row>
    <row r="265" spans="5:7" ht="15.75" customHeight="1" x14ac:dyDescent="0.25">
      <c r="E265" s="36"/>
      <c r="F265" s="20"/>
      <c r="G265" s="20"/>
    </row>
    <row r="266" spans="5:7" ht="15.75" customHeight="1" x14ac:dyDescent="0.25">
      <c r="E266" s="36"/>
      <c r="F266" s="20"/>
      <c r="G266" s="20"/>
    </row>
    <row r="267" spans="5:7" ht="15.75" customHeight="1" x14ac:dyDescent="0.25">
      <c r="E267" s="36"/>
      <c r="F267" s="20"/>
      <c r="G267" s="20"/>
    </row>
    <row r="268" spans="5:7" ht="15.75" customHeight="1" x14ac:dyDescent="0.25">
      <c r="E268" s="36"/>
      <c r="F268" s="20"/>
      <c r="G268" s="20"/>
    </row>
    <row r="269" spans="5:7" ht="15.75" customHeight="1" x14ac:dyDescent="0.25">
      <c r="E269" s="36"/>
      <c r="F269" s="20"/>
      <c r="G269" s="20"/>
    </row>
    <row r="270" spans="5:7" ht="15.75" customHeight="1" x14ac:dyDescent="0.25">
      <c r="E270" s="36"/>
      <c r="F270" s="20"/>
      <c r="G270" s="20"/>
    </row>
    <row r="271" spans="5:7" ht="15.75" customHeight="1" x14ac:dyDescent="0.25">
      <c r="E271" s="36"/>
      <c r="F271" s="20"/>
      <c r="G271" s="20"/>
    </row>
    <row r="272" spans="5:7" ht="15.75" customHeight="1" x14ac:dyDescent="0.25">
      <c r="E272" s="36"/>
      <c r="F272" s="20"/>
      <c r="G272" s="20"/>
    </row>
    <row r="273" spans="5:7" ht="15.75" customHeight="1" x14ac:dyDescent="0.25">
      <c r="E273" s="36"/>
      <c r="F273" s="20"/>
      <c r="G273" s="20"/>
    </row>
    <row r="274" spans="5:7" ht="15.75" customHeight="1" x14ac:dyDescent="0.25">
      <c r="E274" s="36"/>
      <c r="F274" s="20"/>
      <c r="G274" s="20"/>
    </row>
    <row r="275" spans="5:7" ht="15.75" customHeight="1" x14ac:dyDescent="0.25">
      <c r="E275" s="36"/>
      <c r="F275" s="20"/>
      <c r="G275" s="20"/>
    </row>
    <row r="276" spans="5:7" ht="15.75" customHeight="1" x14ac:dyDescent="0.25">
      <c r="E276" s="36"/>
      <c r="F276" s="20"/>
      <c r="G276" s="20"/>
    </row>
    <row r="277" spans="5:7" ht="15.75" customHeight="1" x14ac:dyDescent="0.25">
      <c r="E277" s="36"/>
      <c r="F277" s="20"/>
      <c r="G277" s="20"/>
    </row>
    <row r="278" spans="5:7" ht="15.75" customHeight="1" x14ac:dyDescent="0.25">
      <c r="E278" s="36"/>
      <c r="F278" s="20"/>
      <c r="G278" s="20"/>
    </row>
    <row r="279" spans="5:7" ht="15.75" customHeight="1" x14ac:dyDescent="0.25">
      <c r="E279" s="36"/>
      <c r="F279" s="20"/>
      <c r="G279" s="20"/>
    </row>
    <row r="280" spans="5:7" ht="15.75" customHeight="1" x14ac:dyDescent="0.25">
      <c r="E280" s="36"/>
      <c r="F280" s="20"/>
      <c r="G280" s="20"/>
    </row>
    <row r="281" spans="5:7" ht="15.75" customHeight="1" x14ac:dyDescent="0.25">
      <c r="E281" s="36"/>
      <c r="F281" s="20"/>
      <c r="G281" s="20"/>
    </row>
    <row r="282" spans="5:7" ht="15.75" customHeight="1" x14ac:dyDescent="0.25">
      <c r="E282" s="36"/>
      <c r="F282" s="20"/>
      <c r="G282" s="20"/>
    </row>
    <row r="283" spans="5:7" ht="15.75" customHeight="1" x14ac:dyDescent="0.25">
      <c r="E283" s="36"/>
      <c r="F283" s="20"/>
      <c r="G283" s="20"/>
    </row>
    <row r="284" spans="5:7" ht="15.75" customHeight="1" x14ac:dyDescent="0.25">
      <c r="E284" s="36"/>
      <c r="F284" s="20"/>
      <c r="G284" s="20"/>
    </row>
    <row r="285" spans="5:7" ht="15.75" customHeight="1" x14ac:dyDescent="0.25">
      <c r="E285" s="36"/>
      <c r="F285" s="20"/>
      <c r="G285" s="20"/>
    </row>
    <row r="286" spans="5:7" ht="15.75" customHeight="1" x14ac:dyDescent="0.25">
      <c r="E286" s="36"/>
      <c r="F286" s="20"/>
      <c r="G286" s="20"/>
    </row>
    <row r="287" spans="5:7" ht="15.75" customHeight="1" x14ac:dyDescent="0.25">
      <c r="E287" s="36"/>
      <c r="F287" s="20"/>
      <c r="G287" s="20"/>
    </row>
    <row r="288" spans="5:7" ht="15.75" customHeight="1" x14ac:dyDescent="0.25">
      <c r="E288" s="36"/>
      <c r="F288" s="20"/>
      <c r="G288" s="20"/>
    </row>
    <row r="289" spans="5:7" ht="15.75" customHeight="1" x14ac:dyDescent="0.25">
      <c r="E289" s="36"/>
      <c r="F289" s="20"/>
      <c r="G289" s="20"/>
    </row>
    <row r="290" spans="5:7" ht="15.75" customHeight="1" x14ac:dyDescent="0.25">
      <c r="E290" s="36"/>
      <c r="F290" s="20"/>
      <c r="G290" s="20"/>
    </row>
    <row r="291" spans="5:7" ht="15.75" customHeight="1" x14ac:dyDescent="0.25">
      <c r="E291" s="36"/>
      <c r="F291" s="20"/>
      <c r="G291" s="20"/>
    </row>
    <row r="292" spans="5:7" ht="15.75" customHeight="1" x14ac:dyDescent="0.25">
      <c r="E292" s="36"/>
      <c r="F292" s="20"/>
      <c r="G292" s="20"/>
    </row>
    <row r="293" spans="5:7" ht="15.75" customHeight="1" x14ac:dyDescent="0.25">
      <c r="E293" s="36"/>
      <c r="F293" s="20"/>
      <c r="G293" s="20"/>
    </row>
    <row r="294" spans="5:7" ht="15.75" customHeight="1" x14ac:dyDescent="0.25">
      <c r="E294" s="36"/>
      <c r="F294" s="20"/>
      <c r="G294" s="20"/>
    </row>
    <row r="295" spans="5:7" ht="15.75" customHeight="1" x14ac:dyDescent="0.25">
      <c r="E295" s="36"/>
      <c r="F295" s="20"/>
      <c r="G295" s="20"/>
    </row>
    <row r="296" spans="5:7" ht="15.75" customHeight="1" x14ac:dyDescent="0.25">
      <c r="E296" s="36"/>
      <c r="F296" s="20"/>
      <c r="G296" s="20"/>
    </row>
    <row r="297" spans="5:7" ht="15.75" customHeight="1" x14ac:dyDescent="0.25">
      <c r="E297" s="36"/>
      <c r="F297" s="20"/>
      <c r="G297" s="20"/>
    </row>
    <row r="298" spans="5:7" ht="15.75" customHeight="1" x14ac:dyDescent="0.25">
      <c r="E298" s="36"/>
      <c r="F298" s="20"/>
      <c r="G298" s="20"/>
    </row>
    <row r="299" spans="5:7" ht="15.75" customHeight="1" x14ac:dyDescent="0.25">
      <c r="E299" s="36"/>
      <c r="F299" s="20"/>
      <c r="G299" s="20"/>
    </row>
    <row r="300" spans="5:7" ht="15.75" customHeight="1" x14ac:dyDescent="0.25">
      <c r="E300" s="36"/>
      <c r="F300" s="20"/>
      <c r="G300" s="20"/>
    </row>
    <row r="301" spans="5:7" ht="15.75" customHeight="1" x14ac:dyDescent="0.25">
      <c r="E301" s="36"/>
      <c r="F301" s="20"/>
      <c r="G301" s="20"/>
    </row>
    <row r="302" spans="5:7" ht="15.75" customHeight="1" x14ac:dyDescent="0.25">
      <c r="E302" s="36"/>
      <c r="F302" s="20"/>
      <c r="G302" s="20"/>
    </row>
    <row r="303" spans="5:7" ht="15.75" customHeight="1" x14ac:dyDescent="0.25">
      <c r="E303" s="36"/>
      <c r="F303" s="20"/>
      <c r="G303" s="20"/>
    </row>
    <row r="304" spans="5:7" ht="15.75" customHeight="1" x14ac:dyDescent="0.25">
      <c r="E304" s="36"/>
      <c r="F304" s="20"/>
      <c r="G304" s="20"/>
    </row>
    <row r="305" spans="5:7" ht="15.75" customHeight="1" x14ac:dyDescent="0.25">
      <c r="E305" s="36"/>
      <c r="F305" s="20"/>
      <c r="G305" s="20"/>
    </row>
    <row r="306" spans="5:7" ht="15.75" customHeight="1" x14ac:dyDescent="0.25">
      <c r="E306" s="36"/>
      <c r="F306" s="20"/>
      <c r="G306" s="20"/>
    </row>
    <row r="307" spans="5:7" ht="15.75" customHeight="1" x14ac:dyDescent="0.25">
      <c r="E307" s="36"/>
      <c r="F307" s="20"/>
      <c r="G307" s="20"/>
    </row>
    <row r="308" spans="5:7" ht="15.75" customHeight="1" x14ac:dyDescent="0.25">
      <c r="E308" s="36"/>
      <c r="F308" s="20"/>
      <c r="G308" s="20"/>
    </row>
    <row r="309" spans="5:7" ht="15.75" customHeight="1" x14ac:dyDescent="0.25">
      <c r="E309" s="36"/>
      <c r="F309" s="20"/>
      <c r="G309" s="20"/>
    </row>
    <row r="310" spans="5:7" ht="15.75" customHeight="1" x14ac:dyDescent="0.25">
      <c r="E310" s="36"/>
      <c r="F310" s="20"/>
      <c r="G310" s="20"/>
    </row>
    <row r="311" spans="5:7" ht="15.75" customHeight="1" x14ac:dyDescent="0.25">
      <c r="E311" s="36"/>
      <c r="F311" s="20"/>
      <c r="G311" s="20"/>
    </row>
    <row r="312" spans="5:7" ht="15.75" customHeight="1" x14ac:dyDescent="0.25">
      <c r="E312" s="36"/>
      <c r="F312" s="20"/>
      <c r="G312" s="20"/>
    </row>
    <row r="313" spans="5:7" ht="15.75" customHeight="1" x14ac:dyDescent="0.25">
      <c r="E313" s="36"/>
      <c r="F313" s="20"/>
      <c r="G313" s="20"/>
    </row>
    <row r="314" spans="5:7" ht="15.75" customHeight="1" x14ac:dyDescent="0.25">
      <c r="E314" s="36"/>
      <c r="F314" s="20"/>
      <c r="G314" s="20"/>
    </row>
    <row r="315" spans="5:7" ht="15.75" customHeight="1" x14ac:dyDescent="0.25">
      <c r="E315" s="36"/>
      <c r="F315" s="20"/>
      <c r="G315" s="20"/>
    </row>
    <row r="316" spans="5:7" ht="15.75" customHeight="1" x14ac:dyDescent="0.25">
      <c r="E316" s="36"/>
      <c r="F316" s="20"/>
      <c r="G316" s="20"/>
    </row>
    <row r="317" spans="5:7" ht="15.75" customHeight="1" x14ac:dyDescent="0.25">
      <c r="E317" s="36"/>
      <c r="F317" s="20"/>
      <c r="G317" s="20"/>
    </row>
    <row r="318" spans="5:7" ht="15.75" customHeight="1" x14ac:dyDescent="0.25">
      <c r="E318" s="36"/>
      <c r="F318" s="20"/>
      <c r="G318" s="20"/>
    </row>
    <row r="319" spans="5:7" ht="15.75" customHeight="1" x14ac:dyDescent="0.25">
      <c r="E319" s="36"/>
      <c r="F319" s="20"/>
      <c r="G319" s="20"/>
    </row>
    <row r="320" spans="5:7" ht="15.75" customHeight="1" x14ac:dyDescent="0.25">
      <c r="E320" s="36"/>
      <c r="F320" s="20"/>
      <c r="G320" s="20"/>
    </row>
    <row r="321" spans="5:7" ht="15.75" customHeight="1" x14ac:dyDescent="0.25">
      <c r="E321" s="36"/>
      <c r="F321" s="20"/>
      <c r="G321" s="20"/>
    </row>
    <row r="322" spans="5:7" ht="15.75" customHeight="1" x14ac:dyDescent="0.25">
      <c r="E322" s="36"/>
      <c r="F322" s="20"/>
      <c r="G322" s="20"/>
    </row>
    <row r="323" spans="5:7" ht="15.75" customHeight="1" x14ac:dyDescent="0.25">
      <c r="E323" s="36"/>
      <c r="F323" s="20"/>
      <c r="G323" s="20"/>
    </row>
    <row r="324" spans="5:7" ht="15.75" customHeight="1" x14ac:dyDescent="0.25">
      <c r="E324" s="36"/>
      <c r="F324" s="20"/>
      <c r="G324" s="20"/>
    </row>
    <row r="325" spans="5:7" ht="15.75" customHeight="1" x14ac:dyDescent="0.25">
      <c r="E325" s="36"/>
      <c r="F325" s="20"/>
      <c r="G325" s="20"/>
    </row>
    <row r="326" spans="5:7" ht="15.75" customHeight="1" x14ac:dyDescent="0.25">
      <c r="E326" s="36"/>
      <c r="F326" s="20"/>
      <c r="G326" s="20"/>
    </row>
    <row r="327" spans="5:7" ht="15.75" customHeight="1" x14ac:dyDescent="0.25">
      <c r="E327" s="36"/>
      <c r="F327" s="20"/>
      <c r="G327" s="20"/>
    </row>
    <row r="328" spans="5:7" ht="15.75" customHeight="1" x14ac:dyDescent="0.25">
      <c r="E328" s="36"/>
      <c r="F328" s="20"/>
      <c r="G328" s="20"/>
    </row>
    <row r="329" spans="5:7" ht="15.75" customHeight="1" x14ac:dyDescent="0.25">
      <c r="E329" s="36"/>
      <c r="F329" s="20"/>
      <c r="G329" s="20"/>
    </row>
    <row r="330" spans="5:7" ht="15.75" customHeight="1" x14ac:dyDescent="0.25">
      <c r="E330" s="36"/>
      <c r="F330" s="20"/>
      <c r="G330" s="20"/>
    </row>
    <row r="331" spans="5:7" ht="15.75" customHeight="1" x14ac:dyDescent="0.25">
      <c r="E331" s="36"/>
      <c r="F331" s="20"/>
      <c r="G331" s="20"/>
    </row>
    <row r="332" spans="5:7" ht="15.75" customHeight="1" x14ac:dyDescent="0.25">
      <c r="E332" s="36"/>
      <c r="F332" s="20"/>
      <c r="G332" s="20"/>
    </row>
    <row r="333" spans="5:7" ht="15.75" customHeight="1" x14ac:dyDescent="0.25">
      <c r="E333" s="36"/>
      <c r="F333" s="20"/>
      <c r="G333" s="20"/>
    </row>
    <row r="334" spans="5:7" ht="15.75" customHeight="1" x14ac:dyDescent="0.25">
      <c r="E334" s="36"/>
      <c r="F334" s="20"/>
      <c r="G334" s="20"/>
    </row>
    <row r="335" spans="5:7" ht="15.75" customHeight="1" x14ac:dyDescent="0.25">
      <c r="E335" s="36"/>
      <c r="F335" s="20"/>
      <c r="G335" s="20"/>
    </row>
    <row r="336" spans="5:7" ht="15.75" customHeight="1" x14ac:dyDescent="0.25">
      <c r="E336" s="36"/>
      <c r="F336" s="20"/>
      <c r="G336" s="20"/>
    </row>
    <row r="337" spans="5:7" ht="15.75" customHeight="1" x14ac:dyDescent="0.25">
      <c r="E337" s="36"/>
      <c r="F337" s="20"/>
      <c r="G337" s="20"/>
    </row>
    <row r="338" spans="5:7" ht="15.75" customHeight="1" x14ac:dyDescent="0.25">
      <c r="E338" s="36"/>
      <c r="F338" s="20"/>
      <c r="G338" s="20"/>
    </row>
    <row r="339" spans="5:7" ht="15.75" customHeight="1" x14ac:dyDescent="0.25">
      <c r="E339" s="36"/>
      <c r="F339" s="20"/>
      <c r="G339" s="20"/>
    </row>
    <row r="340" spans="5:7" ht="15.75" customHeight="1" x14ac:dyDescent="0.25">
      <c r="E340" s="36"/>
      <c r="F340" s="20"/>
      <c r="G340" s="20"/>
    </row>
    <row r="341" spans="5:7" ht="15.75" customHeight="1" x14ac:dyDescent="0.25">
      <c r="E341" s="36"/>
      <c r="F341" s="20"/>
      <c r="G341" s="20"/>
    </row>
    <row r="342" spans="5:7" ht="15.75" customHeight="1" x14ac:dyDescent="0.25">
      <c r="E342" s="36"/>
      <c r="F342" s="20"/>
      <c r="G342" s="20"/>
    </row>
    <row r="343" spans="5:7" ht="15.75" customHeight="1" x14ac:dyDescent="0.25">
      <c r="E343" s="36"/>
      <c r="F343" s="20"/>
      <c r="G343" s="20"/>
    </row>
    <row r="344" spans="5:7" ht="15.75" customHeight="1" x14ac:dyDescent="0.25">
      <c r="E344" s="36"/>
      <c r="F344" s="20"/>
      <c r="G344" s="20"/>
    </row>
    <row r="345" spans="5:7" ht="15.75" customHeight="1" x14ac:dyDescent="0.25">
      <c r="E345" s="36"/>
      <c r="F345" s="20"/>
      <c r="G345" s="20"/>
    </row>
    <row r="346" spans="5:7" ht="15.75" customHeight="1" x14ac:dyDescent="0.25">
      <c r="E346" s="36"/>
      <c r="F346" s="20"/>
      <c r="G346" s="20"/>
    </row>
    <row r="347" spans="5:7" ht="15.75" customHeight="1" x14ac:dyDescent="0.25">
      <c r="E347" s="36"/>
      <c r="F347" s="20"/>
      <c r="G347" s="20"/>
    </row>
    <row r="348" spans="5:7" ht="15.75" customHeight="1" x14ac:dyDescent="0.25">
      <c r="E348" s="36"/>
      <c r="F348" s="20"/>
      <c r="G348" s="20"/>
    </row>
    <row r="349" spans="5:7" ht="15.75" customHeight="1" x14ac:dyDescent="0.25">
      <c r="E349" s="36"/>
      <c r="F349" s="20"/>
      <c r="G349" s="20"/>
    </row>
    <row r="350" spans="5:7" ht="15.75" customHeight="1" x14ac:dyDescent="0.25">
      <c r="E350" s="36"/>
      <c r="F350" s="20"/>
      <c r="G350" s="20"/>
    </row>
    <row r="351" spans="5:7" ht="15.75" customHeight="1" x14ac:dyDescent="0.25">
      <c r="E351" s="36"/>
      <c r="F351" s="20"/>
      <c r="G351" s="20"/>
    </row>
    <row r="352" spans="5:7" ht="15.75" customHeight="1" x14ac:dyDescent="0.25">
      <c r="E352" s="36"/>
      <c r="F352" s="20"/>
      <c r="G352" s="20"/>
    </row>
    <row r="353" spans="5:7" ht="15.75" customHeight="1" x14ac:dyDescent="0.25">
      <c r="E353" s="36"/>
      <c r="F353" s="20"/>
      <c r="G353" s="20"/>
    </row>
    <row r="354" spans="5:7" ht="15.75" customHeight="1" x14ac:dyDescent="0.25">
      <c r="E354" s="36"/>
      <c r="F354" s="20"/>
      <c r="G354" s="20"/>
    </row>
    <row r="355" spans="5:7" ht="15.75" customHeight="1" x14ac:dyDescent="0.25">
      <c r="E355" s="36"/>
      <c r="F355" s="20"/>
      <c r="G355" s="20"/>
    </row>
    <row r="356" spans="5:7" ht="15.75" customHeight="1" x14ac:dyDescent="0.25">
      <c r="E356" s="36"/>
      <c r="F356" s="20"/>
      <c r="G356" s="20"/>
    </row>
    <row r="357" spans="5:7" ht="15.75" customHeight="1" x14ac:dyDescent="0.25">
      <c r="E357" s="36"/>
      <c r="F357" s="20"/>
      <c r="G357" s="20"/>
    </row>
    <row r="358" spans="5:7" ht="15.75" customHeight="1" x14ac:dyDescent="0.25">
      <c r="E358" s="36"/>
      <c r="F358" s="20"/>
      <c r="G358" s="20"/>
    </row>
    <row r="359" spans="5:7" ht="15.75" customHeight="1" x14ac:dyDescent="0.25">
      <c r="E359" s="36"/>
      <c r="F359" s="20"/>
      <c r="G359" s="20"/>
    </row>
    <row r="360" spans="5:7" ht="15.75" customHeight="1" x14ac:dyDescent="0.25">
      <c r="E360" s="36"/>
      <c r="F360" s="20"/>
      <c r="G360" s="20"/>
    </row>
    <row r="361" spans="5:7" ht="15.75" customHeight="1" x14ac:dyDescent="0.25">
      <c r="E361" s="36"/>
      <c r="F361" s="20"/>
      <c r="G361" s="20"/>
    </row>
    <row r="362" spans="5:7" ht="15.75" customHeight="1" x14ac:dyDescent="0.25">
      <c r="E362" s="36"/>
      <c r="F362" s="20"/>
      <c r="G362" s="20"/>
    </row>
    <row r="363" spans="5:7" ht="15.75" customHeight="1" x14ac:dyDescent="0.25">
      <c r="E363" s="36"/>
      <c r="F363" s="20"/>
      <c r="G363" s="20"/>
    </row>
    <row r="364" spans="5:7" ht="15.75" customHeight="1" x14ac:dyDescent="0.25">
      <c r="E364" s="36"/>
      <c r="F364" s="20"/>
      <c r="G364" s="20"/>
    </row>
    <row r="365" spans="5:7" ht="15.75" customHeight="1" x14ac:dyDescent="0.25">
      <c r="E365" s="36"/>
      <c r="F365" s="20"/>
      <c r="G365" s="20"/>
    </row>
    <row r="366" spans="5:7" ht="15.75" customHeight="1" x14ac:dyDescent="0.25">
      <c r="E366" s="36"/>
      <c r="F366" s="20"/>
      <c r="G366" s="20"/>
    </row>
    <row r="367" spans="5:7" ht="15.75" customHeight="1" x14ac:dyDescent="0.25">
      <c r="E367" s="36"/>
      <c r="F367" s="20"/>
      <c r="G367" s="20"/>
    </row>
    <row r="368" spans="5:7" ht="15.75" customHeight="1" x14ac:dyDescent="0.25">
      <c r="E368" s="36"/>
      <c r="F368" s="20"/>
      <c r="G368" s="20"/>
    </row>
    <row r="369" spans="5:7" ht="15.75" customHeight="1" x14ac:dyDescent="0.25">
      <c r="E369" s="36"/>
      <c r="F369" s="20"/>
      <c r="G369" s="20"/>
    </row>
    <row r="370" spans="5:7" ht="15.75" customHeight="1" x14ac:dyDescent="0.25">
      <c r="E370" s="36"/>
      <c r="F370" s="20"/>
      <c r="G370" s="20"/>
    </row>
    <row r="371" spans="5:7" ht="15.75" customHeight="1" x14ac:dyDescent="0.25">
      <c r="E371" s="36"/>
      <c r="F371" s="20"/>
      <c r="G371" s="20"/>
    </row>
    <row r="372" spans="5:7" ht="15.75" customHeight="1" x14ac:dyDescent="0.25">
      <c r="E372" s="36"/>
      <c r="F372" s="20"/>
      <c r="G372" s="20"/>
    </row>
    <row r="373" spans="5:7" ht="15.75" customHeight="1" x14ac:dyDescent="0.25">
      <c r="E373" s="36"/>
      <c r="F373" s="20"/>
      <c r="G373" s="20"/>
    </row>
    <row r="374" spans="5:7" ht="15.75" customHeight="1" x14ac:dyDescent="0.25">
      <c r="E374" s="36"/>
      <c r="F374" s="20"/>
      <c r="G374" s="20"/>
    </row>
    <row r="375" spans="5:7" ht="15.75" customHeight="1" x14ac:dyDescent="0.25">
      <c r="E375" s="36"/>
      <c r="F375" s="20"/>
      <c r="G375" s="20"/>
    </row>
    <row r="376" spans="5:7" ht="15.75" customHeight="1" x14ac:dyDescent="0.25">
      <c r="E376" s="36"/>
      <c r="F376" s="20"/>
      <c r="G376" s="20"/>
    </row>
    <row r="377" spans="5:7" ht="15.75" customHeight="1" x14ac:dyDescent="0.25">
      <c r="E377" s="36"/>
      <c r="F377" s="20"/>
      <c r="G377" s="20"/>
    </row>
    <row r="378" spans="5:7" ht="15.75" customHeight="1" x14ac:dyDescent="0.25">
      <c r="E378" s="36"/>
      <c r="F378" s="20"/>
      <c r="G378" s="20"/>
    </row>
    <row r="379" spans="5:7" ht="15.75" customHeight="1" x14ac:dyDescent="0.25">
      <c r="E379" s="36"/>
      <c r="F379" s="20"/>
      <c r="G379" s="20"/>
    </row>
    <row r="380" spans="5:7" ht="15.75" customHeight="1" x14ac:dyDescent="0.25">
      <c r="E380" s="36"/>
      <c r="F380" s="20"/>
      <c r="G380" s="20"/>
    </row>
    <row r="381" spans="5:7" ht="15.75" customHeight="1" x14ac:dyDescent="0.25">
      <c r="E381" s="36"/>
      <c r="F381" s="20"/>
      <c r="G381" s="20"/>
    </row>
    <row r="382" spans="5:7" ht="15.75" customHeight="1" x14ac:dyDescent="0.25">
      <c r="E382" s="36"/>
      <c r="F382" s="20"/>
      <c r="G382" s="20"/>
    </row>
    <row r="383" spans="5:7" ht="15.75" customHeight="1" x14ac:dyDescent="0.25">
      <c r="E383" s="36"/>
      <c r="F383" s="20"/>
      <c r="G383" s="20"/>
    </row>
    <row r="384" spans="5:7" ht="15.75" customHeight="1" x14ac:dyDescent="0.25">
      <c r="E384" s="36"/>
      <c r="F384" s="20"/>
      <c r="G384" s="20"/>
    </row>
    <row r="385" spans="5:7" ht="15.75" customHeight="1" x14ac:dyDescent="0.25">
      <c r="E385" s="36"/>
      <c r="F385" s="20"/>
      <c r="G385" s="20"/>
    </row>
    <row r="386" spans="5:7" ht="15.75" customHeight="1" x14ac:dyDescent="0.25">
      <c r="E386" s="36"/>
      <c r="F386" s="20"/>
      <c r="G386" s="20"/>
    </row>
    <row r="387" spans="5:7" ht="15.75" customHeight="1" x14ac:dyDescent="0.25">
      <c r="E387" s="36"/>
      <c r="F387" s="20"/>
      <c r="G387" s="20"/>
    </row>
    <row r="388" spans="5:7" ht="15.75" customHeight="1" x14ac:dyDescent="0.25">
      <c r="E388" s="36"/>
      <c r="F388" s="20"/>
      <c r="G388" s="20"/>
    </row>
    <row r="389" spans="5:7" ht="15.75" customHeight="1" x14ac:dyDescent="0.25">
      <c r="E389" s="36"/>
      <c r="F389" s="20"/>
      <c r="G389" s="20"/>
    </row>
    <row r="390" spans="5:7" ht="15.75" customHeight="1" x14ac:dyDescent="0.25">
      <c r="E390" s="36"/>
      <c r="F390" s="20"/>
      <c r="G390" s="20"/>
    </row>
    <row r="391" spans="5:7" ht="15.75" customHeight="1" x14ac:dyDescent="0.25">
      <c r="E391" s="36"/>
      <c r="F391" s="20"/>
      <c r="G391" s="20"/>
    </row>
    <row r="392" spans="5:7" ht="15.75" customHeight="1" x14ac:dyDescent="0.25">
      <c r="E392" s="36"/>
      <c r="F392" s="20"/>
      <c r="G392" s="20"/>
    </row>
    <row r="393" spans="5:7" ht="15.75" customHeight="1" x14ac:dyDescent="0.25">
      <c r="E393" s="36"/>
      <c r="F393" s="20"/>
      <c r="G393" s="20"/>
    </row>
    <row r="394" spans="5:7" ht="15.75" customHeight="1" x14ac:dyDescent="0.25">
      <c r="E394" s="36"/>
      <c r="F394" s="20"/>
      <c r="G394" s="20"/>
    </row>
    <row r="395" spans="5:7" ht="15.75" customHeight="1" x14ac:dyDescent="0.25">
      <c r="E395" s="36"/>
      <c r="F395" s="20"/>
      <c r="G395" s="20"/>
    </row>
    <row r="396" spans="5:7" ht="15.75" customHeight="1" x14ac:dyDescent="0.25">
      <c r="E396" s="36"/>
      <c r="F396" s="20"/>
      <c r="G396" s="20"/>
    </row>
    <row r="397" spans="5:7" ht="15.75" customHeight="1" x14ac:dyDescent="0.25">
      <c r="E397" s="36"/>
      <c r="F397" s="20"/>
      <c r="G397" s="20"/>
    </row>
    <row r="398" spans="5:7" ht="15.75" customHeight="1" x14ac:dyDescent="0.25">
      <c r="E398" s="36"/>
      <c r="F398" s="20"/>
      <c r="G398" s="20"/>
    </row>
    <row r="399" spans="5:7" ht="15.75" customHeight="1" x14ac:dyDescent="0.25">
      <c r="E399" s="36"/>
      <c r="F399" s="20"/>
      <c r="G399" s="20"/>
    </row>
    <row r="400" spans="5:7" ht="15.75" customHeight="1" x14ac:dyDescent="0.25">
      <c r="E400" s="36"/>
      <c r="F400" s="20"/>
      <c r="G400" s="20"/>
    </row>
    <row r="401" spans="5:7" ht="15.75" customHeight="1" x14ac:dyDescent="0.25">
      <c r="E401" s="36"/>
      <c r="F401" s="20"/>
      <c r="G401" s="20"/>
    </row>
    <row r="402" spans="5:7" ht="15.75" customHeight="1" x14ac:dyDescent="0.25">
      <c r="E402" s="36"/>
      <c r="F402" s="20"/>
      <c r="G402" s="20"/>
    </row>
    <row r="403" spans="5:7" ht="15.75" customHeight="1" x14ac:dyDescent="0.25">
      <c r="E403" s="36"/>
      <c r="F403" s="20"/>
      <c r="G403" s="20"/>
    </row>
    <row r="404" spans="5:7" ht="15.75" customHeight="1" x14ac:dyDescent="0.25">
      <c r="E404" s="36"/>
      <c r="F404" s="20"/>
      <c r="G404" s="20"/>
    </row>
    <row r="405" spans="5:7" ht="15.75" customHeight="1" x14ac:dyDescent="0.25">
      <c r="E405" s="36"/>
      <c r="F405" s="20"/>
      <c r="G405" s="20"/>
    </row>
    <row r="406" spans="5:7" ht="15.75" customHeight="1" x14ac:dyDescent="0.25">
      <c r="E406" s="36"/>
      <c r="F406" s="20"/>
      <c r="G406" s="20"/>
    </row>
    <row r="407" spans="5:7" ht="15.75" customHeight="1" x14ac:dyDescent="0.25">
      <c r="E407" s="36"/>
      <c r="F407" s="20"/>
      <c r="G407" s="20"/>
    </row>
    <row r="408" spans="5:7" ht="15.75" customHeight="1" x14ac:dyDescent="0.25">
      <c r="E408" s="36"/>
      <c r="F408" s="20"/>
      <c r="G408" s="20"/>
    </row>
    <row r="409" spans="5:7" ht="15.75" customHeight="1" x14ac:dyDescent="0.25">
      <c r="E409" s="36"/>
      <c r="F409" s="20"/>
      <c r="G409" s="20"/>
    </row>
    <row r="410" spans="5:7" ht="15.75" customHeight="1" x14ac:dyDescent="0.25">
      <c r="E410" s="36"/>
      <c r="F410" s="20"/>
      <c r="G410" s="20"/>
    </row>
    <row r="411" spans="5:7" ht="15.75" customHeight="1" x14ac:dyDescent="0.25">
      <c r="E411" s="36"/>
      <c r="F411" s="20"/>
      <c r="G411" s="20"/>
    </row>
    <row r="412" spans="5:7" ht="15.75" customHeight="1" x14ac:dyDescent="0.25">
      <c r="E412" s="36"/>
      <c r="F412" s="20"/>
      <c r="G412" s="20"/>
    </row>
    <row r="413" spans="5:7" ht="15.75" customHeight="1" x14ac:dyDescent="0.25">
      <c r="E413" s="36"/>
      <c r="F413" s="20"/>
      <c r="G413" s="20"/>
    </row>
    <row r="414" spans="5:7" ht="15.75" customHeight="1" x14ac:dyDescent="0.25">
      <c r="E414" s="36"/>
      <c r="F414" s="20"/>
      <c r="G414" s="20"/>
    </row>
    <row r="415" spans="5:7" ht="15.75" customHeight="1" x14ac:dyDescent="0.25">
      <c r="E415" s="36"/>
      <c r="F415" s="20"/>
      <c r="G415" s="20"/>
    </row>
    <row r="416" spans="5:7" ht="15.75" customHeight="1" x14ac:dyDescent="0.25">
      <c r="E416" s="36"/>
      <c r="F416" s="20"/>
      <c r="G416" s="20"/>
    </row>
    <row r="417" spans="5:7" ht="15.75" customHeight="1" x14ac:dyDescent="0.25">
      <c r="E417" s="36"/>
      <c r="F417" s="20"/>
      <c r="G417" s="20"/>
    </row>
    <row r="418" spans="5:7" ht="15.75" customHeight="1" x14ac:dyDescent="0.25">
      <c r="E418" s="36"/>
      <c r="F418" s="20"/>
      <c r="G418" s="20"/>
    </row>
    <row r="419" spans="5:7" ht="15.75" customHeight="1" x14ac:dyDescent="0.25">
      <c r="E419" s="36"/>
      <c r="F419" s="20"/>
      <c r="G419" s="20"/>
    </row>
    <row r="420" spans="5:7" ht="15.75" customHeight="1" x14ac:dyDescent="0.25">
      <c r="E420" s="36"/>
      <c r="F420" s="20"/>
      <c r="G420" s="20"/>
    </row>
    <row r="421" spans="5:7" ht="15.75" customHeight="1" x14ac:dyDescent="0.25">
      <c r="E421" s="36"/>
      <c r="F421" s="20"/>
      <c r="G421" s="20"/>
    </row>
    <row r="422" spans="5:7" ht="15.75" customHeight="1" x14ac:dyDescent="0.25">
      <c r="E422" s="36"/>
      <c r="F422" s="20"/>
      <c r="G422" s="20"/>
    </row>
    <row r="423" spans="5:7" ht="15.75" customHeight="1" x14ac:dyDescent="0.25">
      <c r="E423" s="36"/>
      <c r="F423" s="20"/>
      <c r="G423" s="20"/>
    </row>
    <row r="424" spans="5:7" ht="15.75" customHeight="1" x14ac:dyDescent="0.25">
      <c r="E424" s="36"/>
      <c r="F424" s="20"/>
      <c r="G424" s="20"/>
    </row>
    <row r="425" spans="5:7" ht="15.75" customHeight="1" x14ac:dyDescent="0.25">
      <c r="E425" s="36"/>
      <c r="F425" s="20"/>
      <c r="G425" s="20"/>
    </row>
    <row r="426" spans="5:7" ht="15.75" customHeight="1" x14ac:dyDescent="0.25">
      <c r="E426" s="36"/>
      <c r="F426" s="20"/>
      <c r="G426" s="20"/>
    </row>
    <row r="427" spans="5:7" ht="15.75" customHeight="1" x14ac:dyDescent="0.25">
      <c r="E427" s="36"/>
      <c r="F427" s="20"/>
      <c r="G427" s="20"/>
    </row>
    <row r="428" spans="5:7" ht="15.75" customHeight="1" x14ac:dyDescent="0.25">
      <c r="E428" s="36"/>
      <c r="F428" s="20"/>
      <c r="G428" s="20"/>
    </row>
    <row r="429" spans="5:7" ht="15.75" customHeight="1" x14ac:dyDescent="0.25">
      <c r="E429" s="36"/>
      <c r="F429" s="20"/>
      <c r="G429" s="20"/>
    </row>
    <row r="430" spans="5:7" ht="15.75" customHeight="1" x14ac:dyDescent="0.25">
      <c r="E430" s="36"/>
      <c r="F430" s="20"/>
      <c r="G430" s="20"/>
    </row>
    <row r="431" spans="5:7" ht="15.75" customHeight="1" x14ac:dyDescent="0.25">
      <c r="E431" s="36"/>
      <c r="F431" s="20"/>
      <c r="G431" s="20"/>
    </row>
    <row r="432" spans="5:7" ht="15.75" customHeight="1" x14ac:dyDescent="0.25">
      <c r="E432" s="36"/>
      <c r="F432" s="20"/>
      <c r="G432" s="20"/>
    </row>
    <row r="433" spans="5:7" ht="15.75" customHeight="1" x14ac:dyDescent="0.25">
      <c r="E433" s="36"/>
      <c r="F433" s="20"/>
      <c r="G433" s="20"/>
    </row>
    <row r="434" spans="5:7" ht="15.75" customHeight="1" x14ac:dyDescent="0.25">
      <c r="E434" s="36"/>
      <c r="F434" s="20"/>
      <c r="G434" s="20"/>
    </row>
    <row r="435" spans="5:7" ht="15.75" customHeight="1" x14ac:dyDescent="0.25">
      <c r="E435" s="36"/>
      <c r="F435" s="20"/>
      <c r="G435" s="20"/>
    </row>
    <row r="436" spans="5:7" ht="15.75" customHeight="1" x14ac:dyDescent="0.25">
      <c r="E436" s="36"/>
      <c r="F436" s="20"/>
      <c r="G436" s="20"/>
    </row>
    <row r="437" spans="5:7" ht="15.75" customHeight="1" x14ac:dyDescent="0.25">
      <c r="E437" s="36"/>
      <c r="F437" s="20"/>
      <c r="G437" s="20"/>
    </row>
    <row r="438" spans="5:7" ht="15.75" customHeight="1" x14ac:dyDescent="0.25">
      <c r="E438" s="36"/>
      <c r="F438" s="20"/>
      <c r="G438" s="20"/>
    </row>
    <row r="439" spans="5:7" ht="15.75" customHeight="1" x14ac:dyDescent="0.25">
      <c r="E439" s="36"/>
      <c r="F439" s="20"/>
      <c r="G439" s="20"/>
    </row>
    <row r="440" spans="5:7" ht="15.75" customHeight="1" x14ac:dyDescent="0.25">
      <c r="E440" s="36"/>
      <c r="F440" s="20"/>
      <c r="G440" s="20"/>
    </row>
    <row r="441" spans="5:7" ht="15.75" customHeight="1" x14ac:dyDescent="0.25">
      <c r="E441" s="36"/>
      <c r="F441" s="20"/>
      <c r="G441" s="20"/>
    </row>
    <row r="442" spans="5:7" ht="15.75" customHeight="1" x14ac:dyDescent="0.25">
      <c r="E442" s="36"/>
      <c r="F442" s="20"/>
      <c r="G442" s="20"/>
    </row>
    <row r="443" spans="5:7" ht="15.75" customHeight="1" x14ac:dyDescent="0.25">
      <c r="E443" s="36"/>
      <c r="F443" s="20"/>
      <c r="G443" s="20"/>
    </row>
    <row r="444" spans="5:7" ht="15.75" customHeight="1" x14ac:dyDescent="0.25">
      <c r="E444" s="36"/>
      <c r="F444" s="20"/>
      <c r="G444" s="20"/>
    </row>
    <row r="445" spans="5:7" ht="15.75" customHeight="1" x14ac:dyDescent="0.25">
      <c r="E445" s="36"/>
      <c r="F445" s="20"/>
      <c r="G445" s="20"/>
    </row>
    <row r="446" spans="5:7" ht="15.75" customHeight="1" x14ac:dyDescent="0.25">
      <c r="E446" s="36"/>
      <c r="F446" s="20"/>
      <c r="G446" s="20"/>
    </row>
    <row r="447" spans="5:7" ht="15.75" customHeight="1" x14ac:dyDescent="0.25">
      <c r="E447" s="36"/>
      <c r="F447" s="20"/>
      <c r="G447" s="20"/>
    </row>
    <row r="448" spans="5:7" ht="15.75" customHeight="1" x14ac:dyDescent="0.25">
      <c r="E448" s="36"/>
      <c r="F448" s="20"/>
      <c r="G448" s="20"/>
    </row>
    <row r="449" spans="5:7" ht="15.75" customHeight="1" x14ac:dyDescent="0.25">
      <c r="E449" s="36"/>
      <c r="F449" s="20"/>
      <c r="G449" s="20"/>
    </row>
    <row r="450" spans="5:7" ht="15.75" customHeight="1" x14ac:dyDescent="0.25">
      <c r="E450" s="36"/>
      <c r="F450" s="20"/>
      <c r="G450" s="20"/>
    </row>
    <row r="451" spans="5:7" ht="15.75" customHeight="1" x14ac:dyDescent="0.25">
      <c r="E451" s="36"/>
      <c r="F451" s="20"/>
      <c r="G451" s="20"/>
    </row>
    <row r="452" spans="5:7" ht="15.75" customHeight="1" x14ac:dyDescent="0.25">
      <c r="E452" s="36"/>
      <c r="F452" s="20"/>
      <c r="G452" s="20"/>
    </row>
    <row r="453" spans="5:7" ht="15.75" customHeight="1" x14ac:dyDescent="0.25">
      <c r="E453" s="36"/>
      <c r="F453" s="20"/>
      <c r="G453" s="20"/>
    </row>
    <row r="454" spans="5:7" ht="15.75" customHeight="1" x14ac:dyDescent="0.25">
      <c r="E454" s="36"/>
      <c r="F454" s="20"/>
      <c r="G454" s="20"/>
    </row>
    <row r="455" spans="5:7" ht="15.75" customHeight="1" x14ac:dyDescent="0.25">
      <c r="E455" s="36"/>
      <c r="F455" s="20"/>
      <c r="G455" s="20"/>
    </row>
    <row r="456" spans="5:7" ht="15.75" customHeight="1" x14ac:dyDescent="0.25">
      <c r="E456" s="36"/>
      <c r="F456" s="20"/>
      <c r="G456" s="20"/>
    </row>
    <row r="457" spans="5:7" ht="15.75" customHeight="1" x14ac:dyDescent="0.25">
      <c r="E457" s="36"/>
      <c r="F457" s="20"/>
      <c r="G457" s="20"/>
    </row>
    <row r="458" spans="5:7" ht="15.75" customHeight="1" x14ac:dyDescent="0.25">
      <c r="E458" s="36"/>
      <c r="F458" s="20"/>
      <c r="G458" s="20"/>
    </row>
    <row r="459" spans="5:7" ht="15.75" customHeight="1" x14ac:dyDescent="0.25">
      <c r="E459" s="36"/>
      <c r="F459" s="20"/>
      <c r="G459" s="20"/>
    </row>
    <row r="460" spans="5:7" ht="15.75" customHeight="1" x14ac:dyDescent="0.25">
      <c r="E460" s="36"/>
      <c r="F460" s="20"/>
      <c r="G460" s="20"/>
    </row>
    <row r="461" spans="5:7" ht="15.75" customHeight="1" x14ac:dyDescent="0.25">
      <c r="E461" s="36"/>
      <c r="F461" s="20"/>
      <c r="G461" s="20"/>
    </row>
    <row r="462" spans="5:7" ht="15.75" customHeight="1" x14ac:dyDescent="0.25">
      <c r="E462" s="36"/>
      <c r="F462" s="20"/>
      <c r="G462" s="20"/>
    </row>
    <row r="463" spans="5:7" ht="15.75" customHeight="1" x14ac:dyDescent="0.25">
      <c r="E463" s="36"/>
      <c r="F463" s="20"/>
      <c r="G463" s="20"/>
    </row>
    <row r="464" spans="5:7" ht="15.75" customHeight="1" x14ac:dyDescent="0.25">
      <c r="E464" s="36"/>
      <c r="F464" s="20"/>
      <c r="G464" s="20"/>
    </row>
    <row r="465" spans="5:7" ht="15.75" customHeight="1" x14ac:dyDescent="0.25">
      <c r="E465" s="36"/>
      <c r="F465" s="20"/>
      <c r="G465" s="20"/>
    </row>
    <row r="466" spans="5:7" ht="15.75" customHeight="1" x14ac:dyDescent="0.25">
      <c r="E466" s="36"/>
      <c r="F466" s="20"/>
      <c r="G466" s="20"/>
    </row>
    <row r="467" spans="5:7" ht="15.75" customHeight="1" x14ac:dyDescent="0.25">
      <c r="E467" s="36"/>
      <c r="F467" s="20"/>
      <c r="G467" s="20"/>
    </row>
    <row r="468" spans="5:7" ht="15.75" customHeight="1" x14ac:dyDescent="0.25">
      <c r="E468" s="36"/>
      <c r="F468" s="20"/>
      <c r="G468" s="20"/>
    </row>
    <row r="469" spans="5:7" ht="15.75" customHeight="1" x14ac:dyDescent="0.25">
      <c r="E469" s="36"/>
      <c r="F469" s="20"/>
      <c r="G469" s="20"/>
    </row>
    <row r="470" spans="5:7" ht="15.75" customHeight="1" x14ac:dyDescent="0.25">
      <c r="E470" s="36"/>
      <c r="F470" s="20"/>
      <c r="G470" s="20"/>
    </row>
    <row r="471" spans="5:7" ht="15.75" customHeight="1" x14ac:dyDescent="0.25">
      <c r="E471" s="36"/>
      <c r="F471" s="20"/>
      <c r="G471" s="20"/>
    </row>
    <row r="472" spans="5:7" ht="15.75" customHeight="1" x14ac:dyDescent="0.25">
      <c r="E472" s="36"/>
      <c r="F472" s="20"/>
      <c r="G472" s="20"/>
    </row>
    <row r="473" spans="5:7" ht="15.75" customHeight="1" x14ac:dyDescent="0.25">
      <c r="E473" s="36"/>
      <c r="F473" s="20"/>
      <c r="G473" s="20"/>
    </row>
    <row r="474" spans="5:7" ht="15.75" customHeight="1" x14ac:dyDescent="0.25">
      <c r="E474" s="36"/>
      <c r="F474" s="20"/>
      <c r="G474" s="20"/>
    </row>
    <row r="475" spans="5:7" ht="15.75" customHeight="1" x14ac:dyDescent="0.25">
      <c r="E475" s="36"/>
      <c r="F475" s="20"/>
      <c r="G475" s="20"/>
    </row>
    <row r="476" spans="5:7" ht="15.75" customHeight="1" x14ac:dyDescent="0.25">
      <c r="E476" s="36"/>
      <c r="F476" s="20"/>
      <c r="G476" s="20"/>
    </row>
    <row r="477" spans="5:7" ht="15.75" customHeight="1" x14ac:dyDescent="0.25">
      <c r="E477" s="36"/>
      <c r="F477" s="20"/>
      <c r="G477" s="20"/>
    </row>
    <row r="478" spans="5:7" ht="15.75" customHeight="1" x14ac:dyDescent="0.25">
      <c r="E478" s="36"/>
      <c r="F478" s="20"/>
      <c r="G478" s="20"/>
    </row>
    <row r="479" spans="5:7" ht="15.75" customHeight="1" x14ac:dyDescent="0.25">
      <c r="E479" s="36"/>
      <c r="F479" s="20"/>
      <c r="G479" s="20"/>
    </row>
    <row r="480" spans="5:7" ht="15.75" customHeight="1" x14ac:dyDescent="0.25">
      <c r="E480" s="36"/>
      <c r="F480" s="20"/>
      <c r="G480" s="20"/>
    </row>
    <row r="481" spans="5:7" ht="15.75" customHeight="1" x14ac:dyDescent="0.25">
      <c r="E481" s="36"/>
      <c r="F481" s="20"/>
      <c r="G481" s="20"/>
    </row>
    <row r="482" spans="5:7" ht="15.75" customHeight="1" x14ac:dyDescent="0.25">
      <c r="E482" s="36"/>
      <c r="F482" s="20"/>
      <c r="G482" s="20"/>
    </row>
    <row r="483" spans="5:7" ht="15.75" customHeight="1" x14ac:dyDescent="0.25">
      <c r="E483" s="36"/>
      <c r="F483" s="20"/>
      <c r="G483" s="20"/>
    </row>
    <row r="484" spans="5:7" ht="15.75" customHeight="1" x14ac:dyDescent="0.25">
      <c r="E484" s="36"/>
      <c r="F484" s="20"/>
      <c r="G484" s="20"/>
    </row>
    <row r="485" spans="5:7" ht="15.75" customHeight="1" x14ac:dyDescent="0.25">
      <c r="E485" s="36"/>
      <c r="F485" s="20"/>
      <c r="G485" s="20"/>
    </row>
    <row r="486" spans="5:7" ht="15.75" customHeight="1" x14ac:dyDescent="0.25">
      <c r="E486" s="36"/>
      <c r="F486" s="20"/>
      <c r="G486" s="20"/>
    </row>
    <row r="487" spans="5:7" ht="15.75" customHeight="1" x14ac:dyDescent="0.25">
      <c r="E487" s="36"/>
      <c r="F487" s="20"/>
      <c r="G487" s="20"/>
    </row>
    <row r="488" spans="5:7" ht="15.75" customHeight="1" x14ac:dyDescent="0.25">
      <c r="E488" s="36"/>
      <c r="F488" s="20"/>
      <c r="G488" s="20"/>
    </row>
    <row r="489" spans="5:7" ht="15.75" customHeight="1" x14ac:dyDescent="0.25">
      <c r="E489" s="36"/>
      <c r="F489" s="20"/>
      <c r="G489" s="20"/>
    </row>
    <row r="490" spans="5:7" ht="15.75" customHeight="1" x14ac:dyDescent="0.25">
      <c r="E490" s="36"/>
      <c r="F490" s="20"/>
      <c r="G490" s="20"/>
    </row>
    <row r="491" spans="5:7" ht="15.75" customHeight="1" x14ac:dyDescent="0.25">
      <c r="E491" s="36"/>
      <c r="F491" s="20"/>
      <c r="G491" s="20"/>
    </row>
    <row r="492" spans="5:7" ht="15.75" customHeight="1" x14ac:dyDescent="0.25">
      <c r="E492" s="36"/>
      <c r="F492" s="20"/>
      <c r="G492" s="20"/>
    </row>
    <row r="493" spans="5:7" ht="15.75" customHeight="1" x14ac:dyDescent="0.25">
      <c r="E493" s="36"/>
      <c r="F493" s="20"/>
      <c r="G493" s="20"/>
    </row>
    <row r="494" spans="5:7" ht="15.75" customHeight="1" x14ac:dyDescent="0.25">
      <c r="E494" s="36"/>
      <c r="F494" s="20"/>
      <c r="G494" s="20"/>
    </row>
    <row r="495" spans="5:7" ht="15.75" customHeight="1" x14ac:dyDescent="0.25">
      <c r="E495" s="36"/>
      <c r="F495" s="20"/>
      <c r="G495" s="20"/>
    </row>
    <row r="496" spans="5:7" ht="15.75" customHeight="1" x14ac:dyDescent="0.25">
      <c r="E496" s="36"/>
      <c r="F496" s="20"/>
      <c r="G496" s="20"/>
    </row>
    <row r="497" spans="5:7" ht="15.75" customHeight="1" x14ac:dyDescent="0.25">
      <c r="E497" s="36"/>
      <c r="F497" s="20"/>
      <c r="G497" s="20"/>
    </row>
    <row r="498" spans="5:7" ht="15.75" customHeight="1" x14ac:dyDescent="0.25">
      <c r="E498" s="36"/>
      <c r="F498" s="20"/>
      <c r="G498" s="20"/>
    </row>
    <row r="499" spans="5:7" ht="15.75" customHeight="1" x14ac:dyDescent="0.25">
      <c r="E499" s="36"/>
      <c r="F499" s="20"/>
      <c r="G499" s="20"/>
    </row>
    <row r="500" spans="5:7" ht="15.75" customHeight="1" x14ac:dyDescent="0.25">
      <c r="E500" s="36"/>
      <c r="F500" s="20"/>
      <c r="G500" s="20"/>
    </row>
    <row r="501" spans="5:7" ht="15.75" customHeight="1" x14ac:dyDescent="0.25">
      <c r="E501" s="36"/>
      <c r="F501" s="20"/>
      <c r="G501" s="20"/>
    </row>
    <row r="502" spans="5:7" ht="15.75" customHeight="1" x14ac:dyDescent="0.25">
      <c r="E502" s="36"/>
      <c r="F502" s="20"/>
      <c r="G502" s="20"/>
    </row>
    <row r="503" spans="5:7" ht="15.75" customHeight="1" x14ac:dyDescent="0.25">
      <c r="E503" s="36"/>
      <c r="F503" s="20"/>
      <c r="G503" s="20"/>
    </row>
    <row r="504" spans="5:7" ht="15.75" customHeight="1" x14ac:dyDescent="0.25">
      <c r="E504" s="36"/>
      <c r="F504" s="20"/>
      <c r="G504" s="20"/>
    </row>
    <row r="505" spans="5:7" ht="15.75" customHeight="1" x14ac:dyDescent="0.25">
      <c r="E505" s="36"/>
      <c r="F505" s="20"/>
      <c r="G505" s="20"/>
    </row>
    <row r="506" spans="5:7" ht="15.75" customHeight="1" x14ac:dyDescent="0.25">
      <c r="E506" s="36"/>
      <c r="F506" s="20"/>
      <c r="G506" s="20"/>
    </row>
    <row r="507" spans="5:7" ht="15.75" customHeight="1" x14ac:dyDescent="0.25">
      <c r="E507" s="36"/>
      <c r="F507" s="20"/>
      <c r="G507" s="20"/>
    </row>
    <row r="508" spans="5:7" ht="15.75" customHeight="1" x14ac:dyDescent="0.25">
      <c r="E508" s="36"/>
      <c r="F508" s="20"/>
      <c r="G508" s="20"/>
    </row>
    <row r="509" spans="5:7" ht="15.75" customHeight="1" x14ac:dyDescent="0.25">
      <c r="E509" s="36"/>
      <c r="F509" s="20"/>
      <c r="G509" s="20"/>
    </row>
    <row r="510" spans="5:7" ht="15.75" customHeight="1" x14ac:dyDescent="0.25">
      <c r="E510" s="36"/>
      <c r="F510" s="20"/>
      <c r="G510" s="20"/>
    </row>
    <row r="511" spans="5:7" ht="15.75" customHeight="1" x14ac:dyDescent="0.25">
      <c r="E511" s="36"/>
      <c r="F511" s="20"/>
      <c r="G511" s="20"/>
    </row>
    <row r="512" spans="5:7" ht="15.75" customHeight="1" x14ac:dyDescent="0.25">
      <c r="E512" s="36"/>
      <c r="F512" s="20"/>
      <c r="G512" s="20"/>
    </row>
    <row r="513" spans="5:7" ht="15.75" customHeight="1" x14ac:dyDescent="0.25">
      <c r="E513" s="36"/>
      <c r="F513" s="20"/>
      <c r="G513" s="20"/>
    </row>
    <row r="514" spans="5:7" ht="15.75" customHeight="1" x14ac:dyDescent="0.25">
      <c r="E514" s="36"/>
      <c r="F514" s="20"/>
      <c r="G514" s="20"/>
    </row>
    <row r="515" spans="5:7" ht="15.75" customHeight="1" x14ac:dyDescent="0.25">
      <c r="E515" s="36"/>
      <c r="F515" s="20"/>
      <c r="G515" s="20"/>
    </row>
    <row r="516" spans="5:7" ht="15.75" customHeight="1" x14ac:dyDescent="0.25">
      <c r="E516" s="36"/>
      <c r="F516" s="20"/>
      <c r="G516" s="20"/>
    </row>
    <row r="517" spans="5:7" ht="15.75" customHeight="1" x14ac:dyDescent="0.25">
      <c r="E517" s="36"/>
      <c r="F517" s="20"/>
      <c r="G517" s="20"/>
    </row>
    <row r="518" spans="5:7" ht="15.75" customHeight="1" x14ac:dyDescent="0.25">
      <c r="E518" s="36"/>
      <c r="F518" s="20"/>
      <c r="G518" s="20"/>
    </row>
    <row r="519" spans="5:7" ht="15.75" customHeight="1" x14ac:dyDescent="0.25">
      <c r="E519" s="36"/>
      <c r="F519" s="20"/>
      <c r="G519" s="20"/>
    </row>
    <row r="520" spans="5:7" ht="15.75" customHeight="1" x14ac:dyDescent="0.25">
      <c r="E520" s="36"/>
      <c r="F520" s="20"/>
      <c r="G520" s="20"/>
    </row>
    <row r="521" spans="5:7" ht="15.75" customHeight="1" x14ac:dyDescent="0.25">
      <c r="E521" s="36"/>
      <c r="F521" s="20"/>
      <c r="G521" s="20"/>
    </row>
    <row r="522" spans="5:7" ht="15.75" customHeight="1" x14ac:dyDescent="0.25">
      <c r="E522" s="36"/>
      <c r="F522" s="20"/>
      <c r="G522" s="20"/>
    </row>
    <row r="523" spans="5:7" ht="15.75" customHeight="1" x14ac:dyDescent="0.25">
      <c r="E523" s="36"/>
      <c r="F523" s="20"/>
      <c r="G523" s="20"/>
    </row>
    <row r="524" spans="5:7" ht="15.75" customHeight="1" x14ac:dyDescent="0.25">
      <c r="E524" s="36"/>
      <c r="F524" s="20"/>
      <c r="G524" s="20"/>
    </row>
    <row r="525" spans="5:7" ht="15.75" customHeight="1" x14ac:dyDescent="0.25">
      <c r="E525" s="36"/>
      <c r="F525" s="20"/>
      <c r="G525" s="20"/>
    </row>
    <row r="526" spans="5:7" ht="15.75" customHeight="1" x14ac:dyDescent="0.25">
      <c r="E526" s="36"/>
      <c r="F526" s="20"/>
      <c r="G526" s="20"/>
    </row>
    <row r="527" spans="5:7" ht="15.75" customHeight="1" x14ac:dyDescent="0.25">
      <c r="E527" s="36"/>
      <c r="F527" s="20"/>
      <c r="G527" s="20"/>
    </row>
    <row r="528" spans="5:7" ht="15.75" customHeight="1" x14ac:dyDescent="0.25">
      <c r="E528" s="36"/>
      <c r="F528" s="20"/>
      <c r="G528" s="20"/>
    </row>
    <row r="529" spans="5:7" ht="15.75" customHeight="1" x14ac:dyDescent="0.25">
      <c r="E529" s="36"/>
      <c r="F529" s="20"/>
      <c r="G529" s="20"/>
    </row>
    <row r="530" spans="5:7" ht="15.75" customHeight="1" x14ac:dyDescent="0.25">
      <c r="E530" s="36"/>
      <c r="F530" s="20"/>
      <c r="G530" s="20"/>
    </row>
    <row r="531" spans="5:7" ht="15.75" customHeight="1" x14ac:dyDescent="0.25">
      <c r="E531" s="36"/>
      <c r="F531" s="20"/>
      <c r="G531" s="20"/>
    </row>
    <row r="532" spans="5:7" ht="15.75" customHeight="1" x14ac:dyDescent="0.25">
      <c r="E532" s="36"/>
      <c r="F532" s="20"/>
      <c r="G532" s="20"/>
    </row>
    <row r="533" spans="5:7" ht="15.75" customHeight="1" x14ac:dyDescent="0.25">
      <c r="E533" s="36"/>
      <c r="F533" s="20"/>
      <c r="G533" s="20"/>
    </row>
    <row r="534" spans="5:7" ht="15.75" customHeight="1" x14ac:dyDescent="0.25">
      <c r="E534" s="36"/>
      <c r="F534" s="20"/>
      <c r="G534" s="20"/>
    </row>
    <row r="535" spans="5:7" ht="15.75" customHeight="1" x14ac:dyDescent="0.25">
      <c r="E535" s="36"/>
      <c r="F535" s="20"/>
      <c r="G535" s="20"/>
    </row>
    <row r="536" spans="5:7" ht="15.75" customHeight="1" x14ac:dyDescent="0.25">
      <c r="E536" s="36"/>
      <c r="F536" s="20"/>
      <c r="G536" s="20"/>
    </row>
    <row r="537" spans="5:7" ht="15.75" customHeight="1" x14ac:dyDescent="0.25">
      <c r="E537" s="36"/>
      <c r="F537" s="20"/>
      <c r="G537" s="20"/>
    </row>
    <row r="538" spans="5:7" ht="15.75" customHeight="1" x14ac:dyDescent="0.25">
      <c r="E538" s="36"/>
      <c r="F538" s="20"/>
      <c r="G538" s="20"/>
    </row>
    <row r="539" spans="5:7" ht="15.75" customHeight="1" x14ac:dyDescent="0.25">
      <c r="E539" s="36"/>
      <c r="F539" s="20"/>
      <c r="G539" s="20"/>
    </row>
    <row r="540" spans="5:7" ht="15.75" customHeight="1" x14ac:dyDescent="0.25">
      <c r="E540" s="36"/>
      <c r="F540" s="20"/>
      <c r="G540" s="20"/>
    </row>
    <row r="541" spans="5:7" ht="15.75" customHeight="1" x14ac:dyDescent="0.25">
      <c r="E541" s="36"/>
      <c r="F541" s="20"/>
      <c r="G541" s="20"/>
    </row>
    <row r="542" spans="5:7" ht="15.75" customHeight="1" x14ac:dyDescent="0.25">
      <c r="E542" s="36"/>
      <c r="F542" s="20"/>
      <c r="G542" s="20"/>
    </row>
    <row r="543" spans="5:7" ht="15.75" customHeight="1" x14ac:dyDescent="0.25">
      <c r="E543" s="36"/>
      <c r="F543" s="20"/>
      <c r="G543" s="20"/>
    </row>
    <row r="544" spans="5:7" ht="15.75" customHeight="1" x14ac:dyDescent="0.25">
      <c r="E544" s="36"/>
      <c r="F544" s="20"/>
      <c r="G544" s="20"/>
    </row>
    <row r="545" spans="5:7" ht="15.75" customHeight="1" x14ac:dyDescent="0.25">
      <c r="E545" s="36"/>
      <c r="F545" s="20"/>
      <c r="G545" s="20"/>
    </row>
    <row r="546" spans="5:7" ht="15.75" customHeight="1" x14ac:dyDescent="0.25">
      <c r="E546" s="36"/>
      <c r="F546" s="20"/>
      <c r="G546" s="20"/>
    </row>
    <row r="547" spans="5:7" ht="15.75" customHeight="1" x14ac:dyDescent="0.25">
      <c r="E547" s="36"/>
      <c r="F547" s="20"/>
      <c r="G547" s="20"/>
    </row>
    <row r="548" spans="5:7" ht="15.75" customHeight="1" x14ac:dyDescent="0.25">
      <c r="E548" s="36"/>
      <c r="F548" s="20"/>
      <c r="G548" s="20"/>
    </row>
    <row r="549" spans="5:7" ht="15.75" customHeight="1" x14ac:dyDescent="0.25">
      <c r="E549" s="36"/>
      <c r="F549" s="20"/>
      <c r="G549" s="20"/>
    </row>
    <row r="550" spans="5:7" ht="15.75" customHeight="1" x14ac:dyDescent="0.25">
      <c r="E550" s="36"/>
      <c r="F550" s="20"/>
      <c r="G550" s="20"/>
    </row>
    <row r="551" spans="5:7" ht="15.75" customHeight="1" x14ac:dyDescent="0.25">
      <c r="E551" s="36"/>
      <c r="F551" s="20"/>
      <c r="G551" s="20"/>
    </row>
    <row r="552" spans="5:7" ht="15.75" customHeight="1" x14ac:dyDescent="0.25">
      <c r="E552" s="36"/>
      <c r="F552" s="20"/>
      <c r="G552" s="20"/>
    </row>
    <row r="553" spans="5:7" ht="15.75" customHeight="1" x14ac:dyDescent="0.25">
      <c r="E553" s="36"/>
      <c r="F553" s="20"/>
      <c r="G553" s="20"/>
    </row>
    <row r="554" spans="5:7" ht="15.75" customHeight="1" x14ac:dyDescent="0.25">
      <c r="E554" s="36"/>
      <c r="F554" s="20"/>
      <c r="G554" s="20"/>
    </row>
    <row r="555" spans="5:7" ht="15.75" customHeight="1" x14ac:dyDescent="0.25">
      <c r="E555" s="36"/>
      <c r="F555" s="20"/>
      <c r="G555" s="20"/>
    </row>
    <row r="556" spans="5:7" ht="15.75" customHeight="1" x14ac:dyDescent="0.25">
      <c r="E556" s="36"/>
      <c r="F556" s="20"/>
      <c r="G556" s="20"/>
    </row>
    <row r="557" spans="5:7" ht="15.75" customHeight="1" x14ac:dyDescent="0.25">
      <c r="E557" s="36"/>
      <c r="F557" s="20"/>
      <c r="G557" s="20"/>
    </row>
    <row r="558" spans="5:7" ht="15.75" customHeight="1" x14ac:dyDescent="0.25">
      <c r="E558" s="36"/>
      <c r="F558" s="20"/>
      <c r="G558" s="20"/>
    </row>
    <row r="559" spans="5:7" ht="15.75" customHeight="1" x14ac:dyDescent="0.25">
      <c r="E559" s="36"/>
      <c r="F559" s="20"/>
      <c r="G559" s="20"/>
    </row>
    <row r="560" spans="5:7" ht="15.75" customHeight="1" x14ac:dyDescent="0.25">
      <c r="E560" s="36"/>
      <c r="F560" s="20"/>
      <c r="G560" s="20"/>
    </row>
    <row r="561" spans="5:7" ht="15.75" customHeight="1" x14ac:dyDescent="0.25">
      <c r="E561" s="36"/>
      <c r="F561" s="20"/>
      <c r="G561" s="20"/>
    </row>
    <row r="562" spans="5:7" ht="15.75" customHeight="1" x14ac:dyDescent="0.25">
      <c r="E562" s="36"/>
      <c r="F562" s="20"/>
      <c r="G562" s="20"/>
    </row>
    <row r="563" spans="5:7" ht="15.75" customHeight="1" x14ac:dyDescent="0.25">
      <c r="E563" s="36"/>
      <c r="F563" s="20"/>
      <c r="G563" s="20"/>
    </row>
    <row r="564" spans="5:7" ht="15.75" customHeight="1" x14ac:dyDescent="0.25">
      <c r="E564" s="36"/>
      <c r="F564" s="20"/>
      <c r="G564" s="20"/>
    </row>
    <row r="565" spans="5:7" ht="15.75" customHeight="1" x14ac:dyDescent="0.25">
      <c r="E565" s="36"/>
      <c r="F565" s="20"/>
      <c r="G565" s="20"/>
    </row>
    <row r="566" spans="5:7" ht="15.75" customHeight="1" x14ac:dyDescent="0.25">
      <c r="E566" s="36"/>
      <c r="F566" s="20"/>
      <c r="G566" s="20"/>
    </row>
    <row r="567" spans="5:7" ht="15.75" customHeight="1" x14ac:dyDescent="0.25">
      <c r="E567" s="36"/>
      <c r="F567" s="20"/>
      <c r="G567" s="20"/>
    </row>
    <row r="568" spans="5:7" ht="15.75" customHeight="1" x14ac:dyDescent="0.25">
      <c r="E568" s="36"/>
      <c r="F568" s="20"/>
      <c r="G568" s="20"/>
    </row>
    <row r="569" spans="5:7" ht="15.75" customHeight="1" x14ac:dyDescent="0.25">
      <c r="E569" s="36"/>
      <c r="F569" s="20"/>
      <c r="G569" s="20"/>
    </row>
    <row r="570" spans="5:7" ht="15.75" customHeight="1" x14ac:dyDescent="0.25">
      <c r="E570" s="36"/>
      <c r="F570" s="20"/>
      <c r="G570" s="20"/>
    </row>
    <row r="571" spans="5:7" ht="15.75" customHeight="1" x14ac:dyDescent="0.25">
      <c r="E571" s="36"/>
      <c r="F571" s="20"/>
      <c r="G571" s="20"/>
    </row>
    <row r="572" spans="5:7" ht="15.75" customHeight="1" x14ac:dyDescent="0.25">
      <c r="E572" s="36"/>
      <c r="F572" s="20"/>
      <c r="G572" s="20"/>
    </row>
    <row r="573" spans="5:7" ht="15.75" customHeight="1" x14ac:dyDescent="0.25">
      <c r="E573" s="36"/>
      <c r="F573" s="20"/>
      <c r="G573" s="20"/>
    </row>
    <row r="574" spans="5:7" ht="15.75" customHeight="1" x14ac:dyDescent="0.25">
      <c r="E574" s="36"/>
      <c r="F574" s="20"/>
      <c r="G574" s="20"/>
    </row>
    <row r="575" spans="5:7" ht="15.75" customHeight="1" x14ac:dyDescent="0.25">
      <c r="E575" s="36"/>
      <c r="F575" s="20"/>
      <c r="G575" s="20"/>
    </row>
    <row r="576" spans="5:7" ht="15.75" customHeight="1" x14ac:dyDescent="0.25">
      <c r="E576" s="36"/>
      <c r="F576" s="20"/>
      <c r="G576" s="20"/>
    </row>
    <row r="577" spans="5:7" ht="15.75" customHeight="1" x14ac:dyDescent="0.25">
      <c r="E577" s="36"/>
      <c r="F577" s="20"/>
      <c r="G577" s="20"/>
    </row>
    <row r="578" spans="5:7" ht="15.75" customHeight="1" x14ac:dyDescent="0.25">
      <c r="E578" s="36"/>
      <c r="F578" s="20"/>
      <c r="G578" s="20"/>
    </row>
    <row r="579" spans="5:7" ht="15.75" customHeight="1" x14ac:dyDescent="0.25">
      <c r="E579" s="36"/>
      <c r="F579" s="20"/>
      <c r="G579" s="20"/>
    </row>
    <row r="580" spans="5:7" ht="15.75" customHeight="1" x14ac:dyDescent="0.25">
      <c r="E580" s="36"/>
      <c r="F580" s="20"/>
      <c r="G580" s="20"/>
    </row>
    <row r="581" spans="5:7" ht="15.75" customHeight="1" x14ac:dyDescent="0.25">
      <c r="E581" s="36"/>
      <c r="F581" s="20"/>
      <c r="G581" s="20"/>
    </row>
    <row r="582" spans="5:7" ht="15.75" customHeight="1" x14ac:dyDescent="0.25">
      <c r="E582" s="36"/>
      <c r="F582" s="20"/>
      <c r="G582" s="20"/>
    </row>
    <row r="583" spans="5:7" ht="15.75" customHeight="1" x14ac:dyDescent="0.25">
      <c r="E583" s="36"/>
      <c r="F583" s="20"/>
      <c r="G583" s="20"/>
    </row>
    <row r="584" spans="5:7" ht="15.75" customHeight="1" x14ac:dyDescent="0.25">
      <c r="E584" s="36"/>
      <c r="F584" s="20"/>
      <c r="G584" s="20"/>
    </row>
    <row r="585" spans="5:7" ht="15.75" customHeight="1" x14ac:dyDescent="0.25">
      <c r="E585" s="36"/>
      <c r="F585" s="20"/>
      <c r="G585" s="20"/>
    </row>
    <row r="586" spans="5:7" ht="15.75" customHeight="1" x14ac:dyDescent="0.25">
      <c r="E586" s="36"/>
      <c r="F586" s="20"/>
      <c r="G586" s="20"/>
    </row>
    <row r="587" spans="5:7" ht="15.75" customHeight="1" x14ac:dyDescent="0.25">
      <c r="E587" s="36"/>
      <c r="F587" s="20"/>
      <c r="G587" s="20"/>
    </row>
    <row r="588" spans="5:7" ht="15.75" customHeight="1" x14ac:dyDescent="0.25">
      <c r="E588" s="36"/>
      <c r="F588" s="20"/>
      <c r="G588" s="20"/>
    </row>
    <row r="589" spans="5:7" ht="15.75" customHeight="1" x14ac:dyDescent="0.25">
      <c r="E589" s="36"/>
      <c r="F589" s="20"/>
      <c r="G589" s="20"/>
    </row>
    <row r="590" spans="5:7" ht="15.75" customHeight="1" x14ac:dyDescent="0.25">
      <c r="E590" s="36"/>
      <c r="F590" s="20"/>
      <c r="G590" s="20"/>
    </row>
    <row r="591" spans="5:7" ht="15.75" customHeight="1" x14ac:dyDescent="0.25">
      <c r="E591" s="36"/>
      <c r="F591" s="20"/>
      <c r="G591" s="20"/>
    </row>
    <row r="592" spans="5:7" ht="15.75" customHeight="1" x14ac:dyDescent="0.25">
      <c r="E592" s="36"/>
      <c r="F592" s="20"/>
      <c r="G592" s="20"/>
    </row>
    <row r="593" spans="5:7" ht="15.75" customHeight="1" x14ac:dyDescent="0.25">
      <c r="E593" s="36"/>
      <c r="F593" s="20"/>
      <c r="G593" s="20"/>
    </row>
    <row r="594" spans="5:7" ht="15.75" customHeight="1" x14ac:dyDescent="0.25">
      <c r="E594" s="36"/>
      <c r="F594" s="20"/>
      <c r="G594" s="20"/>
    </row>
    <row r="595" spans="5:7" ht="15.75" customHeight="1" x14ac:dyDescent="0.25">
      <c r="E595" s="36"/>
      <c r="F595" s="20"/>
      <c r="G595" s="20"/>
    </row>
    <row r="596" spans="5:7" ht="15.75" customHeight="1" x14ac:dyDescent="0.25">
      <c r="E596" s="36"/>
      <c r="F596" s="20"/>
      <c r="G596" s="20"/>
    </row>
    <row r="597" spans="5:7" ht="15.75" customHeight="1" x14ac:dyDescent="0.25">
      <c r="E597" s="36"/>
      <c r="F597" s="20"/>
      <c r="G597" s="20"/>
    </row>
    <row r="598" spans="5:7" ht="15.75" customHeight="1" x14ac:dyDescent="0.25">
      <c r="E598" s="36"/>
      <c r="F598" s="20"/>
      <c r="G598" s="20"/>
    </row>
    <row r="599" spans="5:7" ht="15.75" customHeight="1" x14ac:dyDescent="0.25">
      <c r="E599" s="36"/>
      <c r="F599" s="20"/>
      <c r="G599" s="20"/>
    </row>
    <row r="600" spans="5:7" ht="15.75" customHeight="1" x14ac:dyDescent="0.25">
      <c r="E600" s="36"/>
      <c r="F600" s="20"/>
      <c r="G600" s="20"/>
    </row>
    <row r="601" spans="5:7" ht="15.75" customHeight="1" x14ac:dyDescent="0.25">
      <c r="E601" s="36"/>
      <c r="F601" s="20"/>
      <c r="G601" s="20"/>
    </row>
    <row r="602" spans="5:7" ht="15.75" customHeight="1" x14ac:dyDescent="0.25">
      <c r="E602" s="36"/>
      <c r="F602" s="20"/>
      <c r="G602" s="20"/>
    </row>
    <row r="603" spans="5:7" ht="15.75" customHeight="1" x14ac:dyDescent="0.25">
      <c r="E603" s="36"/>
      <c r="F603" s="20"/>
      <c r="G603" s="20"/>
    </row>
    <row r="604" spans="5:7" ht="15.75" customHeight="1" x14ac:dyDescent="0.25">
      <c r="E604" s="36"/>
      <c r="F604" s="20"/>
      <c r="G604" s="20"/>
    </row>
    <row r="605" spans="5:7" ht="15.75" customHeight="1" x14ac:dyDescent="0.25">
      <c r="E605" s="36"/>
      <c r="F605" s="20"/>
      <c r="G605" s="20"/>
    </row>
    <row r="606" spans="5:7" ht="15.75" customHeight="1" x14ac:dyDescent="0.25">
      <c r="E606" s="36"/>
      <c r="F606" s="20"/>
      <c r="G606" s="20"/>
    </row>
    <row r="607" spans="5:7" ht="15.75" customHeight="1" x14ac:dyDescent="0.25">
      <c r="E607" s="36"/>
      <c r="F607" s="20"/>
      <c r="G607" s="20"/>
    </row>
    <row r="608" spans="5:7" ht="15.75" customHeight="1" x14ac:dyDescent="0.25">
      <c r="E608" s="36"/>
      <c r="F608" s="20"/>
      <c r="G608" s="20"/>
    </row>
    <row r="609" spans="5:7" ht="15.75" customHeight="1" x14ac:dyDescent="0.25">
      <c r="E609" s="36"/>
      <c r="F609" s="20"/>
      <c r="G609" s="20"/>
    </row>
    <row r="610" spans="5:7" ht="15.75" customHeight="1" x14ac:dyDescent="0.25">
      <c r="E610" s="36"/>
      <c r="F610" s="20"/>
      <c r="G610" s="20"/>
    </row>
    <row r="611" spans="5:7" ht="15.75" customHeight="1" x14ac:dyDescent="0.25">
      <c r="E611" s="36"/>
      <c r="F611" s="20"/>
      <c r="G611" s="20"/>
    </row>
    <row r="612" spans="5:7" ht="15.75" customHeight="1" x14ac:dyDescent="0.25">
      <c r="E612" s="36"/>
      <c r="F612" s="20"/>
      <c r="G612" s="20"/>
    </row>
    <row r="613" spans="5:7" ht="15.75" customHeight="1" x14ac:dyDescent="0.25">
      <c r="E613" s="36"/>
      <c r="F613" s="20"/>
      <c r="G613" s="20"/>
    </row>
    <row r="614" spans="5:7" ht="15.75" customHeight="1" x14ac:dyDescent="0.25">
      <c r="E614" s="36"/>
      <c r="F614" s="20"/>
      <c r="G614" s="20"/>
    </row>
    <row r="615" spans="5:7" ht="15.75" customHeight="1" x14ac:dyDescent="0.25">
      <c r="E615" s="36"/>
      <c r="F615" s="20"/>
      <c r="G615" s="20"/>
    </row>
    <row r="616" spans="5:7" ht="15.75" customHeight="1" x14ac:dyDescent="0.25">
      <c r="E616" s="36"/>
      <c r="F616" s="20"/>
      <c r="G616" s="20"/>
    </row>
    <row r="617" spans="5:7" ht="15.75" customHeight="1" x14ac:dyDescent="0.25">
      <c r="E617" s="36"/>
      <c r="F617" s="20"/>
      <c r="G617" s="20"/>
    </row>
    <row r="618" spans="5:7" ht="15.75" customHeight="1" x14ac:dyDescent="0.25">
      <c r="E618" s="36"/>
      <c r="F618" s="20"/>
      <c r="G618" s="20"/>
    </row>
    <row r="619" spans="5:7" ht="15.75" customHeight="1" x14ac:dyDescent="0.25">
      <c r="E619" s="36"/>
      <c r="F619" s="20"/>
      <c r="G619" s="20"/>
    </row>
    <row r="620" spans="5:7" ht="15.75" customHeight="1" x14ac:dyDescent="0.25">
      <c r="E620" s="36"/>
      <c r="F620" s="20"/>
      <c r="G620" s="20"/>
    </row>
    <row r="621" spans="5:7" ht="15.75" customHeight="1" x14ac:dyDescent="0.25">
      <c r="E621" s="36"/>
      <c r="F621" s="20"/>
      <c r="G621" s="20"/>
    </row>
    <row r="622" spans="5:7" ht="15.75" customHeight="1" x14ac:dyDescent="0.25">
      <c r="E622" s="36"/>
      <c r="F622" s="20"/>
      <c r="G622" s="20"/>
    </row>
    <row r="623" spans="5:7" ht="15.75" customHeight="1" x14ac:dyDescent="0.25">
      <c r="E623" s="36"/>
      <c r="F623" s="20"/>
      <c r="G623" s="20"/>
    </row>
    <row r="624" spans="5:7" ht="15.75" customHeight="1" x14ac:dyDescent="0.25">
      <c r="E624" s="36"/>
      <c r="F624" s="20"/>
      <c r="G624" s="20"/>
    </row>
    <row r="625" spans="5:7" ht="15.75" customHeight="1" x14ac:dyDescent="0.25">
      <c r="E625" s="36"/>
      <c r="F625" s="20"/>
      <c r="G625" s="20"/>
    </row>
    <row r="626" spans="5:7" ht="15.75" customHeight="1" x14ac:dyDescent="0.25">
      <c r="E626" s="36"/>
      <c r="F626" s="20"/>
      <c r="G626" s="20"/>
    </row>
    <row r="627" spans="5:7" ht="15.75" customHeight="1" x14ac:dyDescent="0.25">
      <c r="E627" s="36"/>
      <c r="F627" s="20"/>
      <c r="G627" s="20"/>
    </row>
    <row r="628" spans="5:7" ht="15.75" customHeight="1" x14ac:dyDescent="0.25">
      <c r="E628" s="36"/>
      <c r="F628" s="20"/>
      <c r="G628" s="20"/>
    </row>
    <row r="629" spans="5:7" ht="15.75" customHeight="1" x14ac:dyDescent="0.25">
      <c r="E629" s="36"/>
      <c r="F629" s="20"/>
      <c r="G629" s="20"/>
    </row>
    <row r="630" spans="5:7" ht="15.75" customHeight="1" x14ac:dyDescent="0.25">
      <c r="E630" s="36"/>
      <c r="F630" s="20"/>
      <c r="G630" s="20"/>
    </row>
    <row r="631" spans="5:7" ht="15.75" customHeight="1" x14ac:dyDescent="0.25">
      <c r="E631" s="36"/>
      <c r="F631" s="20"/>
      <c r="G631" s="20"/>
    </row>
    <row r="632" spans="5:7" ht="15.75" customHeight="1" x14ac:dyDescent="0.25">
      <c r="E632" s="36"/>
      <c r="F632" s="20"/>
      <c r="G632" s="20"/>
    </row>
    <row r="633" spans="5:7" ht="15.75" customHeight="1" x14ac:dyDescent="0.25">
      <c r="E633" s="36"/>
      <c r="F633" s="20"/>
      <c r="G633" s="20"/>
    </row>
    <row r="634" spans="5:7" ht="15.75" customHeight="1" x14ac:dyDescent="0.25">
      <c r="E634" s="36"/>
      <c r="F634" s="20"/>
      <c r="G634" s="20"/>
    </row>
    <row r="635" spans="5:7" ht="15.75" customHeight="1" x14ac:dyDescent="0.25">
      <c r="E635" s="36"/>
      <c r="F635" s="20"/>
      <c r="G635" s="20"/>
    </row>
    <row r="636" spans="5:7" ht="15.75" customHeight="1" x14ac:dyDescent="0.25">
      <c r="E636" s="36"/>
      <c r="F636" s="20"/>
      <c r="G636" s="20"/>
    </row>
    <row r="637" spans="5:7" ht="15.75" customHeight="1" x14ac:dyDescent="0.25">
      <c r="E637" s="36"/>
      <c r="F637" s="20"/>
      <c r="G637" s="20"/>
    </row>
    <row r="638" spans="5:7" ht="15.75" customHeight="1" x14ac:dyDescent="0.25">
      <c r="E638" s="36"/>
      <c r="F638" s="20"/>
      <c r="G638" s="20"/>
    </row>
    <row r="639" spans="5:7" ht="15.75" customHeight="1" x14ac:dyDescent="0.25">
      <c r="E639" s="36"/>
      <c r="F639" s="20"/>
      <c r="G639" s="20"/>
    </row>
    <row r="640" spans="5:7" ht="15.75" customHeight="1" x14ac:dyDescent="0.25">
      <c r="E640" s="36"/>
      <c r="F640" s="20"/>
      <c r="G640" s="20"/>
    </row>
    <row r="641" spans="5:7" ht="15.75" customHeight="1" x14ac:dyDescent="0.25">
      <c r="E641" s="36"/>
      <c r="F641" s="20"/>
      <c r="G641" s="20"/>
    </row>
    <row r="642" spans="5:7" ht="15.75" customHeight="1" x14ac:dyDescent="0.25">
      <c r="E642" s="36"/>
      <c r="F642" s="20"/>
      <c r="G642" s="20"/>
    </row>
    <row r="643" spans="5:7" ht="15.75" customHeight="1" x14ac:dyDescent="0.25">
      <c r="E643" s="36"/>
      <c r="F643" s="20"/>
      <c r="G643" s="20"/>
    </row>
    <row r="644" spans="5:7" ht="15.75" customHeight="1" x14ac:dyDescent="0.25">
      <c r="E644" s="36"/>
      <c r="F644" s="20"/>
      <c r="G644" s="20"/>
    </row>
    <row r="645" spans="5:7" ht="15.75" customHeight="1" x14ac:dyDescent="0.25">
      <c r="E645" s="36"/>
      <c r="F645" s="20"/>
      <c r="G645" s="20"/>
    </row>
    <row r="646" spans="5:7" ht="15.75" customHeight="1" x14ac:dyDescent="0.25">
      <c r="E646" s="36"/>
      <c r="F646" s="20"/>
      <c r="G646" s="20"/>
    </row>
    <row r="647" spans="5:7" ht="15.75" customHeight="1" x14ac:dyDescent="0.25">
      <c r="E647" s="36"/>
      <c r="F647" s="20"/>
      <c r="G647" s="20"/>
    </row>
    <row r="648" spans="5:7" ht="15.75" customHeight="1" x14ac:dyDescent="0.25">
      <c r="E648" s="36"/>
      <c r="F648" s="20"/>
      <c r="G648" s="20"/>
    </row>
    <row r="649" spans="5:7" ht="15.75" customHeight="1" x14ac:dyDescent="0.25">
      <c r="E649" s="36"/>
      <c r="F649" s="20"/>
      <c r="G649" s="20"/>
    </row>
    <row r="650" spans="5:7" ht="15.75" customHeight="1" x14ac:dyDescent="0.25">
      <c r="E650" s="36"/>
      <c r="F650" s="20"/>
      <c r="G650" s="20"/>
    </row>
    <row r="651" spans="5:7" ht="15.75" customHeight="1" x14ac:dyDescent="0.25">
      <c r="E651" s="36"/>
      <c r="F651" s="20"/>
      <c r="G651" s="20"/>
    </row>
    <row r="652" spans="5:7" ht="15.75" customHeight="1" x14ac:dyDescent="0.25">
      <c r="E652" s="36"/>
      <c r="F652" s="20"/>
      <c r="G652" s="20"/>
    </row>
    <row r="653" spans="5:7" ht="15.75" customHeight="1" x14ac:dyDescent="0.25">
      <c r="E653" s="36"/>
      <c r="F653" s="20"/>
      <c r="G653" s="20"/>
    </row>
    <row r="654" spans="5:7" ht="15.75" customHeight="1" x14ac:dyDescent="0.25">
      <c r="E654" s="36"/>
      <c r="F654" s="20"/>
      <c r="G654" s="20"/>
    </row>
    <row r="655" spans="5:7" ht="15.75" customHeight="1" x14ac:dyDescent="0.25">
      <c r="E655" s="36"/>
      <c r="F655" s="20"/>
      <c r="G655" s="20"/>
    </row>
    <row r="656" spans="5:7" ht="15.75" customHeight="1" x14ac:dyDescent="0.25">
      <c r="E656" s="36"/>
      <c r="F656" s="20"/>
      <c r="G656" s="20"/>
    </row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</sheetData>
  <mergeCells count="101">
    <mergeCell ref="H131:H140"/>
    <mergeCell ref="I146:I153"/>
    <mergeCell ref="I154:I156"/>
    <mergeCell ref="B154:B156"/>
    <mergeCell ref="C154:C156"/>
    <mergeCell ref="D154:D156"/>
    <mergeCell ref="G154:G156"/>
    <mergeCell ref="H154:H156"/>
    <mergeCell ref="B146:B153"/>
    <mergeCell ref="C146:C153"/>
    <mergeCell ref="D146:D153"/>
    <mergeCell ref="G146:G153"/>
    <mergeCell ref="H146:H153"/>
    <mergeCell ref="I94:I101"/>
    <mergeCell ref="B102:B104"/>
    <mergeCell ref="C102:C104"/>
    <mergeCell ref="D102:D104"/>
    <mergeCell ref="G102:G104"/>
    <mergeCell ref="H102:H104"/>
    <mergeCell ref="I102:I104"/>
    <mergeCell ref="B119:B145"/>
    <mergeCell ref="C119:C127"/>
    <mergeCell ref="D119:D127"/>
    <mergeCell ref="G119:G145"/>
    <mergeCell ref="C131:C140"/>
    <mergeCell ref="D131:D140"/>
    <mergeCell ref="I119:I127"/>
    <mergeCell ref="C128:C130"/>
    <mergeCell ref="D128:D130"/>
    <mergeCell ref="H128:H130"/>
    <mergeCell ref="I128:I130"/>
    <mergeCell ref="H119:H127"/>
    <mergeCell ref="I131:I140"/>
    <mergeCell ref="C141:C145"/>
    <mergeCell ref="D141:D145"/>
    <mergeCell ref="H141:H145"/>
    <mergeCell ref="I141:I145"/>
    <mergeCell ref="G51:G53"/>
    <mergeCell ref="D38:D42"/>
    <mergeCell ref="C38:C42"/>
    <mergeCell ref="D51:D53"/>
    <mergeCell ref="C51:C53"/>
    <mergeCell ref="B16:B42"/>
    <mergeCell ref="C43:C50"/>
    <mergeCell ref="D43:D50"/>
    <mergeCell ref="B4:D4"/>
    <mergeCell ref="B43:B50"/>
    <mergeCell ref="D16:D24"/>
    <mergeCell ref="C16:C24"/>
    <mergeCell ref="D25:D27"/>
    <mergeCell ref="C25:C27"/>
    <mergeCell ref="C28:C37"/>
    <mergeCell ref="D28:D37"/>
    <mergeCell ref="B226:B227"/>
    <mergeCell ref="I79:I88"/>
    <mergeCell ref="B67:B93"/>
    <mergeCell ref="C89:C93"/>
    <mergeCell ref="D89:D93"/>
    <mergeCell ref="H89:H93"/>
    <mergeCell ref="I67:I75"/>
    <mergeCell ref="C76:C78"/>
    <mergeCell ref="D76:D78"/>
    <mergeCell ref="H76:H78"/>
    <mergeCell ref="I76:I78"/>
    <mergeCell ref="I89:I93"/>
    <mergeCell ref="B94:B101"/>
    <mergeCell ref="C94:C101"/>
    <mergeCell ref="D94:D101"/>
    <mergeCell ref="G94:G101"/>
    <mergeCell ref="C67:C75"/>
    <mergeCell ref="D67:D75"/>
    <mergeCell ref="G67:G93"/>
    <mergeCell ref="H67:H75"/>
    <mergeCell ref="C79:C88"/>
    <mergeCell ref="D79:D88"/>
    <mergeCell ref="H79:H88"/>
    <mergeCell ref="H94:H101"/>
    <mergeCell ref="U21:U22"/>
    <mergeCell ref="V21:V22"/>
    <mergeCell ref="W21:W22"/>
    <mergeCell ref="X21:X22"/>
    <mergeCell ref="B174:I175"/>
    <mergeCell ref="B177:B178"/>
    <mergeCell ref="B192:B193"/>
    <mergeCell ref="B207:B208"/>
    <mergeCell ref="B214:B215"/>
    <mergeCell ref="H51:H53"/>
    <mergeCell ref="B51:B53"/>
    <mergeCell ref="H16:H24"/>
    <mergeCell ref="H25:H27"/>
    <mergeCell ref="H38:H42"/>
    <mergeCell ref="H43:H50"/>
    <mergeCell ref="H28:H37"/>
    <mergeCell ref="I43:I50"/>
    <mergeCell ref="I51:I53"/>
    <mergeCell ref="I16:I24"/>
    <mergeCell ref="I25:I27"/>
    <mergeCell ref="I38:I42"/>
    <mergeCell ref="I28:I37"/>
    <mergeCell ref="G16:G42"/>
    <mergeCell ref="G43:G50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AEE0-BC35-4CCB-81C8-0F8B3F3A3261}">
  <dimension ref="A1:T43"/>
  <sheetViews>
    <sheetView showGridLines="0" showRowColHeaders="0" zoomScale="115" zoomScaleNormal="115" workbookViewId="0">
      <selection activeCell="E4" sqref="E4"/>
    </sheetView>
  </sheetViews>
  <sheetFormatPr baseColWidth="10" defaultRowHeight="14.4" x14ac:dyDescent="0.3"/>
  <cols>
    <col min="1" max="1" width="11.77734375" customWidth="1"/>
    <col min="2" max="2" width="18.88671875" bestFit="1" customWidth="1"/>
    <col min="3" max="3" width="19.6640625" customWidth="1"/>
    <col min="4" max="4" width="63.109375" bestFit="1" customWidth="1"/>
    <col min="5" max="5" width="18.88671875" customWidth="1"/>
    <col min="7" max="7" width="13.88671875" customWidth="1"/>
    <col min="8" max="8" width="18.6640625" bestFit="1" customWidth="1"/>
    <col min="9" max="10" width="16" customWidth="1"/>
    <col min="11" max="11" width="17.21875" customWidth="1"/>
    <col min="14" max="14" width="14.6640625" customWidth="1"/>
    <col min="15" max="15" width="15.77734375" customWidth="1"/>
    <col min="18" max="18" width="15.44140625" bestFit="1" customWidth="1"/>
  </cols>
  <sheetData>
    <row r="1" spans="1:20" ht="25.8" x14ac:dyDescent="0.3">
      <c r="A1" s="467" t="s">
        <v>1918</v>
      </c>
      <c r="B1" s="467"/>
      <c r="C1" s="467"/>
      <c r="D1" s="467"/>
      <c r="E1" s="460" t="s">
        <v>1928</v>
      </c>
      <c r="F1" s="460"/>
      <c r="G1" s="460"/>
      <c r="H1" s="460"/>
      <c r="I1" s="460"/>
      <c r="J1" s="460"/>
      <c r="K1" s="460"/>
      <c r="L1" s="460"/>
      <c r="M1" s="460"/>
      <c r="N1" s="460"/>
      <c r="O1" s="460"/>
    </row>
    <row r="2" spans="1:20" ht="43.2" x14ac:dyDescent="0.3">
      <c r="A2" s="237" t="s">
        <v>1185</v>
      </c>
      <c r="B2" s="237" t="s">
        <v>1574</v>
      </c>
      <c r="C2" s="237" t="s">
        <v>1187</v>
      </c>
      <c r="D2" s="237" t="s">
        <v>1189</v>
      </c>
      <c r="E2" s="268" t="s">
        <v>1531</v>
      </c>
      <c r="F2" s="268" t="s">
        <v>1453</v>
      </c>
      <c r="G2" s="268" t="s">
        <v>1456</v>
      </c>
      <c r="H2" s="268" t="s">
        <v>1548</v>
      </c>
      <c r="I2" s="268" t="s">
        <v>1568</v>
      </c>
      <c r="J2" s="268" t="s">
        <v>1569</v>
      </c>
      <c r="K2" s="268" t="s">
        <v>1571</v>
      </c>
      <c r="L2" s="278" t="s">
        <v>1536</v>
      </c>
      <c r="M2" s="274" t="s">
        <v>1447</v>
      </c>
      <c r="N2" s="277" t="s">
        <v>1543</v>
      </c>
      <c r="O2" s="274" t="s">
        <v>1535</v>
      </c>
    </row>
    <row r="3" spans="1:20" x14ac:dyDescent="0.3">
      <c r="A3" s="463" t="s">
        <v>1190</v>
      </c>
      <c r="B3" s="464" t="s">
        <v>1417</v>
      </c>
      <c r="C3" s="2" t="s">
        <v>1229</v>
      </c>
      <c r="D3" s="41" t="s">
        <v>1204</v>
      </c>
      <c r="E3" s="339">
        <v>0</v>
      </c>
      <c r="F3" s="339">
        <v>0</v>
      </c>
      <c r="G3" s="164">
        <f>100%/3</f>
        <v>0.33333333333333331</v>
      </c>
      <c r="H3" s="339">
        <v>0</v>
      </c>
      <c r="I3" s="266">
        <f>100%/31</f>
        <v>3.2258064516129031E-2</v>
      </c>
      <c r="J3" s="266">
        <f>100%/31</f>
        <v>3.2258064516129031E-2</v>
      </c>
      <c r="K3" s="164">
        <f>100%/9</f>
        <v>0.1111111111111111</v>
      </c>
      <c r="L3" s="340">
        <f>100%/40</f>
        <v>2.5000000000000001E-2</v>
      </c>
      <c r="M3" s="203">
        <v>1</v>
      </c>
      <c r="N3" s="203">
        <v>0</v>
      </c>
      <c r="O3" s="203">
        <v>1</v>
      </c>
    </row>
    <row r="4" spans="1:20" x14ac:dyDescent="0.3">
      <c r="A4" s="463"/>
      <c r="B4" s="465"/>
      <c r="C4" s="2" t="s">
        <v>1230</v>
      </c>
      <c r="D4" s="41" t="s">
        <v>1203</v>
      </c>
      <c r="E4" s="164">
        <f>100%/24</f>
        <v>4.1666666666666664E-2</v>
      </c>
      <c r="F4" s="164">
        <v>0</v>
      </c>
      <c r="G4" s="164">
        <v>0</v>
      </c>
      <c r="H4" s="164">
        <f>100%/36</f>
        <v>2.7777777777777776E-2</v>
      </c>
      <c r="I4" s="266">
        <f t="shared" ref="I4:J24" si="0">100%/31</f>
        <v>3.2258064516129031E-2</v>
      </c>
      <c r="J4" s="266">
        <f t="shared" si="0"/>
        <v>3.2258064516129031E-2</v>
      </c>
      <c r="K4" s="164">
        <f>100%/9</f>
        <v>0.1111111111111111</v>
      </c>
      <c r="L4" s="340">
        <f t="shared" ref="L4:L42" si="1">100%/40</f>
        <v>2.5000000000000001E-2</v>
      </c>
      <c r="M4" s="203">
        <v>0</v>
      </c>
      <c r="N4" s="203">
        <v>0</v>
      </c>
      <c r="O4" s="203">
        <v>0</v>
      </c>
    </row>
    <row r="5" spans="1:20" x14ac:dyDescent="0.3">
      <c r="A5" s="463"/>
      <c r="B5" s="465"/>
      <c r="C5" s="2" t="s">
        <v>1231</v>
      </c>
      <c r="D5" s="41" t="s">
        <v>1202</v>
      </c>
      <c r="E5" s="164">
        <v>0</v>
      </c>
      <c r="F5" s="164">
        <v>0</v>
      </c>
      <c r="G5" s="164">
        <v>0</v>
      </c>
      <c r="H5" s="164">
        <f>100%/36</f>
        <v>2.7777777777777776E-2</v>
      </c>
      <c r="I5" s="266">
        <f t="shared" si="0"/>
        <v>3.2258064516129031E-2</v>
      </c>
      <c r="J5" s="266">
        <f t="shared" si="0"/>
        <v>3.2258064516129031E-2</v>
      </c>
      <c r="K5" s="164">
        <f>100%/9</f>
        <v>0.1111111111111111</v>
      </c>
      <c r="L5" s="340">
        <f t="shared" si="1"/>
        <v>2.5000000000000001E-2</v>
      </c>
      <c r="M5" s="203">
        <v>0</v>
      </c>
      <c r="N5" s="203">
        <v>0</v>
      </c>
      <c r="O5" s="203">
        <v>0</v>
      </c>
    </row>
    <row r="6" spans="1:20" x14ac:dyDescent="0.3">
      <c r="A6" s="463"/>
      <c r="B6" s="465"/>
      <c r="C6" s="2" t="s">
        <v>1232</v>
      </c>
      <c r="D6" s="41" t="s">
        <v>1151</v>
      </c>
      <c r="E6" s="164">
        <v>0</v>
      </c>
      <c r="F6" s="164">
        <v>0</v>
      </c>
      <c r="G6" s="164">
        <f>100%/3</f>
        <v>0.33333333333333331</v>
      </c>
      <c r="H6" s="164">
        <v>0</v>
      </c>
      <c r="I6" s="266">
        <f t="shared" si="0"/>
        <v>3.2258064516129031E-2</v>
      </c>
      <c r="J6" s="266">
        <f t="shared" si="0"/>
        <v>3.2258064516129031E-2</v>
      </c>
      <c r="K6" s="164">
        <v>0</v>
      </c>
      <c r="L6" s="340">
        <f t="shared" si="1"/>
        <v>2.5000000000000001E-2</v>
      </c>
      <c r="M6" s="203">
        <v>0</v>
      </c>
      <c r="N6" s="203">
        <v>0</v>
      </c>
      <c r="O6" s="203">
        <v>0</v>
      </c>
    </row>
    <row r="7" spans="1:20" x14ac:dyDescent="0.3">
      <c r="A7" s="463"/>
      <c r="B7" s="465"/>
      <c r="C7" s="2" t="s">
        <v>1233</v>
      </c>
      <c r="D7" s="41" t="s">
        <v>1201</v>
      </c>
      <c r="E7" s="164">
        <v>0</v>
      </c>
      <c r="F7" s="164">
        <v>0</v>
      </c>
      <c r="G7" s="164">
        <f>100%/3</f>
        <v>0.33333333333333331</v>
      </c>
      <c r="H7" s="164">
        <v>0</v>
      </c>
      <c r="I7" s="266">
        <f t="shared" si="0"/>
        <v>3.2258064516129031E-2</v>
      </c>
      <c r="J7" s="266">
        <f t="shared" si="0"/>
        <v>3.2258064516129031E-2</v>
      </c>
      <c r="K7" s="164">
        <v>0</v>
      </c>
      <c r="L7" s="340">
        <f t="shared" si="1"/>
        <v>2.5000000000000001E-2</v>
      </c>
      <c r="M7" s="203">
        <v>0</v>
      </c>
      <c r="N7" s="203">
        <v>0</v>
      </c>
      <c r="O7" s="203">
        <v>0</v>
      </c>
    </row>
    <row r="8" spans="1:20" x14ac:dyDescent="0.3">
      <c r="A8" s="463"/>
      <c r="B8" s="465"/>
      <c r="C8" s="2" t="s">
        <v>1234</v>
      </c>
      <c r="D8" s="41" t="s">
        <v>1200</v>
      </c>
      <c r="E8" s="164">
        <v>0</v>
      </c>
      <c r="F8" s="164">
        <f>100%/16</f>
        <v>6.25E-2</v>
      </c>
      <c r="G8" s="164">
        <v>0</v>
      </c>
      <c r="H8" s="164">
        <f>100%/36</f>
        <v>2.7777777777777776E-2</v>
      </c>
      <c r="I8" s="266">
        <f t="shared" si="0"/>
        <v>3.2258064516129031E-2</v>
      </c>
      <c r="J8" s="266">
        <f t="shared" si="0"/>
        <v>3.2258064516129031E-2</v>
      </c>
      <c r="K8" s="164">
        <f t="shared" ref="K8:K13" si="2">100%/9</f>
        <v>0.1111111111111111</v>
      </c>
      <c r="L8" s="340">
        <f t="shared" si="1"/>
        <v>2.5000000000000001E-2</v>
      </c>
      <c r="M8" s="203">
        <v>0</v>
      </c>
      <c r="N8" s="203">
        <v>0</v>
      </c>
      <c r="O8" s="203">
        <v>0</v>
      </c>
    </row>
    <row r="9" spans="1:20" x14ac:dyDescent="0.3">
      <c r="A9" s="463"/>
      <c r="B9" s="465"/>
      <c r="C9" s="2" t="s">
        <v>1235</v>
      </c>
      <c r="D9" s="41" t="s">
        <v>1195</v>
      </c>
      <c r="E9" s="164">
        <v>0</v>
      </c>
      <c r="F9" s="164">
        <v>0</v>
      </c>
      <c r="G9" s="164">
        <v>0</v>
      </c>
      <c r="H9" s="164">
        <f t="shared" ref="H9:H42" si="3">100%/36</f>
        <v>2.7777777777777776E-2</v>
      </c>
      <c r="I9" s="266">
        <f t="shared" si="0"/>
        <v>3.2258064516129031E-2</v>
      </c>
      <c r="J9" s="266">
        <f t="shared" si="0"/>
        <v>3.2258064516129031E-2</v>
      </c>
      <c r="K9" s="164">
        <f t="shared" si="2"/>
        <v>0.1111111111111111</v>
      </c>
      <c r="L9" s="340">
        <f t="shared" si="1"/>
        <v>2.5000000000000001E-2</v>
      </c>
      <c r="M9" s="203">
        <v>0</v>
      </c>
      <c r="N9" s="203">
        <v>0</v>
      </c>
      <c r="O9" s="203">
        <v>0</v>
      </c>
    </row>
    <row r="10" spans="1:20" x14ac:dyDescent="0.3">
      <c r="A10" s="463"/>
      <c r="B10" s="465"/>
      <c r="C10" s="2" t="s">
        <v>1236</v>
      </c>
      <c r="D10" s="41" t="s">
        <v>1196</v>
      </c>
      <c r="E10" s="164">
        <f>100%/24</f>
        <v>4.1666666666666664E-2</v>
      </c>
      <c r="F10" s="164">
        <f>100%/16</f>
        <v>6.25E-2</v>
      </c>
      <c r="G10" s="164">
        <v>0</v>
      </c>
      <c r="H10" s="164">
        <f t="shared" si="3"/>
        <v>2.7777777777777776E-2</v>
      </c>
      <c r="I10" s="266">
        <f t="shared" si="0"/>
        <v>3.2258064516129031E-2</v>
      </c>
      <c r="J10" s="266">
        <f t="shared" si="0"/>
        <v>3.2258064516129031E-2</v>
      </c>
      <c r="K10" s="164">
        <f t="shared" si="2"/>
        <v>0.1111111111111111</v>
      </c>
      <c r="L10" s="340">
        <f t="shared" si="1"/>
        <v>2.5000000000000001E-2</v>
      </c>
      <c r="M10" s="203">
        <v>0</v>
      </c>
      <c r="N10" s="203">
        <v>0</v>
      </c>
      <c r="O10" s="203">
        <v>0</v>
      </c>
      <c r="R10" s="40"/>
      <c r="S10" s="461"/>
      <c r="T10" s="462"/>
    </row>
    <row r="11" spans="1:20" x14ac:dyDescent="0.3">
      <c r="A11" s="463"/>
      <c r="B11" s="465"/>
      <c r="C11" s="2" t="s">
        <v>1239</v>
      </c>
      <c r="D11" s="41" t="s">
        <v>1197</v>
      </c>
      <c r="E11" s="164">
        <f>100%/24</f>
        <v>4.1666666666666664E-2</v>
      </c>
      <c r="F11" s="164">
        <f>100%/16</f>
        <v>6.25E-2</v>
      </c>
      <c r="G11" s="164">
        <v>0</v>
      </c>
      <c r="H11" s="164">
        <f t="shared" si="3"/>
        <v>2.7777777777777776E-2</v>
      </c>
      <c r="I11" s="266">
        <f t="shared" si="0"/>
        <v>3.2258064516129031E-2</v>
      </c>
      <c r="J11" s="266">
        <f t="shared" si="0"/>
        <v>3.2258064516129031E-2</v>
      </c>
      <c r="K11" s="164">
        <f t="shared" si="2"/>
        <v>0.1111111111111111</v>
      </c>
      <c r="L11" s="340">
        <f t="shared" si="1"/>
        <v>2.5000000000000001E-2</v>
      </c>
      <c r="M11" s="203">
        <v>0</v>
      </c>
      <c r="N11" s="203">
        <v>0</v>
      </c>
      <c r="O11" s="203">
        <v>0</v>
      </c>
      <c r="R11" s="40"/>
      <c r="S11" s="461"/>
      <c r="T11" s="462"/>
    </row>
    <row r="12" spans="1:20" x14ac:dyDescent="0.3">
      <c r="A12" s="463"/>
      <c r="B12" s="465"/>
      <c r="C12" s="2" t="s">
        <v>1237</v>
      </c>
      <c r="D12" s="41" t="s">
        <v>1198</v>
      </c>
      <c r="E12" s="164">
        <f>100%/24</f>
        <v>4.1666666666666664E-2</v>
      </c>
      <c r="F12" s="164">
        <f>100%/16</f>
        <v>6.25E-2</v>
      </c>
      <c r="G12" s="164">
        <v>0</v>
      </c>
      <c r="H12" s="164">
        <f t="shared" si="3"/>
        <v>2.7777777777777776E-2</v>
      </c>
      <c r="I12" s="266">
        <f t="shared" si="0"/>
        <v>3.2258064516129031E-2</v>
      </c>
      <c r="J12" s="266">
        <f t="shared" si="0"/>
        <v>3.2258064516129031E-2</v>
      </c>
      <c r="K12" s="164">
        <f t="shared" si="2"/>
        <v>0.1111111111111111</v>
      </c>
      <c r="L12" s="340">
        <f t="shared" si="1"/>
        <v>2.5000000000000001E-2</v>
      </c>
      <c r="M12" s="203">
        <v>0</v>
      </c>
      <c r="N12" s="203">
        <v>0</v>
      </c>
      <c r="O12" s="203">
        <v>0</v>
      </c>
    </row>
    <row r="13" spans="1:20" x14ac:dyDescent="0.3">
      <c r="A13" s="463"/>
      <c r="B13" s="466"/>
      <c r="C13" s="2" t="s">
        <v>1238</v>
      </c>
      <c r="D13" s="41" t="s">
        <v>1199</v>
      </c>
      <c r="E13" s="164">
        <v>0</v>
      </c>
      <c r="F13" s="164">
        <f>100%/16</f>
        <v>6.25E-2</v>
      </c>
      <c r="G13" s="164">
        <v>0</v>
      </c>
      <c r="H13" s="164">
        <f t="shared" si="3"/>
        <v>2.7777777777777776E-2</v>
      </c>
      <c r="I13" s="266">
        <f t="shared" si="0"/>
        <v>3.2258064516129031E-2</v>
      </c>
      <c r="J13" s="266">
        <f t="shared" si="0"/>
        <v>3.2258064516129031E-2</v>
      </c>
      <c r="K13" s="164">
        <f t="shared" si="2"/>
        <v>0.1111111111111111</v>
      </c>
      <c r="L13" s="340">
        <f t="shared" si="1"/>
        <v>2.5000000000000001E-2</v>
      </c>
      <c r="M13" s="203">
        <v>0</v>
      </c>
      <c r="N13" s="203">
        <v>0</v>
      </c>
      <c r="O13" s="203">
        <v>0</v>
      </c>
    </row>
    <row r="14" spans="1:20" x14ac:dyDescent="0.3">
      <c r="A14" s="463" t="s">
        <v>1191</v>
      </c>
      <c r="B14" s="463" t="s">
        <v>1281</v>
      </c>
      <c r="C14" s="2" t="s">
        <v>1245</v>
      </c>
      <c r="D14" s="41" t="s">
        <v>1205</v>
      </c>
      <c r="E14" s="164">
        <f>100%/24</f>
        <v>4.1666666666666664E-2</v>
      </c>
      <c r="F14" s="164">
        <v>0</v>
      </c>
      <c r="G14" s="164">
        <v>0</v>
      </c>
      <c r="H14" s="164">
        <f t="shared" si="3"/>
        <v>2.7777777777777776E-2</v>
      </c>
      <c r="I14" s="266">
        <f t="shared" si="0"/>
        <v>3.2258064516129031E-2</v>
      </c>
      <c r="J14" s="266">
        <f t="shared" si="0"/>
        <v>3.2258064516129031E-2</v>
      </c>
      <c r="K14" s="164">
        <v>0</v>
      </c>
      <c r="L14" s="340">
        <f t="shared" si="1"/>
        <v>2.5000000000000001E-2</v>
      </c>
      <c r="M14" s="203">
        <v>0</v>
      </c>
      <c r="N14" s="203">
        <v>0</v>
      </c>
      <c r="O14" s="203">
        <v>0</v>
      </c>
    </row>
    <row r="15" spans="1:20" x14ac:dyDescent="0.3">
      <c r="A15" s="463"/>
      <c r="B15" s="463"/>
      <c r="C15" s="2" t="s">
        <v>1246</v>
      </c>
      <c r="D15" s="41" t="s">
        <v>1206</v>
      </c>
      <c r="E15" s="164">
        <f>100%/24</f>
        <v>4.1666666666666664E-2</v>
      </c>
      <c r="F15" s="164">
        <v>0</v>
      </c>
      <c r="G15" s="164">
        <v>0</v>
      </c>
      <c r="H15" s="164">
        <f t="shared" si="3"/>
        <v>2.7777777777777776E-2</v>
      </c>
      <c r="I15" s="266">
        <f t="shared" si="0"/>
        <v>3.2258064516129031E-2</v>
      </c>
      <c r="J15" s="266">
        <f t="shared" si="0"/>
        <v>3.2258064516129031E-2</v>
      </c>
      <c r="K15" s="164">
        <v>0</v>
      </c>
      <c r="L15" s="340">
        <f t="shared" si="1"/>
        <v>2.5000000000000001E-2</v>
      </c>
      <c r="M15" s="203">
        <v>0</v>
      </c>
      <c r="N15" s="203">
        <v>0</v>
      </c>
      <c r="O15" s="203">
        <v>0</v>
      </c>
    </row>
    <row r="16" spans="1:20" x14ac:dyDescent="0.3">
      <c r="A16" s="463"/>
      <c r="B16" s="463"/>
      <c r="C16" s="2" t="s">
        <v>1247</v>
      </c>
      <c r="D16" s="41" t="s">
        <v>1207</v>
      </c>
      <c r="E16" s="164">
        <f>100%/24</f>
        <v>4.1666666666666664E-2</v>
      </c>
      <c r="F16" s="164">
        <v>0</v>
      </c>
      <c r="G16" s="164">
        <v>0</v>
      </c>
      <c r="H16" s="164">
        <f t="shared" si="3"/>
        <v>2.7777777777777776E-2</v>
      </c>
      <c r="I16" s="266">
        <f t="shared" si="0"/>
        <v>3.2258064516129031E-2</v>
      </c>
      <c r="J16" s="266">
        <f t="shared" si="0"/>
        <v>3.2258064516129031E-2</v>
      </c>
      <c r="K16" s="164">
        <v>0</v>
      </c>
      <c r="L16" s="340">
        <f t="shared" si="1"/>
        <v>2.5000000000000001E-2</v>
      </c>
      <c r="M16" s="203">
        <v>0</v>
      </c>
      <c r="N16" s="203">
        <v>0</v>
      </c>
      <c r="O16" s="203">
        <v>0</v>
      </c>
    </row>
    <row r="17" spans="1:15" x14ac:dyDescent="0.3">
      <c r="A17" s="464" t="s">
        <v>1192</v>
      </c>
      <c r="B17" s="464" t="s">
        <v>1126</v>
      </c>
      <c r="C17" s="2" t="s">
        <v>1248</v>
      </c>
      <c r="D17" s="41" t="s">
        <v>1208</v>
      </c>
      <c r="E17" s="164">
        <f>100%/24</f>
        <v>4.1666666666666664E-2</v>
      </c>
      <c r="F17" s="164">
        <f>100%/16</f>
        <v>6.25E-2</v>
      </c>
      <c r="G17" s="164">
        <v>0</v>
      </c>
      <c r="H17" s="164">
        <f t="shared" si="3"/>
        <v>2.7777777777777776E-2</v>
      </c>
      <c r="I17" s="266">
        <f t="shared" si="0"/>
        <v>3.2258064516129031E-2</v>
      </c>
      <c r="J17" s="266">
        <f t="shared" si="0"/>
        <v>3.2258064516129031E-2</v>
      </c>
      <c r="K17" s="164">
        <v>0</v>
      </c>
      <c r="L17" s="340">
        <f t="shared" si="1"/>
        <v>2.5000000000000001E-2</v>
      </c>
      <c r="M17" s="203">
        <v>0</v>
      </c>
      <c r="N17" s="203">
        <v>0</v>
      </c>
      <c r="O17" s="203">
        <v>0</v>
      </c>
    </row>
    <row r="18" spans="1:15" x14ac:dyDescent="0.3">
      <c r="A18" s="465"/>
      <c r="B18" s="465"/>
      <c r="C18" s="2" t="s">
        <v>1249</v>
      </c>
      <c r="D18" s="41" t="s">
        <v>1209</v>
      </c>
      <c r="E18" s="164">
        <f>100%/24</f>
        <v>4.1666666666666664E-2</v>
      </c>
      <c r="F18" s="164">
        <v>0</v>
      </c>
      <c r="G18" s="164">
        <v>0</v>
      </c>
      <c r="H18" s="164">
        <f t="shared" si="3"/>
        <v>2.7777777777777776E-2</v>
      </c>
      <c r="I18" s="266">
        <f t="shared" si="0"/>
        <v>3.2258064516129031E-2</v>
      </c>
      <c r="J18" s="266">
        <f t="shared" si="0"/>
        <v>3.2258064516129031E-2</v>
      </c>
      <c r="K18" s="164">
        <v>0</v>
      </c>
      <c r="L18" s="340">
        <f t="shared" si="1"/>
        <v>2.5000000000000001E-2</v>
      </c>
      <c r="M18" s="203">
        <v>0</v>
      </c>
      <c r="N18" s="203">
        <v>0</v>
      </c>
      <c r="O18" s="203">
        <v>0</v>
      </c>
    </row>
    <row r="19" spans="1:15" x14ac:dyDescent="0.3">
      <c r="A19" s="465"/>
      <c r="B19" s="465"/>
      <c r="C19" s="2" t="s">
        <v>1250</v>
      </c>
      <c r="D19" s="41" t="s">
        <v>1210</v>
      </c>
      <c r="E19" s="164">
        <v>0</v>
      </c>
      <c r="F19" s="164">
        <f>100%/16</f>
        <v>6.25E-2</v>
      </c>
      <c r="G19" s="164">
        <v>0</v>
      </c>
      <c r="H19" s="164">
        <f t="shared" si="3"/>
        <v>2.7777777777777776E-2</v>
      </c>
      <c r="I19" s="266">
        <f t="shared" si="0"/>
        <v>3.2258064516129031E-2</v>
      </c>
      <c r="J19" s="266">
        <f t="shared" si="0"/>
        <v>3.2258064516129031E-2</v>
      </c>
      <c r="K19" s="164">
        <v>0</v>
      </c>
      <c r="L19" s="340">
        <f t="shared" si="1"/>
        <v>2.5000000000000001E-2</v>
      </c>
      <c r="M19" s="203">
        <v>0</v>
      </c>
      <c r="N19" s="203">
        <v>0</v>
      </c>
      <c r="O19" s="203">
        <v>0</v>
      </c>
    </row>
    <row r="20" spans="1:15" x14ac:dyDescent="0.3">
      <c r="A20" s="465"/>
      <c r="B20" s="465"/>
      <c r="C20" s="2" t="s">
        <v>1251</v>
      </c>
      <c r="D20" s="41" t="s">
        <v>1240</v>
      </c>
      <c r="E20" s="164">
        <f>100%/24</f>
        <v>4.1666666666666664E-2</v>
      </c>
      <c r="F20" s="164">
        <v>0</v>
      </c>
      <c r="G20" s="164">
        <v>0</v>
      </c>
      <c r="H20" s="164">
        <f t="shared" si="3"/>
        <v>2.7777777777777776E-2</v>
      </c>
      <c r="I20" s="266">
        <f t="shared" si="0"/>
        <v>3.2258064516129031E-2</v>
      </c>
      <c r="J20" s="266">
        <f t="shared" si="0"/>
        <v>3.2258064516129031E-2</v>
      </c>
      <c r="K20" s="164">
        <v>0</v>
      </c>
      <c r="L20" s="340">
        <f t="shared" si="1"/>
        <v>2.5000000000000001E-2</v>
      </c>
      <c r="M20" s="203">
        <v>0</v>
      </c>
      <c r="N20" s="203">
        <v>0</v>
      </c>
      <c r="O20" s="203">
        <v>0</v>
      </c>
    </row>
    <row r="21" spans="1:15" x14ac:dyDescent="0.3">
      <c r="A21" s="465"/>
      <c r="B21" s="465"/>
      <c r="C21" s="2" t="s">
        <v>1252</v>
      </c>
      <c r="D21" s="41" t="s">
        <v>1178</v>
      </c>
      <c r="E21" s="164">
        <f>100%/24</f>
        <v>4.1666666666666664E-2</v>
      </c>
      <c r="F21" s="164">
        <f>100%/16</f>
        <v>6.25E-2</v>
      </c>
      <c r="G21" s="164">
        <v>0</v>
      </c>
      <c r="H21" s="164">
        <f t="shared" si="3"/>
        <v>2.7777777777777776E-2</v>
      </c>
      <c r="I21" s="266">
        <f t="shared" si="0"/>
        <v>3.2258064516129031E-2</v>
      </c>
      <c r="J21" s="266">
        <f t="shared" si="0"/>
        <v>3.2258064516129031E-2</v>
      </c>
      <c r="K21" s="164">
        <v>0</v>
      </c>
      <c r="L21" s="340">
        <f t="shared" si="1"/>
        <v>2.5000000000000001E-2</v>
      </c>
      <c r="M21" s="203">
        <v>0</v>
      </c>
      <c r="N21" s="203">
        <v>0</v>
      </c>
      <c r="O21" s="203">
        <v>0</v>
      </c>
    </row>
    <row r="22" spans="1:15" x14ac:dyDescent="0.3">
      <c r="A22" s="465"/>
      <c r="B22" s="465"/>
      <c r="C22" s="2" t="s">
        <v>1253</v>
      </c>
      <c r="D22" s="41" t="s">
        <v>1244</v>
      </c>
      <c r="E22" s="164">
        <f>100%/24</f>
        <v>4.1666666666666664E-2</v>
      </c>
      <c r="F22" s="164">
        <f>100%/16</f>
        <v>6.25E-2</v>
      </c>
      <c r="G22" s="164">
        <v>0</v>
      </c>
      <c r="H22" s="164">
        <f t="shared" si="3"/>
        <v>2.7777777777777776E-2</v>
      </c>
      <c r="I22" s="266">
        <f t="shared" si="0"/>
        <v>3.2258064516129031E-2</v>
      </c>
      <c r="J22" s="266">
        <f t="shared" si="0"/>
        <v>3.2258064516129031E-2</v>
      </c>
      <c r="K22" s="164">
        <v>0</v>
      </c>
      <c r="L22" s="340">
        <f t="shared" si="1"/>
        <v>2.5000000000000001E-2</v>
      </c>
      <c r="M22" s="203">
        <v>0</v>
      </c>
      <c r="N22" s="203">
        <v>0</v>
      </c>
      <c r="O22" s="203">
        <v>0</v>
      </c>
    </row>
    <row r="23" spans="1:15" x14ac:dyDescent="0.3">
      <c r="A23" s="465"/>
      <c r="B23" s="465"/>
      <c r="C23" s="307" t="s">
        <v>1254</v>
      </c>
      <c r="D23" s="41" t="s">
        <v>1222</v>
      </c>
      <c r="E23" s="164">
        <f>100%/24</f>
        <v>4.1666666666666664E-2</v>
      </c>
      <c r="F23" s="164">
        <f>100%/16</f>
        <v>6.25E-2</v>
      </c>
      <c r="G23" s="164">
        <v>0</v>
      </c>
      <c r="H23" s="164">
        <f t="shared" si="3"/>
        <v>2.7777777777777776E-2</v>
      </c>
      <c r="I23" s="266">
        <f t="shared" si="0"/>
        <v>3.2258064516129031E-2</v>
      </c>
      <c r="J23" s="266">
        <f t="shared" si="0"/>
        <v>3.2258064516129031E-2</v>
      </c>
      <c r="K23" s="164">
        <v>0</v>
      </c>
      <c r="L23" s="340">
        <f t="shared" si="1"/>
        <v>2.5000000000000001E-2</v>
      </c>
      <c r="M23" s="203">
        <v>0</v>
      </c>
      <c r="N23" s="203">
        <f>100%/3</f>
        <v>0.33333333333333331</v>
      </c>
      <c r="O23" s="203">
        <v>0</v>
      </c>
    </row>
    <row r="24" spans="1:15" x14ac:dyDescent="0.3">
      <c r="A24" s="466"/>
      <c r="B24" s="466"/>
      <c r="C24" s="307" t="s">
        <v>1255</v>
      </c>
      <c r="D24" s="272" t="s">
        <v>1179</v>
      </c>
      <c r="E24" s="164">
        <f>100%/24</f>
        <v>4.1666666666666664E-2</v>
      </c>
      <c r="F24" s="164">
        <v>0</v>
      </c>
      <c r="G24" s="164">
        <v>0</v>
      </c>
      <c r="H24" s="164">
        <f t="shared" si="3"/>
        <v>2.7777777777777776E-2</v>
      </c>
      <c r="I24" s="266">
        <f t="shared" si="0"/>
        <v>3.2258064516129031E-2</v>
      </c>
      <c r="J24" s="266">
        <f t="shared" si="0"/>
        <v>3.2258064516129031E-2</v>
      </c>
      <c r="K24" s="164">
        <v>0</v>
      </c>
      <c r="L24" s="340">
        <f t="shared" si="1"/>
        <v>2.5000000000000001E-2</v>
      </c>
      <c r="M24" s="203">
        <v>0</v>
      </c>
      <c r="N24" s="203">
        <v>0</v>
      </c>
      <c r="O24" s="203">
        <v>0</v>
      </c>
    </row>
    <row r="25" spans="1:15" x14ac:dyDescent="0.3">
      <c r="A25" s="464" t="s">
        <v>1193</v>
      </c>
      <c r="B25" s="464" t="s">
        <v>1280</v>
      </c>
      <c r="C25" s="307" t="s">
        <v>1256</v>
      </c>
      <c r="D25" s="41" t="s">
        <v>1211</v>
      </c>
      <c r="E25" s="164">
        <v>0</v>
      </c>
      <c r="F25" s="164">
        <v>0</v>
      </c>
      <c r="G25" s="164">
        <v>0</v>
      </c>
      <c r="H25" s="164">
        <f t="shared" si="3"/>
        <v>2.7777777777777776E-2</v>
      </c>
      <c r="I25" s="341">
        <v>0</v>
      </c>
      <c r="J25" s="339">
        <v>0</v>
      </c>
      <c r="K25" s="339">
        <v>0</v>
      </c>
      <c r="L25" s="340">
        <f t="shared" si="1"/>
        <v>2.5000000000000001E-2</v>
      </c>
      <c r="M25" s="203">
        <v>0</v>
      </c>
      <c r="N25" s="342">
        <v>0</v>
      </c>
      <c r="O25" s="203">
        <v>0</v>
      </c>
    </row>
    <row r="26" spans="1:15" x14ac:dyDescent="0.3">
      <c r="A26" s="465"/>
      <c r="B26" s="465"/>
      <c r="C26" s="307" t="s">
        <v>1257</v>
      </c>
      <c r="D26" s="41" t="s">
        <v>1212</v>
      </c>
      <c r="E26" s="164">
        <f>100%/24</f>
        <v>4.1666666666666664E-2</v>
      </c>
      <c r="F26" s="164">
        <v>0</v>
      </c>
      <c r="G26" s="164">
        <v>0</v>
      </c>
      <c r="H26" s="164">
        <f t="shared" si="3"/>
        <v>2.7777777777777776E-2</v>
      </c>
      <c r="I26" s="341">
        <v>0</v>
      </c>
      <c r="J26" s="339">
        <v>0</v>
      </c>
      <c r="K26" s="339">
        <v>0</v>
      </c>
      <c r="L26" s="340">
        <f t="shared" si="1"/>
        <v>2.5000000000000001E-2</v>
      </c>
      <c r="M26" s="203">
        <v>0</v>
      </c>
      <c r="N26" s="203">
        <v>0</v>
      </c>
      <c r="O26" s="203">
        <v>0</v>
      </c>
    </row>
    <row r="27" spans="1:15" x14ac:dyDescent="0.3">
      <c r="A27" s="465"/>
      <c r="B27" s="465"/>
      <c r="C27" s="307" t="s">
        <v>1258</v>
      </c>
      <c r="D27" s="41" t="s">
        <v>1213</v>
      </c>
      <c r="E27" s="164">
        <v>0</v>
      </c>
      <c r="F27" s="164">
        <v>0</v>
      </c>
      <c r="G27" s="164">
        <v>0</v>
      </c>
      <c r="H27" s="164">
        <f t="shared" si="3"/>
        <v>2.7777777777777776E-2</v>
      </c>
      <c r="I27" s="341">
        <v>0</v>
      </c>
      <c r="J27" s="339">
        <v>0</v>
      </c>
      <c r="K27" s="339">
        <v>0</v>
      </c>
      <c r="L27" s="340">
        <f t="shared" si="1"/>
        <v>2.5000000000000001E-2</v>
      </c>
      <c r="M27" s="203">
        <v>0</v>
      </c>
      <c r="N27" s="203">
        <v>0</v>
      </c>
      <c r="O27" s="203">
        <v>0</v>
      </c>
    </row>
    <row r="28" spans="1:15" x14ac:dyDescent="0.3">
      <c r="A28" s="465"/>
      <c r="B28" s="465"/>
      <c r="C28" s="307" t="s">
        <v>1259</v>
      </c>
      <c r="D28" s="41" t="s">
        <v>1214</v>
      </c>
      <c r="E28" s="164">
        <f>100%/24</f>
        <v>4.1666666666666664E-2</v>
      </c>
      <c r="F28" s="164">
        <v>0</v>
      </c>
      <c r="G28" s="164">
        <v>0</v>
      </c>
      <c r="H28" s="164">
        <f t="shared" si="3"/>
        <v>2.7777777777777776E-2</v>
      </c>
      <c r="I28" s="341">
        <v>0</v>
      </c>
      <c r="J28" s="339">
        <v>0</v>
      </c>
      <c r="K28" s="339">
        <v>0</v>
      </c>
      <c r="L28" s="340">
        <f t="shared" si="1"/>
        <v>2.5000000000000001E-2</v>
      </c>
      <c r="M28" s="203">
        <v>0</v>
      </c>
      <c r="N28" s="203">
        <v>0</v>
      </c>
      <c r="O28" s="203">
        <v>0</v>
      </c>
    </row>
    <row r="29" spans="1:15" x14ac:dyDescent="0.3">
      <c r="A29" s="465"/>
      <c r="B29" s="465"/>
      <c r="C29" s="307" t="s">
        <v>1260</v>
      </c>
      <c r="D29" s="41" t="s">
        <v>1215</v>
      </c>
      <c r="E29" s="164">
        <f>100%/24</f>
        <v>4.1666666666666664E-2</v>
      </c>
      <c r="F29" s="164">
        <f>100%/16</f>
        <v>6.25E-2</v>
      </c>
      <c r="G29" s="164">
        <v>0</v>
      </c>
      <c r="H29" s="164">
        <f t="shared" si="3"/>
        <v>2.7777777777777776E-2</v>
      </c>
      <c r="I29" s="341">
        <v>0</v>
      </c>
      <c r="J29" s="339">
        <v>0</v>
      </c>
      <c r="K29" s="339">
        <v>0</v>
      </c>
      <c r="L29" s="340">
        <f t="shared" si="1"/>
        <v>2.5000000000000001E-2</v>
      </c>
      <c r="M29" s="203">
        <v>0</v>
      </c>
      <c r="N29" s="203">
        <v>0</v>
      </c>
      <c r="O29" s="203">
        <v>0</v>
      </c>
    </row>
    <row r="30" spans="1:15" x14ac:dyDescent="0.3">
      <c r="A30" s="465"/>
      <c r="B30" s="465"/>
      <c r="C30" s="307" t="s">
        <v>1261</v>
      </c>
      <c r="D30" s="41" t="s">
        <v>1546</v>
      </c>
      <c r="E30" s="164">
        <v>0</v>
      </c>
      <c r="F30" s="164">
        <f>100%/16</f>
        <v>6.25E-2</v>
      </c>
      <c r="G30" s="164">
        <v>0</v>
      </c>
      <c r="H30" s="164">
        <f t="shared" si="3"/>
        <v>2.7777777777777776E-2</v>
      </c>
      <c r="I30" s="341">
        <v>0</v>
      </c>
      <c r="J30" s="339">
        <v>0</v>
      </c>
      <c r="K30" s="339">
        <v>0</v>
      </c>
      <c r="L30" s="340">
        <f t="shared" si="1"/>
        <v>2.5000000000000001E-2</v>
      </c>
      <c r="M30" s="203">
        <v>0</v>
      </c>
      <c r="N30" s="203">
        <v>0</v>
      </c>
      <c r="O30" s="203">
        <v>0</v>
      </c>
    </row>
    <row r="31" spans="1:15" x14ac:dyDescent="0.3">
      <c r="A31" s="465"/>
      <c r="B31" s="465"/>
      <c r="C31" s="307" t="s">
        <v>1262</v>
      </c>
      <c r="D31" s="41" t="s">
        <v>1217</v>
      </c>
      <c r="E31" s="164">
        <f t="shared" ref="E31:E36" si="4">100%/24</f>
        <v>4.1666666666666664E-2</v>
      </c>
      <c r="F31" s="164">
        <f>100%/16</f>
        <v>6.25E-2</v>
      </c>
      <c r="G31" s="164">
        <v>0</v>
      </c>
      <c r="H31" s="164">
        <f t="shared" si="3"/>
        <v>2.7777777777777776E-2</v>
      </c>
      <c r="I31" s="266">
        <f>100%/31</f>
        <v>3.2258064516129031E-2</v>
      </c>
      <c r="J31" s="266">
        <f>100%/31</f>
        <v>3.2258064516129031E-2</v>
      </c>
      <c r="K31" s="339">
        <v>0</v>
      </c>
      <c r="L31" s="340">
        <f t="shared" si="1"/>
        <v>2.5000000000000001E-2</v>
      </c>
      <c r="M31" s="203">
        <v>0</v>
      </c>
      <c r="N31" s="203">
        <v>0</v>
      </c>
      <c r="O31" s="203">
        <v>0</v>
      </c>
    </row>
    <row r="32" spans="1:15" x14ac:dyDescent="0.3">
      <c r="A32" s="465"/>
      <c r="B32" s="465"/>
      <c r="C32" s="307" t="s">
        <v>1263</v>
      </c>
      <c r="D32" s="41" t="s">
        <v>1243</v>
      </c>
      <c r="E32" s="164">
        <f t="shared" si="4"/>
        <v>4.1666666666666664E-2</v>
      </c>
      <c r="F32" s="164">
        <f>100%/16</f>
        <v>6.25E-2</v>
      </c>
      <c r="G32" s="164">
        <v>0</v>
      </c>
      <c r="H32" s="164">
        <f t="shared" si="3"/>
        <v>2.7777777777777776E-2</v>
      </c>
      <c r="I32" s="266">
        <f>100%/31</f>
        <v>3.2258064516129031E-2</v>
      </c>
      <c r="J32" s="266">
        <f>100%/31</f>
        <v>3.2258064516129031E-2</v>
      </c>
      <c r="K32" s="339">
        <v>0</v>
      </c>
      <c r="L32" s="340">
        <f t="shared" si="1"/>
        <v>2.5000000000000001E-2</v>
      </c>
      <c r="M32" s="203">
        <v>0</v>
      </c>
      <c r="N32" s="203">
        <v>0</v>
      </c>
      <c r="O32" s="203">
        <v>0</v>
      </c>
    </row>
    <row r="33" spans="1:15" x14ac:dyDescent="0.3">
      <c r="A33" s="465"/>
      <c r="B33" s="465"/>
      <c r="C33" s="307" t="s">
        <v>1264</v>
      </c>
      <c r="D33" s="41" t="s">
        <v>1223</v>
      </c>
      <c r="E33" s="164">
        <f t="shared" si="4"/>
        <v>4.1666666666666664E-2</v>
      </c>
      <c r="F33" s="164">
        <v>0</v>
      </c>
      <c r="G33" s="164">
        <v>0</v>
      </c>
      <c r="H33" s="164">
        <f t="shared" si="3"/>
        <v>2.7777777777777776E-2</v>
      </c>
      <c r="I33" s="341">
        <v>0</v>
      </c>
      <c r="J33" s="339">
        <v>0</v>
      </c>
      <c r="K33" s="339">
        <v>0</v>
      </c>
      <c r="L33" s="340">
        <f t="shared" si="1"/>
        <v>2.5000000000000001E-2</v>
      </c>
      <c r="M33" s="203">
        <v>0</v>
      </c>
      <c r="N33" s="203">
        <f>100%/3</f>
        <v>0.33333333333333331</v>
      </c>
      <c r="O33" s="203">
        <v>0</v>
      </c>
    </row>
    <row r="34" spans="1:15" x14ac:dyDescent="0.3">
      <c r="A34" s="466"/>
      <c r="B34" s="466"/>
      <c r="C34" s="307" t="s">
        <v>1265</v>
      </c>
      <c r="D34" s="41" t="s">
        <v>1224</v>
      </c>
      <c r="E34" s="164">
        <f t="shared" si="4"/>
        <v>4.1666666666666664E-2</v>
      </c>
      <c r="F34" s="164">
        <v>0</v>
      </c>
      <c r="G34" s="164">
        <v>0</v>
      </c>
      <c r="H34" s="164">
        <f t="shared" si="3"/>
        <v>2.7777777777777776E-2</v>
      </c>
      <c r="I34" s="341">
        <v>0</v>
      </c>
      <c r="J34" s="339">
        <v>0</v>
      </c>
      <c r="K34" s="339">
        <v>0</v>
      </c>
      <c r="L34" s="340">
        <f t="shared" si="1"/>
        <v>2.5000000000000001E-2</v>
      </c>
      <c r="M34" s="203">
        <v>0</v>
      </c>
      <c r="N34" s="203">
        <f>100%/3</f>
        <v>0.33333333333333331</v>
      </c>
      <c r="O34" s="203">
        <v>0</v>
      </c>
    </row>
    <row r="35" spans="1:15" x14ac:dyDescent="0.3">
      <c r="A35" s="463" t="s">
        <v>1194</v>
      </c>
      <c r="B35" s="463" t="s">
        <v>1188</v>
      </c>
      <c r="C35" s="307" t="s">
        <v>1266</v>
      </c>
      <c r="D35" s="41" t="s">
        <v>1218</v>
      </c>
      <c r="E35" s="164">
        <f t="shared" si="4"/>
        <v>4.1666666666666664E-2</v>
      </c>
      <c r="F35" s="164">
        <f>100%/16</f>
        <v>6.25E-2</v>
      </c>
      <c r="G35" s="164">
        <v>0</v>
      </c>
      <c r="H35" s="164">
        <f t="shared" si="3"/>
        <v>2.7777777777777776E-2</v>
      </c>
      <c r="I35" s="266">
        <f>100%/31</f>
        <v>3.2258064516129031E-2</v>
      </c>
      <c r="J35" s="266">
        <f>100%/31</f>
        <v>3.2258064516129031E-2</v>
      </c>
      <c r="K35" s="339">
        <v>0</v>
      </c>
      <c r="L35" s="340">
        <f t="shared" si="1"/>
        <v>2.5000000000000001E-2</v>
      </c>
      <c r="M35" s="203">
        <v>0</v>
      </c>
      <c r="N35" s="203">
        <v>0</v>
      </c>
      <c r="O35" s="203">
        <v>0</v>
      </c>
    </row>
    <row r="36" spans="1:15" x14ac:dyDescent="0.3">
      <c r="A36" s="463"/>
      <c r="B36" s="463"/>
      <c r="C36" s="307" t="s">
        <v>1267</v>
      </c>
      <c r="D36" s="41" t="s">
        <v>1219</v>
      </c>
      <c r="E36" s="164">
        <f t="shared" si="4"/>
        <v>4.1666666666666664E-2</v>
      </c>
      <c r="F36" s="164">
        <v>0</v>
      </c>
      <c r="G36" s="164">
        <v>0</v>
      </c>
      <c r="H36" s="164">
        <f t="shared" si="3"/>
        <v>2.7777777777777776E-2</v>
      </c>
      <c r="I36" s="341">
        <v>0</v>
      </c>
      <c r="J36" s="339">
        <v>0</v>
      </c>
      <c r="K36" s="339">
        <v>0</v>
      </c>
      <c r="L36" s="340">
        <f t="shared" si="1"/>
        <v>2.5000000000000001E-2</v>
      </c>
      <c r="M36" s="203">
        <v>0</v>
      </c>
      <c r="N36" s="203">
        <v>0</v>
      </c>
      <c r="O36" s="203">
        <v>0</v>
      </c>
    </row>
    <row r="37" spans="1:15" x14ac:dyDescent="0.3">
      <c r="A37" s="463"/>
      <c r="B37" s="463"/>
      <c r="C37" s="307" t="s">
        <v>1268</v>
      </c>
      <c r="D37" s="41" t="s">
        <v>1220</v>
      </c>
      <c r="E37" s="164">
        <v>0</v>
      </c>
      <c r="F37" s="164">
        <v>0</v>
      </c>
      <c r="G37" s="164">
        <v>0</v>
      </c>
      <c r="H37" s="164">
        <f t="shared" si="3"/>
        <v>2.7777777777777776E-2</v>
      </c>
      <c r="I37" s="266">
        <f t="shared" ref="I37:J42" si="5">100%/31</f>
        <v>3.2258064516129031E-2</v>
      </c>
      <c r="J37" s="266">
        <f t="shared" si="5"/>
        <v>3.2258064516129031E-2</v>
      </c>
      <c r="K37" s="339">
        <v>0</v>
      </c>
      <c r="L37" s="340">
        <f t="shared" si="1"/>
        <v>2.5000000000000001E-2</v>
      </c>
      <c r="M37" s="203">
        <v>0</v>
      </c>
      <c r="N37" s="215">
        <v>0</v>
      </c>
      <c r="O37" s="203">
        <v>0</v>
      </c>
    </row>
    <row r="38" spans="1:15" x14ac:dyDescent="0.3">
      <c r="A38" s="463"/>
      <c r="B38" s="463"/>
      <c r="C38" s="307" t="s">
        <v>1269</v>
      </c>
      <c r="D38" s="41" t="s">
        <v>1221</v>
      </c>
      <c r="E38" s="164">
        <v>0</v>
      </c>
      <c r="F38" s="164">
        <v>0</v>
      </c>
      <c r="G38" s="164">
        <v>0</v>
      </c>
      <c r="H38" s="164">
        <f t="shared" si="3"/>
        <v>2.7777777777777776E-2</v>
      </c>
      <c r="I38" s="266">
        <f t="shared" si="5"/>
        <v>3.2258064516129031E-2</v>
      </c>
      <c r="J38" s="266">
        <f t="shared" si="5"/>
        <v>3.2258064516129031E-2</v>
      </c>
      <c r="K38" s="339">
        <v>0</v>
      </c>
      <c r="L38" s="340">
        <f t="shared" si="1"/>
        <v>2.5000000000000001E-2</v>
      </c>
      <c r="M38" s="203">
        <v>0</v>
      </c>
      <c r="N38" s="215">
        <v>0</v>
      </c>
      <c r="O38" s="203">
        <v>0</v>
      </c>
    </row>
    <row r="39" spans="1:15" x14ac:dyDescent="0.3">
      <c r="A39" s="463"/>
      <c r="B39" s="463"/>
      <c r="C39" s="307" t="s">
        <v>1270</v>
      </c>
      <c r="D39" s="41" t="s">
        <v>1242</v>
      </c>
      <c r="E39" s="164">
        <f>100%/24</f>
        <v>4.1666666666666664E-2</v>
      </c>
      <c r="F39" s="164">
        <v>0</v>
      </c>
      <c r="G39" s="164">
        <v>0</v>
      </c>
      <c r="H39" s="164">
        <f t="shared" si="3"/>
        <v>2.7777777777777776E-2</v>
      </c>
      <c r="I39" s="266">
        <f t="shared" si="5"/>
        <v>3.2258064516129031E-2</v>
      </c>
      <c r="J39" s="266">
        <f t="shared" si="5"/>
        <v>3.2258064516129031E-2</v>
      </c>
      <c r="K39" s="339">
        <v>0</v>
      </c>
      <c r="L39" s="340">
        <f t="shared" si="1"/>
        <v>2.5000000000000001E-2</v>
      </c>
      <c r="M39" s="203">
        <v>0</v>
      </c>
      <c r="N39" s="215">
        <v>0</v>
      </c>
      <c r="O39" s="203">
        <v>0</v>
      </c>
    </row>
    <row r="40" spans="1:15" x14ac:dyDescent="0.3">
      <c r="A40" s="463" t="s">
        <v>1418</v>
      </c>
      <c r="B40" s="463" t="s">
        <v>1225</v>
      </c>
      <c r="C40" s="307" t="s">
        <v>1454</v>
      </c>
      <c r="D40" s="41" t="s">
        <v>1226</v>
      </c>
      <c r="E40" s="164">
        <v>0</v>
      </c>
      <c r="F40" s="164">
        <f>100%/16</f>
        <v>6.25E-2</v>
      </c>
      <c r="G40" s="164">
        <v>0</v>
      </c>
      <c r="H40" s="164">
        <f t="shared" si="3"/>
        <v>2.7777777777777776E-2</v>
      </c>
      <c r="I40" s="266">
        <f t="shared" si="5"/>
        <v>3.2258064516129031E-2</v>
      </c>
      <c r="J40" s="266">
        <f t="shared" si="5"/>
        <v>3.2258064516129031E-2</v>
      </c>
      <c r="K40" s="339">
        <v>0</v>
      </c>
      <c r="L40" s="340">
        <f t="shared" si="1"/>
        <v>2.5000000000000001E-2</v>
      </c>
      <c r="M40" s="203">
        <v>0</v>
      </c>
      <c r="N40" s="215">
        <v>0</v>
      </c>
      <c r="O40" s="203">
        <v>0</v>
      </c>
    </row>
    <row r="41" spans="1:15" x14ac:dyDescent="0.3">
      <c r="A41" s="463"/>
      <c r="B41" s="463"/>
      <c r="C41" s="307" t="s">
        <v>1455</v>
      </c>
      <c r="D41" s="41" t="s">
        <v>1227</v>
      </c>
      <c r="E41" s="339">
        <v>0</v>
      </c>
      <c r="F41" s="339">
        <v>0</v>
      </c>
      <c r="G41" s="339">
        <v>0</v>
      </c>
      <c r="H41" s="339">
        <v>0</v>
      </c>
      <c r="I41" s="266">
        <f t="shared" si="5"/>
        <v>3.2258064516129031E-2</v>
      </c>
      <c r="J41" s="266">
        <f t="shared" si="5"/>
        <v>3.2258064516129031E-2</v>
      </c>
      <c r="K41" s="339">
        <v>0</v>
      </c>
      <c r="L41" s="340">
        <f t="shared" si="1"/>
        <v>2.5000000000000001E-2</v>
      </c>
      <c r="M41" s="203">
        <v>0</v>
      </c>
      <c r="N41" s="215">
        <v>0</v>
      </c>
      <c r="O41" s="203">
        <v>0</v>
      </c>
    </row>
    <row r="42" spans="1:15" x14ac:dyDescent="0.3">
      <c r="A42" s="463"/>
      <c r="B42" s="463"/>
      <c r="C42" s="2" t="s">
        <v>1271</v>
      </c>
      <c r="D42" s="41" t="s">
        <v>1228</v>
      </c>
      <c r="E42" s="339">
        <v>0</v>
      </c>
      <c r="F42" s="339">
        <v>0</v>
      </c>
      <c r="G42" s="339">
        <v>0</v>
      </c>
      <c r="H42" s="164">
        <f t="shared" si="3"/>
        <v>2.7777777777777776E-2</v>
      </c>
      <c r="I42" s="266">
        <f t="shared" si="5"/>
        <v>3.2258064516129031E-2</v>
      </c>
      <c r="J42" s="266">
        <f t="shared" si="5"/>
        <v>3.2258064516129031E-2</v>
      </c>
      <c r="K42" s="339">
        <v>0</v>
      </c>
      <c r="L42" s="340">
        <f t="shared" si="1"/>
        <v>2.5000000000000001E-2</v>
      </c>
      <c r="M42" s="203">
        <v>0</v>
      </c>
      <c r="N42" s="215">
        <v>0</v>
      </c>
      <c r="O42" s="203">
        <v>0</v>
      </c>
    </row>
    <row r="43" spans="1:15" x14ac:dyDescent="0.3">
      <c r="A43" s="40"/>
      <c r="B43" s="40"/>
      <c r="C43" s="40"/>
      <c r="D43" s="172"/>
      <c r="E43" s="303">
        <f>SUM(E3:E42)</f>
        <v>0.99999999999999956</v>
      </c>
      <c r="F43" s="303">
        <f t="shared" ref="F43:K43" si="6">SUM(F3:F42)</f>
        <v>1</v>
      </c>
      <c r="G43" s="303">
        <f t="shared" si="6"/>
        <v>1</v>
      </c>
      <c r="H43" s="303">
        <f t="shared" si="6"/>
        <v>1.0000000000000002</v>
      </c>
      <c r="I43" s="303">
        <f t="shared" si="6"/>
        <v>0.99999999999999933</v>
      </c>
      <c r="J43" s="303">
        <f t="shared" si="6"/>
        <v>0.99999999999999933</v>
      </c>
      <c r="K43" s="303">
        <f t="shared" si="6"/>
        <v>1.0000000000000002</v>
      </c>
      <c r="L43" s="169">
        <f>SUM(L3:L42)</f>
        <v>1.0000000000000004</v>
      </c>
      <c r="M43" s="169">
        <f>SUM(M3:M42)</f>
        <v>1</v>
      </c>
      <c r="N43" s="169">
        <f>SUM(N3:N42)</f>
        <v>1</v>
      </c>
      <c r="O43" s="169">
        <f>SUM(O3:O42)</f>
        <v>1</v>
      </c>
    </row>
  </sheetData>
  <mergeCells count="16">
    <mergeCell ref="E1:O1"/>
    <mergeCell ref="S10:S11"/>
    <mergeCell ref="T10:T11"/>
    <mergeCell ref="A40:A42"/>
    <mergeCell ref="B40:B42"/>
    <mergeCell ref="A17:A24"/>
    <mergeCell ref="B17:B24"/>
    <mergeCell ref="A25:A34"/>
    <mergeCell ref="B25:B34"/>
    <mergeCell ref="A35:A39"/>
    <mergeCell ref="B35:B39"/>
    <mergeCell ref="A1:D1"/>
    <mergeCell ref="A3:A13"/>
    <mergeCell ref="B3:B13"/>
    <mergeCell ref="A14:A16"/>
    <mergeCell ref="B14:B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122C-DFF5-434D-800E-D8C6CC3B9CD7}">
  <dimension ref="A1:CC93"/>
  <sheetViews>
    <sheetView showGridLines="0" showRowColHeaders="0" topLeftCell="A47" zoomScale="115" zoomScaleNormal="115" workbookViewId="0">
      <selection activeCell="AY35" sqref="AY35"/>
    </sheetView>
  </sheetViews>
  <sheetFormatPr baseColWidth="10" defaultRowHeight="14.4" x14ac:dyDescent="0.3"/>
  <cols>
    <col min="1" max="1" width="14.88671875" style="40" customWidth="1"/>
    <col min="2" max="3" width="30.109375" style="40" customWidth="1"/>
    <col min="4" max="4" width="63.109375" style="40" bestFit="1" customWidth="1"/>
    <col min="5" max="5" width="15.6640625" style="71" bestFit="1" customWidth="1"/>
    <col min="6" max="7" width="15.21875" style="40" customWidth="1"/>
    <col min="8" max="8" width="17.33203125" style="40" bestFit="1" customWidth="1"/>
    <col min="9" max="9" width="16.33203125" style="40" customWidth="1"/>
    <col min="10" max="10" width="12.21875" style="40" bestFit="1" customWidth="1"/>
    <col min="11" max="11" width="13.6640625" style="40" customWidth="1"/>
    <col min="12" max="12" width="15" style="40" bestFit="1" customWidth="1"/>
    <col min="13" max="13" width="18.6640625" style="40" customWidth="1"/>
    <col min="14" max="14" width="21.6640625" style="40" customWidth="1"/>
    <col min="15" max="16" width="18.33203125" style="40" customWidth="1"/>
    <col min="17" max="17" width="17.77734375" style="40" customWidth="1"/>
    <col min="18" max="18" width="15.33203125" style="40" customWidth="1"/>
    <col min="19" max="19" width="14.21875" style="40" customWidth="1"/>
    <col min="20" max="20" width="16" style="40" customWidth="1"/>
    <col min="21" max="21" width="19.77734375" style="40" customWidth="1"/>
    <col min="22" max="22" width="15" style="40" customWidth="1"/>
    <col min="23" max="23" width="16.77734375" customWidth="1"/>
    <col min="24" max="24" width="15.6640625" customWidth="1"/>
    <col min="25" max="25" width="30.109375" bestFit="1" customWidth="1"/>
  </cols>
  <sheetData>
    <row r="1" spans="1:81" x14ac:dyDescent="0.3">
      <c r="A1" s="468" t="s">
        <v>1932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</row>
    <row r="2" spans="1:81" ht="41.4" customHeight="1" x14ac:dyDescent="0.3">
      <c r="A2" s="281" t="s">
        <v>1423</v>
      </c>
      <c r="B2" s="471" t="s">
        <v>1540</v>
      </c>
      <c r="C2" s="471" t="s">
        <v>1541</v>
      </c>
      <c r="D2" s="471" t="s">
        <v>1150</v>
      </c>
      <c r="E2" s="469" t="s">
        <v>1424</v>
      </c>
      <c r="F2" s="474"/>
      <c r="G2" s="470"/>
      <c r="H2" s="273" t="s">
        <v>1153</v>
      </c>
      <c r="I2" s="369" t="s">
        <v>1441</v>
      </c>
      <c r="J2" s="369"/>
      <c r="K2" s="369"/>
      <c r="L2" s="369"/>
      <c r="M2" s="369"/>
      <c r="N2" s="273" t="s">
        <v>1425</v>
      </c>
      <c r="O2" s="273" t="s">
        <v>1426</v>
      </c>
      <c r="P2" s="469" t="s">
        <v>1539</v>
      </c>
      <c r="Q2" s="470"/>
      <c r="R2" s="369" t="s">
        <v>1427</v>
      </c>
      <c r="S2" s="369"/>
      <c r="T2" s="369"/>
      <c r="U2" s="369"/>
      <c r="V2" s="369"/>
      <c r="W2" s="274" t="s">
        <v>1446</v>
      </c>
      <c r="X2" s="274" t="s">
        <v>1536</v>
      </c>
    </row>
    <row r="3" spans="1:81" ht="41.4" x14ac:dyDescent="0.3">
      <c r="A3" s="472" t="s">
        <v>1428</v>
      </c>
      <c r="B3" s="472"/>
      <c r="C3" s="472"/>
      <c r="D3" s="472"/>
      <c r="E3" s="275" t="s">
        <v>1440</v>
      </c>
      <c r="F3" s="276" t="s">
        <v>1532</v>
      </c>
      <c r="G3" s="276" t="s">
        <v>1547</v>
      </c>
      <c r="H3" s="274" t="s">
        <v>1429</v>
      </c>
      <c r="I3" s="274" t="s">
        <v>1430</v>
      </c>
      <c r="J3" s="274" t="s">
        <v>1160</v>
      </c>
      <c r="K3" s="277" t="s">
        <v>1451</v>
      </c>
      <c r="L3" s="277" t="s">
        <v>1444</v>
      </c>
      <c r="M3" s="277" t="s">
        <v>1543</v>
      </c>
      <c r="N3" s="274" t="s">
        <v>1431</v>
      </c>
      <c r="O3" s="274" t="s">
        <v>1452</v>
      </c>
      <c r="P3" s="274" t="s">
        <v>1551</v>
      </c>
      <c r="Q3" s="274" t="s">
        <v>1552</v>
      </c>
      <c r="R3" s="274" t="s">
        <v>1432</v>
      </c>
      <c r="S3" s="278" t="s">
        <v>1433</v>
      </c>
      <c r="T3" s="274" t="s">
        <v>1442</v>
      </c>
      <c r="U3" s="274" t="s">
        <v>1535</v>
      </c>
      <c r="V3" s="274" t="s">
        <v>1443</v>
      </c>
      <c r="W3" s="274" t="s">
        <v>1447</v>
      </c>
      <c r="X3" s="278" t="s">
        <v>1536</v>
      </c>
    </row>
    <row r="4" spans="1:81" x14ac:dyDescent="0.3">
      <c r="A4" s="472"/>
      <c r="B4" s="472"/>
      <c r="C4" s="472"/>
      <c r="D4" s="472"/>
      <c r="E4" s="284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</row>
    <row r="5" spans="1:81" ht="34.799999999999997" customHeight="1" x14ac:dyDescent="0.3">
      <c r="A5" s="473"/>
      <c r="B5" s="473"/>
      <c r="C5" s="473"/>
      <c r="D5" s="473"/>
      <c r="E5" s="273" t="s">
        <v>1434</v>
      </c>
      <c r="F5" s="274" t="s">
        <v>1434</v>
      </c>
      <c r="G5" s="287" t="s">
        <v>1922</v>
      </c>
      <c r="H5" s="282" t="s">
        <v>1435</v>
      </c>
      <c r="I5" s="282" t="s">
        <v>1436</v>
      </c>
      <c r="J5" s="283" t="s">
        <v>1437</v>
      </c>
      <c r="K5" s="283" t="s">
        <v>1437</v>
      </c>
      <c r="L5" s="283" t="s">
        <v>1445</v>
      </c>
      <c r="M5" s="287" t="s">
        <v>1922</v>
      </c>
      <c r="N5" s="282" t="s">
        <v>1436</v>
      </c>
      <c r="O5" s="282" t="s">
        <v>1549</v>
      </c>
      <c r="P5" s="282" t="s">
        <v>1436</v>
      </c>
      <c r="Q5" s="282" t="s">
        <v>1123</v>
      </c>
      <c r="R5" s="282" t="s">
        <v>1438</v>
      </c>
      <c r="S5" s="287" t="s">
        <v>1922</v>
      </c>
      <c r="T5" s="282" t="s">
        <v>1449</v>
      </c>
      <c r="U5" s="287" t="s">
        <v>1922</v>
      </c>
      <c r="V5" s="287" t="s">
        <v>1922</v>
      </c>
      <c r="W5" s="287" t="s">
        <v>1922</v>
      </c>
      <c r="X5" s="287" t="s">
        <v>1922</v>
      </c>
    </row>
    <row r="6" spans="1:81" s="51" customFormat="1" ht="21.6" customHeight="1" x14ac:dyDescent="0.3">
      <c r="A6" s="475" t="s">
        <v>1190</v>
      </c>
      <c r="B6" s="475" t="s">
        <v>1417</v>
      </c>
      <c r="C6" s="263" t="s">
        <v>1229</v>
      </c>
      <c r="D6" s="41" t="s">
        <v>1204</v>
      </c>
      <c r="E6" s="184">
        <f>'04-MO'!H54*6</f>
        <v>120</v>
      </c>
      <c r="F6" s="158">
        <v>0</v>
      </c>
      <c r="G6" s="203">
        <f>'07-CONSUMO DE RECURSOS'!J3</f>
        <v>3.2258064516129031E-2</v>
      </c>
      <c r="H6" s="184">
        <f>'06-CIC'!J16</f>
        <v>0.27777777777777779</v>
      </c>
      <c r="I6" s="184">
        <f>'06-CIC'!J67</f>
        <v>0.27777777777777779</v>
      </c>
      <c r="J6" s="203">
        <f>'07-CONSUMO DE RECURSOS'!H3</f>
        <v>0</v>
      </c>
      <c r="K6" s="159">
        <f>'07-CONSUMO DE RECURSOS'!E3</f>
        <v>0</v>
      </c>
      <c r="L6" s="225">
        <f>'06-CIC'!H178</f>
        <v>1.3333333333333333</v>
      </c>
      <c r="M6" s="159">
        <v>0</v>
      </c>
      <c r="N6" s="210">
        <v>0.27777777777777779</v>
      </c>
      <c r="O6" s="184">
        <f>'05-EQUIPOS'!F45*6</f>
        <v>120</v>
      </c>
      <c r="P6" s="184">
        <v>0.27777777777777779</v>
      </c>
      <c r="Q6" s="203">
        <f>'07-CONSUMO DE RECURSOS'!K3</f>
        <v>0.1111111111111111</v>
      </c>
      <c r="R6" s="184">
        <v>0.27777777777777779</v>
      </c>
      <c r="S6" s="161">
        <v>0</v>
      </c>
      <c r="T6" s="203">
        <f>'07-CONSUMO DE RECURSOS'!I3</f>
        <v>3.2258064516129031E-2</v>
      </c>
      <c r="U6" s="203">
        <v>1</v>
      </c>
      <c r="V6" s="203">
        <f>'07-CONSUMO DE RECURSOS'!G3</f>
        <v>0.33333333333333331</v>
      </c>
      <c r="W6" s="203">
        <v>1</v>
      </c>
      <c r="X6" s="161">
        <f>100%/40</f>
        <v>2.5000000000000001E-2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1:81" s="51" customFormat="1" ht="21.6" customHeight="1" x14ac:dyDescent="0.3">
      <c r="A7" s="476"/>
      <c r="B7" s="476"/>
      <c r="C7" s="263" t="s">
        <v>1230</v>
      </c>
      <c r="D7" s="41" t="s">
        <v>1203</v>
      </c>
      <c r="E7" s="184">
        <f>'04-MO'!H55*6</f>
        <v>120</v>
      </c>
      <c r="F7" s="158">
        <v>0</v>
      </c>
      <c r="G7" s="203">
        <f>'07-CONSUMO DE RECURSOS'!J4</f>
        <v>3.2258064516129031E-2</v>
      </c>
      <c r="H7" s="184">
        <f>'06-CIC'!J17</f>
        <v>0.27777777777777779</v>
      </c>
      <c r="I7" s="184">
        <f>'06-CIC'!J68</f>
        <v>0.27777777777777779</v>
      </c>
      <c r="J7" s="203">
        <f>'07-CONSUMO DE RECURSOS'!H4</f>
        <v>2.7777777777777776E-2</v>
      </c>
      <c r="K7" s="159">
        <f>'07-CONSUMO DE RECURSOS'!E4</f>
        <v>4.1666666666666664E-2</v>
      </c>
      <c r="L7" s="225">
        <f>'06-CIC'!H179</f>
        <v>1.3333333333333333</v>
      </c>
      <c r="M7" s="159">
        <v>0</v>
      </c>
      <c r="N7" s="210">
        <v>0.27777777777777779</v>
      </c>
      <c r="O7" s="184">
        <f>'05-EQUIPOS'!F46*6</f>
        <v>120</v>
      </c>
      <c r="P7" s="184">
        <v>0.27777777777777779</v>
      </c>
      <c r="Q7" s="203">
        <f>'07-CONSUMO DE RECURSOS'!K4</f>
        <v>0.1111111111111111</v>
      </c>
      <c r="R7" s="184">
        <v>0.27777777777777779</v>
      </c>
      <c r="S7" s="161">
        <v>0</v>
      </c>
      <c r="T7" s="203">
        <f>'07-CONSUMO DE RECURSOS'!I4</f>
        <v>3.2258064516129031E-2</v>
      </c>
      <c r="U7" s="203">
        <v>0</v>
      </c>
      <c r="V7" s="203">
        <f>'07-CONSUMO DE RECURSOS'!G4</f>
        <v>0</v>
      </c>
      <c r="W7" s="203">
        <v>0</v>
      </c>
      <c r="X7" s="161">
        <f t="shared" ref="X7:X45" si="0">100%/40</f>
        <v>2.5000000000000001E-2</v>
      </c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</row>
    <row r="8" spans="1:81" s="51" customFormat="1" ht="21.6" customHeight="1" x14ac:dyDescent="0.3">
      <c r="A8" s="476"/>
      <c r="B8" s="476"/>
      <c r="C8" s="263" t="s">
        <v>1231</v>
      </c>
      <c r="D8" s="41" t="s">
        <v>1202</v>
      </c>
      <c r="E8" s="184">
        <f>'04-MO'!H56*6</f>
        <v>120</v>
      </c>
      <c r="F8" s="158">
        <v>0</v>
      </c>
      <c r="G8" s="203">
        <f>'07-CONSUMO DE RECURSOS'!J5</f>
        <v>3.2258064516129031E-2</v>
      </c>
      <c r="H8" s="184">
        <f>'06-CIC'!J18</f>
        <v>0.27777777777777779</v>
      </c>
      <c r="I8" s="184">
        <f>'06-CIC'!J69</f>
        <v>0.27777777777777779</v>
      </c>
      <c r="J8" s="203">
        <f>'07-CONSUMO DE RECURSOS'!H5</f>
        <v>2.7777777777777776E-2</v>
      </c>
      <c r="K8" s="159">
        <f>'07-CONSUMO DE RECURSOS'!E5</f>
        <v>0</v>
      </c>
      <c r="L8" s="225">
        <f>'06-CIC'!H180</f>
        <v>1.3333333333333333</v>
      </c>
      <c r="M8" s="159">
        <v>0</v>
      </c>
      <c r="N8" s="210">
        <v>0.27777777777777779</v>
      </c>
      <c r="O8" s="184">
        <f>'05-EQUIPOS'!F47*6</f>
        <v>120</v>
      </c>
      <c r="P8" s="184">
        <v>0.27777777777777779</v>
      </c>
      <c r="Q8" s="203">
        <f>'07-CONSUMO DE RECURSOS'!K5</f>
        <v>0.1111111111111111</v>
      </c>
      <c r="R8" s="184">
        <v>0.27777777777777779</v>
      </c>
      <c r="S8" s="161">
        <v>0</v>
      </c>
      <c r="T8" s="203">
        <f>'07-CONSUMO DE RECURSOS'!I5</f>
        <v>3.2258064516129031E-2</v>
      </c>
      <c r="U8" s="203">
        <v>0</v>
      </c>
      <c r="V8" s="203">
        <f>'07-CONSUMO DE RECURSOS'!G5</f>
        <v>0</v>
      </c>
      <c r="W8" s="203">
        <v>0</v>
      </c>
      <c r="X8" s="161">
        <f t="shared" si="0"/>
        <v>2.5000000000000001E-2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</row>
    <row r="9" spans="1:81" s="51" customFormat="1" ht="21.6" customHeight="1" x14ac:dyDescent="0.3">
      <c r="A9" s="476"/>
      <c r="B9" s="476"/>
      <c r="C9" s="263" t="s">
        <v>1232</v>
      </c>
      <c r="D9" s="41" t="s">
        <v>1151</v>
      </c>
      <c r="E9" s="184">
        <f>'04-MO'!H57*6</f>
        <v>180</v>
      </c>
      <c r="F9" s="158">
        <v>0</v>
      </c>
      <c r="G9" s="203">
        <f>'07-CONSUMO DE RECURSOS'!J6</f>
        <v>3.2258064516129031E-2</v>
      </c>
      <c r="H9" s="184">
        <v>0</v>
      </c>
      <c r="I9" s="184">
        <v>0</v>
      </c>
      <c r="J9" s="203">
        <f>'07-CONSUMO DE RECURSOS'!H6</f>
        <v>0</v>
      </c>
      <c r="K9" s="159">
        <f>'07-CONSUMO DE RECURSOS'!E6</f>
        <v>0</v>
      </c>
      <c r="L9" s="225">
        <f>'06-CIC'!H181</f>
        <v>1.3333333333333333</v>
      </c>
      <c r="M9" s="159">
        <v>0</v>
      </c>
      <c r="N9" s="210">
        <v>0</v>
      </c>
      <c r="O9" s="184">
        <v>0</v>
      </c>
      <c r="P9" s="184">
        <v>0</v>
      </c>
      <c r="Q9" s="203">
        <f>'07-CONSUMO DE RECURSOS'!K6</f>
        <v>0</v>
      </c>
      <c r="R9" s="184">
        <v>0</v>
      </c>
      <c r="S9" s="161">
        <v>0</v>
      </c>
      <c r="T9" s="203">
        <f>'07-CONSUMO DE RECURSOS'!I6</f>
        <v>3.2258064516129031E-2</v>
      </c>
      <c r="U9" s="203">
        <v>0</v>
      </c>
      <c r="V9" s="203">
        <f>'07-CONSUMO DE RECURSOS'!G6</f>
        <v>0.33333333333333331</v>
      </c>
      <c r="W9" s="203">
        <v>0</v>
      </c>
      <c r="X9" s="161">
        <f t="shared" si="0"/>
        <v>2.5000000000000001E-2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</row>
    <row r="10" spans="1:81" s="51" customFormat="1" ht="21.6" customHeight="1" x14ac:dyDescent="0.3">
      <c r="A10" s="476"/>
      <c r="B10" s="476"/>
      <c r="C10" s="263" t="s">
        <v>1233</v>
      </c>
      <c r="D10" s="41" t="s">
        <v>1201</v>
      </c>
      <c r="E10" s="184">
        <f>'04-MO'!H58*6</f>
        <v>180</v>
      </c>
      <c r="F10" s="158">
        <v>0</v>
      </c>
      <c r="G10" s="203">
        <f>'07-CONSUMO DE RECURSOS'!J7</f>
        <v>3.2258064516129031E-2</v>
      </c>
      <c r="H10" s="184">
        <v>0</v>
      </c>
      <c r="I10" s="184">
        <v>0</v>
      </c>
      <c r="J10" s="203">
        <f>'07-CONSUMO DE RECURSOS'!H7</f>
        <v>0</v>
      </c>
      <c r="K10" s="159">
        <f>'07-CONSUMO DE RECURSOS'!E7</f>
        <v>0</v>
      </c>
      <c r="L10" s="225">
        <f>'06-CIC'!H182</f>
        <v>1.3333333333333333</v>
      </c>
      <c r="M10" s="159">
        <v>0</v>
      </c>
      <c r="N10" s="210">
        <v>0</v>
      </c>
      <c r="O10" s="184">
        <v>0</v>
      </c>
      <c r="P10" s="184">
        <v>0</v>
      </c>
      <c r="Q10" s="203">
        <f>'07-CONSUMO DE RECURSOS'!K7</f>
        <v>0</v>
      </c>
      <c r="R10" s="184">
        <v>0</v>
      </c>
      <c r="S10" s="161">
        <v>0</v>
      </c>
      <c r="T10" s="203">
        <f>'07-CONSUMO DE RECURSOS'!I7</f>
        <v>3.2258064516129031E-2</v>
      </c>
      <c r="U10" s="203">
        <v>0</v>
      </c>
      <c r="V10" s="203">
        <f>'07-CONSUMO DE RECURSOS'!G7</f>
        <v>0.33333333333333331</v>
      </c>
      <c r="W10" s="203">
        <v>0</v>
      </c>
      <c r="X10" s="161">
        <f t="shared" si="0"/>
        <v>2.5000000000000001E-2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s="51" customFormat="1" ht="21.6" customHeight="1" x14ac:dyDescent="0.3">
      <c r="A11" s="476"/>
      <c r="B11" s="476"/>
      <c r="C11" s="263" t="s">
        <v>1234</v>
      </c>
      <c r="D11" s="41" t="s">
        <v>1200</v>
      </c>
      <c r="E11" s="184">
        <f>'04-MO'!H59*6</f>
        <v>108</v>
      </c>
      <c r="F11" s="158">
        <v>0</v>
      </c>
      <c r="G11" s="203">
        <f>'07-CONSUMO DE RECURSOS'!J8</f>
        <v>3.2258064516129031E-2</v>
      </c>
      <c r="H11" s="184">
        <f>'06-CIC'!J19</f>
        <v>0.27777777777777779</v>
      </c>
      <c r="I11" s="15">
        <f>'06-CIC'!J70</f>
        <v>0.27777777777777779</v>
      </c>
      <c r="J11" s="203">
        <f>'07-CONSUMO DE RECURSOS'!H8</f>
        <v>2.7777777777777776E-2</v>
      </c>
      <c r="K11" s="159">
        <f>'07-CONSUMO DE RECURSOS'!E8</f>
        <v>0</v>
      </c>
      <c r="L11" s="225">
        <f>'06-CIC'!H183</f>
        <v>1.3333333333333333</v>
      </c>
      <c r="M11" s="159">
        <v>0</v>
      </c>
      <c r="N11" s="210">
        <v>0.27777777777777779</v>
      </c>
      <c r="O11" s="184">
        <f>'05-EQUIPOS'!F48*6</f>
        <v>108</v>
      </c>
      <c r="P11" s="184">
        <v>0.27777777777777779</v>
      </c>
      <c r="Q11" s="203">
        <f>'07-CONSUMO DE RECURSOS'!K8</f>
        <v>0.1111111111111111</v>
      </c>
      <c r="R11" s="15">
        <v>0.27777777777777779</v>
      </c>
      <c r="S11" s="161">
        <v>6.25E-2</v>
      </c>
      <c r="T11" s="203">
        <f>'07-CONSUMO DE RECURSOS'!I8</f>
        <v>3.2258064516129031E-2</v>
      </c>
      <c r="U11" s="203">
        <v>0</v>
      </c>
      <c r="V11" s="203">
        <f>'07-CONSUMO DE RECURSOS'!G8</f>
        <v>0</v>
      </c>
      <c r="W11" s="203">
        <v>0</v>
      </c>
      <c r="X11" s="161">
        <f t="shared" si="0"/>
        <v>2.5000000000000001E-2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s="51" customFormat="1" ht="21.6" customHeight="1" x14ac:dyDescent="0.3">
      <c r="A12" s="476"/>
      <c r="B12" s="476"/>
      <c r="C12" s="263" t="s">
        <v>1235</v>
      </c>
      <c r="D12" s="41" t="s">
        <v>1195</v>
      </c>
      <c r="E12" s="184">
        <f>'04-MO'!H60*6</f>
        <v>72</v>
      </c>
      <c r="F12" s="158">
        <v>0</v>
      </c>
      <c r="G12" s="203">
        <f>'07-CONSUMO DE RECURSOS'!J9</f>
        <v>3.2258064516129031E-2</v>
      </c>
      <c r="H12" s="184">
        <f>'06-CIC'!J20</f>
        <v>0.27777777777777779</v>
      </c>
      <c r="I12" s="15">
        <f>'06-CIC'!J71</f>
        <v>0.27777777777777779</v>
      </c>
      <c r="J12" s="203">
        <f>'07-CONSUMO DE RECURSOS'!H9</f>
        <v>2.7777777777777776E-2</v>
      </c>
      <c r="K12" s="159">
        <f>'07-CONSUMO DE RECURSOS'!E9</f>
        <v>0</v>
      </c>
      <c r="L12" s="225">
        <f>'06-CIC'!H184</f>
        <v>1.3333333333333333</v>
      </c>
      <c r="M12" s="159">
        <v>0</v>
      </c>
      <c r="N12" s="210">
        <v>0.27777777777777779</v>
      </c>
      <c r="O12" s="184">
        <f>'05-EQUIPOS'!F49*6</f>
        <v>72</v>
      </c>
      <c r="P12" s="184">
        <v>0.27777777777777779</v>
      </c>
      <c r="Q12" s="203">
        <f>'07-CONSUMO DE RECURSOS'!K9</f>
        <v>0.1111111111111111</v>
      </c>
      <c r="R12" s="15">
        <v>0.27777777777777779</v>
      </c>
      <c r="S12" s="161">
        <v>0</v>
      </c>
      <c r="T12" s="203">
        <f>'07-CONSUMO DE RECURSOS'!I9</f>
        <v>3.2258064516129031E-2</v>
      </c>
      <c r="U12" s="203">
        <v>0</v>
      </c>
      <c r="V12" s="203">
        <f>'07-CONSUMO DE RECURSOS'!G9</f>
        <v>0</v>
      </c>
      <c r="W12" s="203">
        <v>0</v>
      </c>
      <c r="X12" s="161">
        <f t="shared" si="0"/>
        <v>2.5000000000000001E-2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81" s="51" customFormat="1" ht="21.6" customHeight="1" x14ac:dyDescent="0.3">
      <c r="A13" s="476"/>
      <c r="B13" s="476"/>
      <c r="C13" s="263" t="s">
        <v>1236</v>
      </c>
      <c r="D13" s="41" t="s">
        <v>1196</v>
      </c>
      <c r="E13" s="184">
        <f>'04-MO'!H61*6</f>
        <v>108</v>
      </c>
      <c r="F13" s="158">
        <v>0</v>
      </c>
      <c r="G13" s="203">
        <f>'07-CONSUMO DE RECURSOS'!J10</f>
        <v>3.2258064516129031E-2</v>
      </c>
      <c r="H13" s="184">
        <f>'06-CIC'!J21</f>
        <v>0.27777777777777779</v>
      </c>
      <c r="I13" s="15">
        <f>'06-CIC'!J72</f>
        <v>0.27777777777777779</v>
      </c>
      <c r="J13" s="203">
        <f>'07-CONSUMO DE RECURSOS'!H10</f>
        <v>2.7777777777777776E-2</v>
      </c>
      <c r="K13" s="159">
        <f>'07-CONSUMO DE RECURSOS'!E10</f>
        <v>4.1666666666666664E-2</v>
      </c>
      <c r="L13" s="225">
        <f>'06-CIC'!H185</f>
        <v>1.3333333333333333</v>
      </c>
      <c r="M13" s="159">
        <v>0</v>
      </c>
      <c r="N13" s="210">
        <v>0.27777777777777779</v>
      </c>
      <c r="O13" s="184">
        <f>'05-EQUIPOS'!F50*6</f>
        <v>108</v>
      </c>
      <c r="P13" s="184">
        <v>0.27777777777777779</v>
      </c>
      <c r="Q13" s="203">
        <f>'07-CONSUMO DE RECURSOS'!K10</f>
        <v>0.1111111111111111</v>
      </c>
      <c r="R13" s="15">
        <v>0.27777777777777779</v>
      </c>
      <c r="S13" s="161">
        <v>6.25E-2</v>
      </c>
      <c r="T13" s="203">
        <f>'07-CONSUMO DE RECURSOS'!I10</f>
        <v>3.2258064516129031E-2</v>
      </c>
      <c r="U13" s="203">
        <v>0</v>
      </c>
      <c r="V13" s="203">
        <f>'07-CONSUMO DE RECURSOS'!G10</f>
        <v>0</v>
      </c>
      <c r="W13" s="203">
        <v>0</v>
      </c>
      <c r="X13" s="161">
        <f t="shared" si="0"/>
        <v>2.5000000000000001E-2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s="51" customFormat="1" ht="21.6" customHeight="1" x14ac:dyDescent="0.3">
      <c r="A14" s="476"/>
      <c r="B14" s="476"/>
      <c r="C14" s="263" t="s">
        <v>1239</v>
      </c>
      <c r="D14" s="41" t="s">
        <v>1197</v>
      </c>
      <c r="E14" s="184">
        <f>'04-MO'!H69*6</f>
        <v>132</v>
      </c>
      <c r="F14" s="158">
        <v>0</v>
      </c>
      <c r="G14" s="203">
        <f>'07-CONSUMO DE RECURSOS'!J11</f>
        <v>3.2258064516129031E-2</v>
      </c>
      <c r="H14" s="184">
        <f>'06-CIC'!J22</f>
        <v>0.27777777777777779</v>
      </c>
      <c r="I14" s="15">
        <f>'06-CIC'!J73</f>
        <v>0.27777777777777779</v>
      </c>
      <c r="J14" s="203">
        <f>'07-CONSUMO DE RECURSOS'!H11</f>
        <v>2.7777777777777776E-2</v>
      </c>
      <c r="K14" s="159">
        <f>'07-CONSUMO DE RECURSOS'!E11</f>
        <v>4.1666666666666664E-2</v>
      </c>
      <c r="L14" s="225">
        <f>'06-CIC'!H193</f>
        <v>1.3333333333333333</v>
      </c>
      <c r="M14" s="159">
        <v>0</v>
      </c>
      <c r="N14" s="210">
        <v>0.27777777777777779</v>
      </c>
      <c r="O14" s="184">
        <f>'05-EQUIPOS'!F58*6</f>
        <v>132</v>
      </c>
      <c r="P14" s="184">
        <v>0.27777777777777779</v>
      </c>
      <c r="Q14" s="203">
        <f>'07-CONSUMO DE RECURSOS'!K11</f>
        <v>0.1111111111111111</v>
      </c>
      <c r="R14" s="15">
        <v>0.27777777777777779</v>
      </c>
      <c r="S14" s="161">
        <v>6.25E-2</v>
      </c>
      <c r="T14" s="203">
        <f>'07-CONSUMO DE RECURSOS'!I11</f>
        <v>3.2258064516129031E-2</v>
      </c>
      <c r="U14" s="203">
        <v>0</v>
      </c>
      <c r="V14" s="203">
        <f>'07-CONSUMO DE RECURSOS'!G11</f>
        <v>0</v>
      </c>
      <c r="W14" s="203">
        <v>0</v>
      </c>
      <c r="X14" s="161">
        <f t="shared" si="0"/>
        <v>2.5000000000000001E-2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s="51" customFormat="1" ht="21.6" customHeight="1" x14ac:dyDescent="0.3">
      <c r="A15" s="476"/>
      <c r="B15" s="476"/>
      <c r="C15" s="263" t="s">
        <v>1237</v>
      </c>
      <c r="D15" s="41" t="s">
        <v>1198</v>
      </c>
      <c r="E15" s="184">
        <f>'04-MO'!H70*6</f>
        <v>150</v>
      </c>
      <c r="F15" s="158">
        <v>0</v>
      </c>
      <c r="G15" s="203">
        <f>'07-CONSUMO DE RECURSOS'!J12</f>
        <v>3.2258064516129031E-2</v>
      </c>
      <c r="H15" s="184">
        <f>'06-CIC'!J23</f>
        <v>0.27777777777777779</v>
      </c>
      <c r="I15" s="15">
        <f>'06-CIC'!J74</f>
        <v>0.27777777777777779</v>
      </c>
      <c r="J15" s="203">
        <f>'07-CONSUMO DE RECURSOS'!H12</f>
        <v>2.7777777777777776E-2</v>
      </c>
      <c r="K15" s="159">
        <f>'07-CONSUMO DE RECURSOS'!E12</f>
        <v>4.1666666666666664E-2</v>
      </c>
      <c r="L15" s="225">
        <f>'06-CIC'!H194</f>
        <v>1.3333333333333333</v>
      </c>
      <c r="M15" s="159">
        <v>0</v>
      </c>
      <c r="N15" s="210">
        <v>0.27777777777777779</v>
      </c>
      <c r="O15" s="184">
        <f>'05-EQUIPOS'!F59*6</f>
        <v>150</v>
      </c>
      <c r="P15" s="184">
        <v>0.27777777777777779</v>
      </c>
      <c r="Q15" s="203">
        <f>'07-CONSUMO DE RECURSOS'!K12</f>
        <v>0.1111111111111111</v>
      </c>
      <c r="R15" s="15">
        <v>0.27777777777777779</v>
      </c>
      <c r="S15" s="161">
        <v>6.25E-2</v>
      </c>
      <c r="T15" s="203">
        <f>'07-CONSUMO DE RECURSOS'!I12</f>
        <v>3.2258064516129031E-2</v>
      </c>
      <c r="U15" s="203">
        <v>0</v>
      </c>
      <c r="V15" s="203">
        <f>'07-CONSUMO DE RECURSOS'!G12</f>
        <v>0</v>
      </c>
      <c r="W15" s="203">
        <v>0</v>
      </c>
      <c r="X15" s="161">
        <f t="shared" si="0"/>
        <v>2.5000000000000001E-2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</row>
    <row r="16" spans="1:81" s="51" customFormat="1" ht="21.6" customHeight="1" x14ac:dyDescent="0.3">
      <c r="A16" s="477"/>
      <c r="B16" s="477"/>
      <c r="C16" s="263" t="s">
        <v>1238</v>
      </c>
      <c r="D16" s="41" t="s">
        <v>1199</v>
      </c>
      <c r="E16" s="184">
        <f>'04-MO'!H71*6</f>
        <v>180</v>
      </c>
      <c r="F16" s="158">
        <v>0</v>
      </c>
      <c r="G16" s="203">
        <f>'07-CONSUMO DE RECURSOS'!J13</f>
        <v>3.2258064516129031E-2</v>
      </c>
      <c r="H16" s="184">
        <f>'06-CIC'!J24</f>
        <v>0.27777777777777779</v>
      </c>
      <c r="I16" s="15">
        <f>'06-CIC'!J75</f>
        <v>0.27777777777777779</v>
      </c>
      <c r="J16" s="203">
        <f>'07-CONSUMO DE RECURSOS'!H13</f>
        <v>2.7777777777777776E-2</v>
      </c>
      <c r="K16" s="159">
        <f>'07-CONSUMO DE RECURSOS'!E13</f>
        <v>0</v>
      </c>
      <c r="L16" s="225">
        <f>'06-CIC'!H195</f>
        <v>1.3333333333333333</v>
      </c>
      <c r="M16" s="159">
        <v>0</v>
      </c>
      <c r="N16" s="210">
        <v>0.27777777777777779</v>
      </c>
      <c r="O16" s="184">
        <f>'05-EQUIPOS'!F60*6</f>
        <v>180</v>
      </c>
      <c r="P16" s="184">
        <v>0.27777777777777779</v>
      </c>
      <c r="Q16" s="203">
        <f>'07-CONSUMO DE RECURSOS'!K13</f>
        <v>0.1111111111111111</v>
      </c>
      <c r="R16" s="15">
        <v>0.27777777777777779</v>
      </c>
      <c r="S16" s="161">
        <v>6.25E-2</v>
      </c>
      <c r="T16" s="203">
        <f>'07-CONSUMO DE RECURSOS'!I13</f>
        <v>3.2258064516129031E-2</v>
      </c>
      <c r="U16" s="203">
        <v>0</v>
      </c>
      <c r="V16" s="203">
        <f>'07-CONSUMO DE RECURSOS'!G13</f>
        <v>0</v>
      </c>
      <c r="W16" s="203">
        <v>0</v>
      </c>
      <c r="X16" s="161">
        <f t="shared" si="0"/>
        <v>2.5000000000000001E-2</v>
      </c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</row>
    <row r="17" spans="1:81" s="51" customFormat="1" ht="21.6" customHeight="1" x14ac:dyDescent="0.3">
      <c r="A17" s="475" t="s">
        <v>1191</v>
      </c>
      <c r="B17" s="475" t="s">
        <v>1281</v>
      </c>
      <c r="C17" s="263" t="s">
        <v>1245</v>
      </c>
      <c r="D17" s="41" t="s">
        <v>1205</v>
      </c>
      <c r="E17" s="184">
        <f>('04-MO'!H63+'04-MO'!H72+'04-MO'!H92)*6</f>
        <v>396</v>
      </c>
      <c r="F17" s="158">
        <v>0</v>
      </c>
      <c r="G17" s="203">
        <f>'07-CONSUMO DE RECURSOS'!J14</f>
        <v>3.2258064516129031E-2</v>
      </c>
      <c r="H17" s="184">
        <f>'06-CIC'!J25</f>
        <v>0.83333333333333337</v>
      </c>
      <c r="I17" s="184">
        <f>'06-CIC'!J76</f>
        <v>0.83333333333333337</v>
      </c>
      <c r="J17" s="203">
        <f>'07-CONSUMO DE RECURSOS'!H14</f>
        <v>2.7777777777777776E-2</v>
      </c>
      <c r="K17" s="159">
        <f>'07-CONSUMO DE RECURSOS'!E14</f>
        <v>4.1666666666666664E-2</v>
      </c>
      <c r="L17" s="225">
        <f>'06-CIC'!H187+'06-CIC'!H197+'06-CIC'!H216</f>
        <v>7.4444444444444446</v>
      </c>
      <c r="M17" s="159">
        <v>0</v>
      </c>
      <c r="N17" s="210">
        <v>0.83333333333333337</v>
      </c>
      <c r="O17" s="184">
        <f>('05-EQUIPOS'!F52+'05-EQUIPOS'!F61+'05-EQUIPOS'!F81)*6</f>
        <v>396</v>
      </c>
      <c r="P17" s="184">
        <v>0.83333333333333337</v>
      </c>
      <c r="Q17" s="203">
        <f>'07-CONSUMO DE RECURSOS'!K14</f>
        <v>0</v>
      </c>
      <c r="R17" s="184">
        <v>0.83333333333333337</v>
      </c>
      <c r="S17" s="161">
        <v>0</v>
      </c>
      <c r="T17" s="203">
        <f>'07-CONSUMO DE RECURSOS'!I14</f>
        <v>3.2258064516129031E-2</v>
      </c>
      <c r="U17" s="203">
        <v>0</v>
      </c>
      <c r="V17" s="203">
        <f>'07-CONSUMO DE RECURSOS'!G14</f>
        <v>0</v>
      </c>
      <c r="W17" s="203">
        <v>0</v>
      </c>
      <c r="X17" s="161">
        <f t="shared" si="0"/>
        <v>2.5000000000000001E-2</v>
      </c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s="51" customFormat="1" ht="21.6" customHeight="1" x14ac:dyDescent="0.3">
      <c r="A18" s="476"/>
      <c r="B18" s="476"/>
      <c r="C18" s="263" t="s">
        <v>1246</v>
      </c>
      <c r="D18" s="41" t="s">
        <v>1206</v>
      </c>
      <c r="E18" s="184">
        <f>('04-MO'!H64+'04-MO'!H73)*6</f>
        <v>216</v>
      </c>
      <c r="F18" s="158">
        <v>0</v>
      </c>
      <c r="G18" s="203">
        <f>'07-CONSUMO DE RECURSOS'!J15</f>
        <v>3.2258064516129031E-2</v>
      </c>
      <c r="H18" s="184">
        <f>'06-CIC'!J26</f>
        <v>0.83333333333333337</v>
      </c>
      <c r="I18" s="184">
        <f>'06-CIC'!J77</f>
        <v>0.83333333333333337</v>
      </c>
      <c r="J18" s="203">
        <f>'07-CONSUMO DE RECURSOS'!H15</f>
        <v>2.7777777777777776E-2</v>
      </c>
      <c r="K18" s="159">
        <f>'07-CONSUMO DE RECURSOS'!E15</f>
        <v>4.1666666666666664E-2</v>
      </c>
      <c r="L18" s="225">
        <f>'06-CIC'!H188+'06-CIC'!H197</f>
        <v>2.6666666666666665</v>
      </c>
      <c r="M18" s="159">
        <v>0</v>
      </c>
      <c r="N18" s="210">
        <v>0.83333333333333337</v>
      </c>
      <c r="O18" s="184">
        <f>('05-EQUIPOS'!F53+'05-EQUIPOS'!F62)*6</f>
        <v>216</v>
      </c>
      <c r="P18" s="184">
        <v>0.83333333333333337</v>
      </c>
      <c r="Q18" s="203">
        <f>'07-CONSUMO DE RECURSOS'!K15</f>
        <v>0</v>
      </c>
      <c r="R18" s="184">
        <v>0.83333333333333337</v>
      </c>
      <c r="S18" s="161">
        <v>0</v>
      </c>
      <c r="T18" s="203">
        <f>'07-CONSUMO DE RECURSOS'!I15</f>
        <v>3.2258064516129031E-2</v>
      </c>
      <c r="U18" s="203">
        <v>0</v>
      </c>
      <c r="V18" s="203">
        <f>'07-CONSUMO DE RECURSOS'!G15</f>
        <v>0</v>
      </c>
      <c r="W18" s="203">
        <v>0</v>
      </c>
      <c r="X18" s="161">
        <f t="shared" si="0"/>
        <v>2.5000000000000001E-2</v>
      </c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</row>
    <row r="19" spans="1:81" s="51" customFormat="1" ht="21.6" customHeight="1" x14ac:dyDescent="0.3">
      <c r="A19" s="477"/>
      <c r="B19" s="477"/>
      <c r="C19" s="263" t="s">
        <v>1247</v>
      </c>
      <c r="D19" s="41" t="s">
        <v>1207</v>
      </c>
      <c r="E19" s="184">
        <f>('04-MO'!H65+'04-MO'!H74)*6</f>
        <v>216</v>
      </c>
      <c r="F19" s="158">
        <v>0</v>
      </c>
      <c r="G19" s="203">
        <f>'07-CONSUMO DE RECURSOS'!J16</f>
        <v>3.2258064516129031E-2</v>
      </c>
      <c r="H19" s="184">
        <f>'06-CIC'!J27</f>
        <v>0.83333333333333337</v>
      </c>
      <c r="I19" s="184">
        <f>'06-CIC'!J78</f>
        <v>0.83333333333333337</v>
      </c>
      <c r="J19" s="203">
        <f>'07-CONSUMO DE RECURSOS'!H16</f>
        <v>2.7777777777777776E-2</v>
      </c>
      <c r="K19" s="159">
        <f>'07-CONSUMO DE RECURSOS'!E16</f>
        <v>4.1666666666666664E-2</v>
      </c>
      <c r="L19" s="225">
        <f>'06-CIC'!H189+'06-CIC'!H198</f>
        <v>2.6666666666666665</v>
      </c>
      <c r="M19" s="159">
        <v>0</v>
      </c>
      <c r="N19" s="210">
        <v>0.83333333333333337</v>
      </c>
      <c r="O19" s="184">
        <f>('05-EQUIPOS'!F54+'05-EQUIPOS'!F63)*6</f>
        <v>216</v>
      </c>
      <c r="P19" s="184">
        <v>0.83333333333333337</v>
      </c>
      <c r="Q19" s="203">
        <f>'07-CONSUMO DE RECURSOS'!K16</f>
        <v>0</v>
      </c>
      <c r="R19" s="184">
        <v>0.83333333333333337</v>
      </c>
      <c r="S19" s="161">
        <v>0</v>
      </c>
      <c r="T19" s="203">
        <f>'07-CONSUMO DE RECURSOS'!I16</f>
        <v>3.2258064516129031E-2</v>
      </c>
      <c r="U19" s="203">
        <v>0</v>
      </c>
      <c r="V19" s="203">
        <f>'07-CONSUMO DE RECURSOS'!G16</f>
        <v>0</v>
      </c>
      <c r="W19" s="203">
        <v>0</v>
      </c>
      <c r="X19" s="161">
        <f t="shared" si="0"/>
        <v>2.5000000000000001E-2</v>
      </c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</row>
    <row r="20" spans="1:81" s="51" customFormat="1" ht="21.6" customHeight="1" x14ac:dyDescent="0.3">
      <c r="A20" s="475" t="s">
        <v>1192</v>
      </c>
      <c r="B20" s="475" t="s">
        <v>1126</v>
      </c>
      <c r="C20" s="263" t="s">
        <v>1248</v>
      </c>
      <c r="D20" s="41" t="s">
        <v>1208</v>
      </c>
      <c r="E20" s="184">
        <f>'04-MO'!H98*6</f>
        <v>162</v>
      </c>
      <c r="F20" s="158">
        <v>0</v>
      </c>
      <c r="G20" s="203">
        <f>'07-CONSUMO DE RECURSOS'!J17</f>
        <v>3.2258064516129031E-2</v>
      </c>
      <c r="H20" s="202">
        <f>'06-CIC'!J43</f>
        <v>7.5</v>
      </c>
      <c r="I20" s="202">
        <f>'06-CIC'!J94</f>
        <v>7.5</v>
      </c>
      <c r="J20" s="203">
        <f>'07-CONSUMO DE RECURSOS'!H17</f>
        <v>2.7777777777777776E-2</v>
      </c>
      <c r="K20" s="159">
        <f>'07-CONSUMO DE RECURSOS'!E17</f>
        <v>4.1666666666666664E-2</v>
      </c>
      <c r="L20" s="225">
        <f>'06-CIC'!H222</f>
        <v>4.7777777777777777</v>
      </c>
      <c r="M20" s="159">
        <v>0</v>
      </c>
      <c r="N20" s="210">
        <v>7.5</v>
      </c>
      <c r="O20" s="15">
        <f>'05-EQUIPOS'!F87*6</f>
        <v>162</v>
      </c>
      <c r="P20" s="15">
        <v>7.5</v>
      </c>
      <c r="Q20" s="203">
        <f>'07-CONSUMO DE RECURSOS'!K17</f>
        <v>0</v>
      </c>
      <c r="R20" s="202">
        <v>7.5</v>
      </c>
      <c r="S20" s="161">
        <v>6.25E-2</v>
      </c>
      <c r="T20" s="203">
        <f>'07-CONSUMO DE RECURSOS'!I17</f>
        <v>3.2258064516129031E-2</v>
      </c>
      <c r="U20" s="203">
        <v>0</v>
      </c>
      <c r="V20" s="203">
        <f>'07-CONSUMO DE RECURSOS'!G17</f>
        <v>0</v>
      </c>
      <c r="W20" s="203">
        <v>0</v>
      </c>
      <c r="X20" s="161">
        <f t="shared" si="0"/>
        <v>2.5000000000000001E-2</v>
      </c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</row>
    <row r="21" spans="1:81" s="51" customFormat="1" ht="21.6" customHeight="1" x14ac:dyDescent="0.3">
      <c r="A21" s="476"/>
      <c r="B21" s="476"/>
      <c r="C21" s="263" t="s">
        <v>1249</v>
      </c>
      <c r="D21" s="41" t="s">
        <v>1209</v>
      </c>
      <c r="E21" s="184">
        <f>'04-MO'!H99*6</f>
        <v>162</v>
      </c>
      <c r="F21" s="158">
        <v>0</v>
      </c>
      <c r="G21" s="203">
        <f>'07-CONSUMO DE RECURSOS'!J18</f>
        <v>3.2258064516129031E-2</v>
      </c>
      <c r="H21" s="202">
        <f>'06-CIC'!J44</f>
        <v>7.5</v>
      </c>
      <c r="I21" s="202">
        <f>'06-CIC'!J95</f>
        <v>7.5</v>
      </c>
      <c r="J21" s="203">
        <f>'07-CONSUMO DE RECURSOS'!H18</f>
        <v>2.7777777777777776E-2</v>
      </c>
      <c r="K21" s="159">
        <f>'07-CONSUMO DE RECURSOS'!E18</f>
        <v>4.1666666666666664E-2</v>
      </c>
      <c r="L21" s="225">
        <f>'06-CIC'!H223</f>
        <v>4.7777777777777777</v>
      </c>
      <c r="M21" s="159">
        <v>0</v>
      </c>
      <c r="N21" s="210">
        <v>7.5</v>
      </c>
      <c r="O21" s="15">
        <f>'05-EQUIPOS'!F88*6</f>
        <v>162</v>
      </c>
      <c r="P21" s="15">
        <v>7.5</v>
      </c>
      <c r="Q21" s="203">
        <f>'07-CONSUMO DE RECURSOS'!K18</f>
        <v>0</v>
      </c>
      <c r="R21" s="202">
        <v>7.5</v>
      </c>
      <c r="S21" s="161">
        <v>0</v>
      </c>
      <c r="T21" s="203">
        <f>'07-CONSUMO DE RECURSOS'!I18</f>
        <v>3.2258064516129031E-2</v>
      </c>
      <c r="U21" s="203">
        <v>0</v>
      </c>
      <c r="V21" s="203">
        <f>'07-CONSUMO DE RECURSOS'!G18</f>
        <v>0</v>
      </c>
      <c r="W21" s="203">
        <v>0</v>
      </c>
      <c r="X21" s="161">
        <f t="shared" si="0"/>
        <v>2.5000000000000001E-2</v>
      </c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s="51" customFormat="1" ht="21.6" customHeight="1" x14ac:dyDescent="0.3">
      <c r="A22" s="476"/>
      <c r="B22" s="476"/>
      <c r="C22" s="263" t="s">
        <v>1250</v>
      </c>
      <c r="D22" s="41" t="s">
        <v>1210</v>
      </c>
      <c r="E22" s="184">
        <f>'04-MO'!H94*6</f>
        <v>144</v>
      </c>
      <c r="F22" s="158">
        <v>0</v>
      </c>
      <c r="G22" s="203">
        <f>'07-CONSUMO DE RECURSOS'!J19</f>
        <v>3.2258064516129031E-2</v>
      </c>
      <c r="H22" s="202">
        <f>'06-CIC'!J45</f>
        <v>7.5</v>
      </c>
      <c r="I22" s="202">
        <f>'06-CIC'!J96</f>
        <v>7.5</v>
      </c>
      <c r="J22" s="203">
        <f>'07-CONSUMO DE RECURSOS'!H19</f>
        <v>2.7777777777777776E-2</v>
      </c>
      <c r="K22" s="159">
        <f>'07-CONSUMO DE RECURSOS'!E19</f>
        <v>0</v>
      </c>
      <c r="L22" s="225">
        <f>'06-CIC'!H219</f>
        <v>4.7777777777777777</v>
      </c>
      <c r="M22" s="159">
        <v>0</v>
      </c>
      <c r="N22" s="210">
        <v>7.5</v>
      </c>
      <c r="O22" s="184">
        <f>'05-EQUIPOS'!F83*6</f>
        <v>144</v>
      </c>
      <c r="P22" s="184">
        <v>7.5</v>
      </c>
      <c r="Q22" s="203">
        <f>'07-CONSUMO DE RECURSOS'!K19</f>
        <v>0</v>
      </c>
      <c r="R22" s="202">
        <v>7.5</v>
      </c>
      <c r="S22" s="161">
        <v>6.25E-2</v>
      </c>
      <c r="T22" s="203">
        <f>'07-CONSUMO DE RECURSOS'!I19</f>
        <v>3.2258064516129031E-2</v>
      </c>
      <c r="U22" s="203">
        <v>0</v>
      </c>
      <c r="V22" s="203">
        <f>'07-CONSUMO DE RECURSOS'!G19</f>
        <v>0</v>
      </c>
      <c r="W22" s="203">
        <v>0</v>
      </c>
      <c r="X22" s="161">
        <f t="shared" si="0"/>
        <v>2.5000000000000001E-2</v>
      </c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s="51" customFormat="1" ht="21.6" customHeight="1" x14ac:dyDescent="0.3">
      <c r="A23" s="476"/>
      <c r="B23" s="476"/>
      <c r="C23" s="263" t="s">
        <v>1251</v>
      </c>
      <c r="D23" s="41" t="s">
        <v>1240</v>
      </c>
      <c r="E23" s="184">
        <f>('04-MO'!H95+'04-MO'!H104)*6</f>
        <v>600</v>
      </c>
      <c r="F23" s="158">
        <v>0</v>
      </c>
      <c r="G23" s="203">
        <f>'07-CONSUMO DE RECURSOS'!J20</f>
        <v>3.2258064516129031E-2</v>
      </c>
      <c r="H23" s="202">
        <f>'06-CIC'!J46</f>
        <v>7.5</v>
      </c>
      <c r="I23" s="202">
        <f>'06-CIC'!J97</f>
        <v>7.5</v>
      </c>
      <c r="J23" s="203">
        <f>'07-CONSUMO DE RECURSOS'!H20</f>
        <v>2.7777777777777776E-2</v>
      </c>
      <c r="K23" s="159">
        <f>'07-CONSUMO DE RECURSOS'!E20</f>
        <v>4.1666666666666664E-2</v>
      </c>
      <c r="L23" s="225">
        <f>'06-CIC'!H219+'06-CIC'!H228</f>
        <v>19.111111111111111</v>
      </c>
      <c r="M23" s="159">
        <v>0</v>
      </c>
      <c r="N23" s="210">
        <v>7.5</v>
      </c>
      <c r="O23" s="184">
        <f>('05-EQUIPOS'!F84+'05-EQUIPOS'!F93)*6</f>
        <v>600</v>
      </c>
      <c r="P23" s="184">
        <v>7.5</v>
      </c>
      <c r="Q23" s="203">
        <f>'07-CONSUMO DE RECURSOS'!K20</f>
        <v>0</v>
      </c>
      <c r="R23" s="202">
        <v>7.5</v>
      </c>
      <c r="S23" s="161">
        <v>0</v>
      </c>
      <c r="T23" s="203">
        <f>'07-CONSUMO DE RECURSOS'!I20</f>
        <v>3.2258064516129031E-2</v>
      </c>
      <c r="U23" s="203">
        <v>0</v>
      </c>
      <c r="V23" s="203">
        <f>'07-CONSUMO DE RECURSOS'!G20</f>
        <v>0</v>
      </c>
      <c r="W23" s="203">
        <v>0</v>
      </c>
      <c r="X23" s="161">
        <f t="shared" si="0"/>
        <v>2.5000000000000001E-2</v>
      </c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s="51" customFormat="1" ht="21.6" customHeight="1" x14ac:dyDescent="0.3">
      <c r="A24" s="476"/>
      <c r="B24" s="476"/>
      <c r="C24" s="263" t="s">
        <v>1252</v>
      </c>
      <c r="D24" s="41" t="s">
        <v>1178</v>
      </c>
      <c r="E24" s="184">
        <f>('04-MO'!H84+'04-MO'!H93+'04-MO'!H105)*6</f>
        <v>1200</v>
      </c>
      <c r="F24" s="158">
        <v>0</v>
      </c>
      <c r="G24" s="203">
        <f>'07-CONSUMO DE RECURSOS'!J21</f>
        <v>3.2258064516129031E-2</v>
      </c>
      <c r="H24" s="202">
        <f>'06-CIC'!J47</f>
        <v>7.5</v>
      </c>
      <c r="I24" s="202">
        <f>'06-CIC'!J98</f>
        <v>7.5</v>
      </c>
      <c r="J24" s="203">
        <f>'07-CONSUMO DE RECURSOS'!H21</f>
        <v>2.7777777777777776E-2</v>
      </c>
      <c r="K24" s="159">
        <f>'07-CONSUMO DE RECURSOS'!E21</f>
        <v>4.1666666666666664E-2</v>
      </c>
      <c r="L24" s="225">
        <f>'06-CIC'!H217+'06-CIC'!H229+'06-CIC'!H208</f>
        <v>29.861111111111111</v>
      </c>
      <c r="M24" s="159">
        <v>0</v>
      </c>
      <c r="N24" s="210">
        <v>7.5</v>
      </c>
      <c r="O24" s="184">
        <f>('05-EQUIPOS'!F73+'05-EQUIPOS'!F82+'05-EQUIPOS'!F94)*6</f>
        <v>1200</v>
      </c>
      <c r="P24" s="184">
        <v>7.5</v>
      </c>
      <c r="Q24" s="203">
        <f>'07-CONSUMO DE RECURSOS'!K21</f>
        <v>0</v>
      </c>
      <c r="R24" s="202">
        <v>7.5</v>
      </c>
      <c r="S24" s="161">
        <v>6.25E-2</v>
      </c>
      <c r="T24" s="203">
        <f>'07-CONSUMO DE RECURSOS'!I21</f>
        <v>3.2258064516129031E-2</v>
      </c>
      <c r="U24" s="203">
        <v>0</v>
      </c>
      <c r="V24" s="203">
        <f>'07-CONSUMO DE RECURSOS'!G21</f>
        <v>0</v>
      </c>
      <c r="W24" s="203">
        <v>0</v>
      </c>
      <c r="X24" s="161">
        <f t="shared" si="0"/>
        <v>2.5000000000000001E-2</v>
      </c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</row>
    <row r="25" spans="1:81" s="51" customFormat="1" ht="21.6" customHeight="1" x14ac:dyDescent="0.3">
      <c r="A25" s="476"/>
      <c r="B25" s="476"/>
      <c r="C25" s="263" t="s">
        <v>1253</v>
      </c>
      <c r="D25" s="41" t="s">
        <v>1244</v>
      </c>
      <c r="E25" s="184">
        <f>'04-MO'!H96*6</f>
        <v>162</v>
      </c>
      <c r="F25" s="158">
        <v>0</v>
      </c>
      <c r="G25" s="203">
        <f>'07-CONSUMO DE RECURSOS'!J22</f>
        <v>3.2258064516129031E-2</v>
      </c>
      <c r="H25" s="202">
        <f>'06-CIC'!J48</f>
        <v>7.5</v>
      </c>
      <c r="I25" s="202">
        <f>'06-CIC'!J99</f>
        <v>7.5</v>
      </c>
      <c r="J25" s="203">
        <f>'07-CONSUMO DE RECURSOS'!H22</f>
        <v>2.7777777777777776E-2</v>
      </c>
      <c r="K25" s="159">
        <f>'07-CONSUMO DE RECURSOS'!E22</f>
        <v>4.1666666666666664E-2</v>
      </c>
      <c r="L25" s="225">
        <f>'06-CIC'!H220</f>
        <v>4.7777777777777777</v>
      </c>
      <c r="M25" s="159">
        <v>0</v>
      </c>
      <c r="N25" s="210">
        <v>7.5</v>
      </c>
      <c r="O25" s="184">
        <f>'05-EQUIPOS'!F85*6</f>
        <v>162</v>
      </c>
      <c r="P25" s="184">
        <v>7.5</v>
      </c>
      <c r="Q25" s="203">
        <f>'07-CONSUMO DE RECURSOS'!K22</f>
        <v>0</v>
      </c>
      <c r="R25" s="202">
        <v>7.5</v>
      </c>
      <c r="S25" s="161">
        <v>6.25E-2</v>
      </c>
      <c r="T25" s="203">
        <f>'07-CONSUMO DE RECURSOS'!I22</f>
        <v>3.2258064516129031E-2</v>
      </c>
      <c r="U25" s="203">
        <v>0</v>
      </c>
      <c r="V25" s="203">
        <f>'07-CONSUMO DE RECURSOS'!G22</f>
        <v>0</v>
      </c>
      <c r="W25" s="203">
        <v>0</v>
      </c>
      <c r="X25" s="161">
        <f t="shared" si="0"/>
        <v>2.5000000000000001E-2</v>
      </c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s="51" customFormat="1" ht="21.6" customHeight="1" x14ac:dyDescent="0.3">
      <c r="A26" s="476"/>
      <c r="B26" s="476"/>
      <c r="C26" s="264" t="s">
        <v>1254</v>
      </c>
      <c r="D26" s="41" t="s">
        <v>1222</v>
      </c>
      <c r="E26" s="184">
        <f>'04-MO'!H97*6</f>
        <v>180</v>
      </c>
      <c r="F26" s="158">
        <v>0</v>
      </c>
      <c r="G26" s="203">
        <f>'07-CONSUMO DE RECURSOS'!J23</f>
        <v>3.2258064516129031E-2</v>
      </c>
      <c r="H26" s="202">
        <f>'06-CIC'!J49</f>
        <v>7.5</v>
      </c>
      <c r="I26" s="202">
        <f>'06-CIC'!J100</f>
        <v>7.5</v>
      </c>
      <c r="J26" s="203">
        <f>'07-CONSUMO DE RECURSOS'!H23</f>
        <v>2.7777777777777776E-2</v>
      </c>
      <c r="K26" s="159">
        <f>'07-CONSUMO DE RECURSOS'!E23</f>
        <v>4.1666666666666664E-2</v>
      </c>
      <c r="L26" s="225">
        <f>'06-CIC'!H221</f>
        <v>4.7777777777777777</v>
      </c>
      <c r="M26" s="203">
        <f>100%/3</f>
        <v>0.33333333333333331</v>
      </c>
      <c r="N26" s="210">
        <v>7.5</v>
      </c>
      <c r="O26" s="184">
        <f>'05-EQUIPOS'!F86*6</f>
        <v>180</v>
      </c>
      <c r="P26" s="184">
        <v>7.5</v>
      </c>
      <c r="Q26" s="203">
        <f>'07-CONSUMO DE RECURSOS'!K23</f>
        <v>0</v>
      </c>
      <c r="R26" s="202">
        <v>7.5</v>
      </c>
      <c r="S26" s="161">
        <v>6.25E-2</v>
      </c>
      <c r="T26" s="203">
        <f>'07-CONSUMO DE RECURSOS'!I23</f>
        <v>3.2258064516129031E-2</v>
      </c>
      <c r="U26" s="203">
        <v>0</v>
      </c>
      <c r="V26" s="203">
        <f>'07-CONSUMO DE RECURSOS'!G23</f>
        <v>0</v>
      </c>
      <c r="W26" s="203">
        <v>0</v>
      </c>
      <c r="X26" s="161">
        <f t="shared" si="0"/>
        <v>2.5000000000000001E-2</v>
      </c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</row>
    <row r="27" spans="1:81" s="51" customFormat="1" ht="21.6" customHeight="1" x14ac:dyDescent="0.3">
      <c r="A27" s="477"/>
      <c r="B27" s="477"/>
      <c r="C27" s="264" t="s">
        <v>1255</v>
      </c>
      <c r="D27" s="272" t="s">
        <v>1179</v>
      </c>
      <c r="E27" s="184">
        <f>'04-MO'!H103*6</f>
        <v>420</v>
      </c>
      <c r="F27" s="158">
        <v>0</v>
      </c>
      <c r="G27" s="203">
        <f>'07-CONSUMO DE RECURSOS'!J24</f>
        <v>3.2258064516129031E-2</v>
      </c>
      <c r="H27" s="202">
        <f>'06-CIC'!J50</f>
        <v>7.5</v>
      </c>
      <c r="I27" s="202">
        <f>'06-CIC'!J101</f>
        <v>7.5</v>
      </c>
      <c r="J27" s="203">
        <f>'07-CONSUMO DE RECURSOS'!H24</f>
        <v>2.7777777777777776E-2</v>
      </c>
      <c r="K27" s="159">
        <f>'07-CONSUMO DE RECURSOS'!E24</f>
        <v>4.1666666666666664E-2</v>
      </c>
      <c r="L27" s="225">
        <f>'06-CIC'!H227</f>
        <v>14.333333333333334</v>
      </c>
      <c r="M27" s="159">
        <v>0</v>
      </c>
      <c r="N27" s="210">
        <v>7.5</v>
      </c>
      <c r="O27" s="184">
        <f>'05-EQUIPOS'!F92*6</f>
        <v>420</v>
      </c>
      <c r="P27" s="184">
        <v>7.5</v>
      </c>
      <c r="Q27" s="203">
        <f>'07-CONSUMO DE RECURSOS'!K24</f>
        <v>0</v>
      </c>
      <c r="R27" s="202">
        <v>7.5</v>
      </c>
      <c r="S27" s="161">
        <v>0</v>
      </c>
      <c r="T27" s="203">
        <f>'07-CONSUMO DE RECURSOS'!I24</f>
        <v>3.2258064516129031E-2</v>
      </c>
      <c r="U27" s="203">
        <v>0</v>
      </c>
      <c r="V27" s="203">
        <f>'07-CONSUMO DE RECURSOS'!G24</f>
        <v>0</v>
      </c>
      <c r="W27" s="203">
        <v>0</v>
      </c>
      <c r="X27" s="161">
        <f t="shared" si="0"/>
        <v>2.5000000000000001E-2</v>
      </c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</row>
    <row r="28" spans="1:81" ht="21.6" customHeight="1" x14ac:dyDescent="0.3">
      <c r="A28" s="475" t="s">
        <v>1193</v>
      </c>
      <c r="B28" s="475" t="s">
        <v>1280</v>
      </c>
      <c r="C28" s="264" t="s">
        <v>1256</v>
      </c>
      <c r="D28" s="41" t="s">
        <v>1211</v>
      </c>
      <c r="E28" s="184">
        <v>0</v>
      </c>
      <c r="F28" s="158">
        <f>(32*6)/10</f>
        <v>19.2</v>
      </c>
      <c r="G28" s="203">
        <f>'07-CONSUMO DE RECURSOS'!J25</f>
        <v>0</v>
      </c>
      <c r="H28" s="184">
        <f>'06-CIC'!J28</f>
        <v>0.25</v>
      </c>
      <c r="I28" s="184">
        <f>'06-CIC'!J79</f>
        <v>0.25</v>
      </c>
      <c r="J28" s="203">
        <f>'07-CONSUMO DE RECURSOS'!H25</f>
        <v>2.7777777777777776E-2</v>
      </c>
      <c r="K28" s="159">
        <f>'07-CONSUMO DE RECURSOS'!E25</f>
        <v>0</v>
      </c>
      <c r="L28" s="224">
        <v>0</v>
      </c>
      <c r="M28" s="180">
        <v>0</v>
      </c>
      <c r="N28" s="211">
        <v>0.25</v>
      </c>
      <c r="O28" s="40">
        <v>0</v>
      </c>
      <c r="P28" s="40">
        <v>0.25</v>
      </c>
      <c r="Q28" s="203">
        <f>'07-CONSUMO DE RECURSOS'!K25</f>
        <v>0</v>
      </c>
      <c r="R28" s="184">
        <v>0.25</v>
      </c>
      <c r="S28" s="181">
        <v>0</v>
      </c>
      <c r="T28" s="203">
        <f>'07-CONSUMO DE RECURSOS'!I25</f>
        <v>0</v>
      </c>
      <c r="U28" s="203">
        <v>0</v>
      </c>
      <c r="V28" s="203">
        <f>'07-CONSUMO DE RECURSOS'!G25</f>
        <v>0</v>
      </c>
      <c r="W28" s="203">
        <v>0</v>
      </c>
      <c r="X28" s="161">
        <f t="shared" si="0"/>
        <v>2.5000000000000001E-2</v>
      </c>
    </row>
    <row r="29" spans="1:81" ht="21.6" customHeight="1" x14ac:dyDescent="0.3">
      <c r="A29" s="476"/>
      <c r="B29" s="476"/>
      <c r="C29" s="264" t="s">
        <v>1257</v>
      </c>
      <c r="D29" s="41" t="s">
        <v>1212</v>
      </c>
      <c r="E29" s="184">
        <v>0</v>
      </c>
      <c r="F29" s="158">
        <f t="shared" ref="F29:F37" si="1">(32*6)/10</f>
        <v>19.2</v>
      </c>
      <c r="G29" s="203">
        <f>'07-CONSUMO DE RECURSOS'!J26</f>
        <v>0</v>
      </c>
      <c r="H29" s="184">
        <f>'06-CIC'!J29</f>
        <v>0.25</v>
      </c>
      <c r="I29" s="184">
        <f>'06-CIC'!J80</f>
        <v>0.25</v>
      </c>
      <c r="J29" s="203">
        <f>'07-CONSUMO DE RECURSOS'!H26</f>
        <v>2.7777777777777776E-2</v>
      </c>
      <c r="K29" s="159">
        <f>'07-CONSUMO DE RECURSOS'!E26</f>
        <v>4.1666666666666664E-2</v>
      </c>
      <c r="L29" s="224">
        <v>0</v>
      </c>
      <c r="M29" s="159">
        <v>0</v>
      </c>
      <c r="N29" s="210">
        <v>0.25</v>
      </c>
      <c r="O29" s="184">
        <v>0</v>
      </c>
      <c r="P29" s="184">
        <v>0.25</v>
      </c>
      <c r="Q29" s="203">
        <f>'07-CONSUMO DE RECURSOS'!K26</f>
        <v>0</v>
      </c>
      <c r="R29" s="184">
        <v>0.25</v>
      </c>
      <c r="S29" s="161">
        <v>0</v>
      </c>
      <c r="T29" s="203">
        <f>'07-CONSUMO DE RECURSOS'!I26</f>
        <v>0</v>
      </c>
      <c r="U29" s="203">
        <v>0</v>
      </c>
      <c r="V29" s="203">
        <f>'07-CONSUMO DE RECURSOS'!G26</f>
        <v>0</v>
      </c>
      <c r="W29" s="203">
        <v>0</v>
      </c>
      <c r="X29" s="161">
        <f t="shared" si="0"/>
        <v>2.5000000000000001E-2</v>
      </c>
    </row>
    <row r="30" spans="1:81" ht="21.6" customHeight="1" x14ac:dyDescent="0.3">
      <c r="A30" s="476"/>
      <c r="B30" s="476"/>
      <c r="C30" s="264" t="s">
        <v>1258</v>
      </c>
      <c r="D30" s="41" t="s">
        <v>1213</v>
      </c>
      <c r="E30" s="184">
        <v>0</v>
      </c>
      <c r="F30" s="158">
        <f t="shared" si="1"/>
        <v>19.2</v>
      </c>
      <c r="G30" s="203">
        <f>'07-CONSUMO DE RECURSOS'!J27</f>
        <v>0</v>
      </c>
      <c r="H30" s="184">
        <f>'06-CIC'!J30</f>
        <v>0.25</v>
      </c>
      <c r="I30" s="184">
        <f>'06-CIC'!J81</f>
        <v>0.25</v>
      </c>
      <c r="J30" s="203">
        <f>'07-CONSUMO DE RECURSOS'!H27</f>
        <v>2.7777777777777776E-2</v>
      </c>
      <c r="K30" s="159">
        <f>'07-CONSUMO DE RECURSOS'!E27</f>
        <v>0</v>
      </c>
      <c r="L30" s="224">
        <v>0</v>
      </c>
      <c r="M30" s="159">
        <v>0</v>
      </c>
      <c r="N30" s="210">
        <v>0.25</v>
      </c>
      <c r="O30" s="184">
        <v>0</v>
      </c>
      <c r="P30" s="184">
        <v>0.25</v>
      </c>
      <c r="Q30" s="203">
        <f>'07-CONSUMO DE RECURSOS'!K27</f>
        <v>0</v>
      </c>
      <c r="R30" s="184">
        <v>0.25</v>
      </c>
      <c r="S30" s="161">
        <v>0</v>
      </c>
      <c r="T30" s="203">
        <f>'07-CONSUMO DE RECURSOS'!I27</f>
        <v>0</v>
      </c>
      <c r="U30" s="203">
        <v>0</v>
      </c>
      <c r="V30" s="203">
        <f>'07-CONSUMO DE RECURSOS'!G27</f>
        <v>0</v>
      </c>
      <c r="W30" s="203">
        <v>0</v>
      </c>
      <c r="X30" s="161">
        <f t="shared" si="0"/>
        <v>2.5000000000000001E-2</v>
      </c>
    </row>
    <row r="31" spans="1:81" ht="21.6" customHeight="1" x14ac:dyDescent="0.3">
      <c r="A31" s="476"/>
      <c r="B31" s="476"/>
      <c r="C31" s="264" t="s">
        <v>1259</v>
      </c>
      <c r="D31" s="41" t="s">
        <v>1214</v>
      </c>
      <c r="E31" s="184">
        <v>0</v>
      </c>
      <c r="F31" s="158">
        <f t="shared" si="1"/>
        <v>19.2</v>
      </c>
      <c r="G31" s="203">
        <f>'07-CONSUMO DE RECURSOS'!J28</f>
        <v>0</v>
      </c>
      <c r="H31" s="184">
        <f>'06-CIC'!J31</f>
        <v>0.25</v>
      </c>
      <c r="I31" s="184">
        <f>'06-CIC'!J82</f>
        <v>0.25</v>
      </c>
      <c r="J31" s="203">
        <f>'07-CONSUMO DE RECURSOS'!H28</f>
        <v>2.7777777777777776E-2</v>
      </c>
      <c r="K31" s="159">
        <f>'07-CONSUMO DE RECURSOS'!E28</f>
        <v>4.1666666666666664E-2</v>
      </c>
      <c r="L31" s="224">
        <v>0</v>
      </c>
      <c r="M31" s="159">
        <v>0</v>
      </c>
      <c r="N31" s="210">
        <v>0.25</v>
      </c>
      <c r="O31" s="184">
        <v>0</v>
      </c>
      <c r="P31" s="184">
        <v>0.25</v>
      </c>
      <c r="Q31" s="203">
        <f>'07-CONSUMO DE RECURSOS'!K28</f>
        <v>0</v>
      </c>
      <c r="R31" s="184">
        <v>0.25</v>
      </c>
      <c r="S31" s="161">
        <v>0</v>
      </c>
      <c r="T31" s="203">
        <f>'07-CONSUMO DE RECURSOS'!I28</f>
        <v>0</v>
      </c>
      <c r="U31" s="203">
        <v>0</v>
      </c>
      <c r="V31" s="203">
        <f>'07-CONSUMO DE RECURSOS'!G28</f>
        <v>0</v>
      </c>
      <c r="W31" s="203">
        <v>0</v>
      </c>
      <c r="X31" s="161">
        <f t="shared" si="0"/>
        <v>2.5000000000000001E-2</v>
      </c>
    </row>
    <row r="32" spans="1:81" ht="21.6" customHeight="1" x14ac:dyDescent="0.3">
      <c r="A32" s="476"/>
      <c r="B32" s="476"/>
      <c r="C32" s="264" t="s">
        <v>1260</v>
      </c>
      <c r="D32" s="41" t="s">
        <v>1215</v>
      </c>
      <c r="E32" s="184">
        <v>0</v>
      </c>
      <c r="F32" s="158">
        <f t="shared" si="1"/>
        <v>19.2</v>
      </c>
      <c r="G32" s="203">
        <f>'07-CONSUMO DE RECURSOS'!J29</f>
        <v>0</v>
      </c>
      <c r="H32" s="184">
        <f>'06-CIC'!J32</f>
        <v>0.25</v>
      </c>
      <c r="I32" s="184">
        <f>'06-CIC'!J83</f>
        <v>0.25</v>
      </c>
      <c r="J32" s="203">
        <f>'07-CONSUMO DE RECURSOS'!H29</f>
        <v>2.7777777777777776E-2</v>
      </c>
      <c r="K32" s="159">
        <f>'07-CONSUMO DE RECURSOS'!E29</f>
        <v>4.1666666666666664E-2</v>
      </c>
      <c r="L32" s="224">
        <v>0</v>
      </c>
      <c r="M32" s="159">
        <v>0</v>
      </c>
      <c r="N32" s="210">
        <v>0.25</v>
      </c>
      <c r="O32" s="184">
        <v>0</v>
      </c>
      <c r="P32" s="184">
        <v>0.25</v>
      </c>
      <c r="Q32" s="203">
        <f>'07-CONSUMO DE RECURSOS'!K29</f>
        <v>0</v>
      </c>
      <c r="R32" s="184">
        <v>0.25</v>
      </c>
      <c r="S32" s="161">
        <v>6.25E-2</v>
      </c>
      <c r="T32" s="203">
        <f>'07-CONSUMO DE RECURSOS'!I29</f>
        <v>0</v>
      </c>
      <c r="U32" s="203">
        <v>0</v>
      </c>
      <c r="V32" s="203">
        <f>'07-CONSUMO DE RECURSOS'!G29</f>
        <v>0</v>
      </c>
      <c r="W32" s="203">
        <v>0</v>
      </c>
      <c r="X32" s="161">
        <f t="shared" si="0"/>
        <v>2.5000000000000001E-2</v>
      </c>
    </row>
    <row r="33" spans="1:24" ht="21.6" customHeight="1" x14ac:dyDescent="0.3">
      <c r="A33" s="476"/>
      <c r="B33" s="476"/>
      <c r="C33" s="264" t="s">
        <v>1261</v>
      </c>
      <c r="D33" s="41" t="s">
        <v>1546</v>
      </c>
      <c r="E33" s="184">
        <v>0</v>
      </c>
      <c r="F33" s="158">
        <f t="shared" si="1"/>
        <v>19.2</v>
      </c>
      <c r="G33" s="203">
        <f>'07-CONSUMO DE RECURSOS'!J30</f>
        <v>0</v>
      </c>
      <c r="H33" s="184">
        <f>'06-CIC'!J33</f>
        <v>0.25</v>
      </c>
      <c r="I33" s="184">
        <f>'06-CIC'!J84</f>
        <v>0.25</v>
      </c>
      <c r="J33" s="203">
        <f>'07-CONSUMO DE RECURSOS'!H30</f>
        <v>2.7777777777777776E-2</v>
      </c>
      <c r="K33" s="159">
        <f>'07-CONSUMO DE RECURSOS'!E30</f>
        <v>0</v>
      </c>
      <c r="L33" s="224">
        <v>0</v>
      </c>
      <c r="M33" s="159">
        <v>0</v>
      </c>
      <c r="N33" s="210">
        <v>0.25</v>
      </c>
      <c r="O33" s="184">
        <v>0</v>
      </c>
      <c r="P33" s="184">
        <v>0.25</v>
      </c>
      <c r="Q33" s="203">
        <f>'07-CONSUMO DE RECURSOS'!K30</f>
        <v>0</v>
      </c>
      <c r="R33" s="184">
        <v>0.25</v>
      </c>
      <c r="S33" s="161">
        <v>6.25E-2</v>
      </c>
      <c r="T33" s="203">
        <f>'07-CONSUMO DE RECURSOS'!I30</f>
        <v>0</v>
      </c>
      <c r="U33" s="203">
        <v>0</v>
      </c>
      <c r="V33" s="203">
        <f>'07-CONSUMO DE RECURSOS'!G30</f>
        <v>0</v>
      </c>
      <c r="W33" s="203">
        <v>0</v>
      </c>
      <c r="X33" s="161">
        <f t="shared" si="0"/>
        <v>2.5000000000000001E-2</v>
      </c>
    </row>
    <row r="34" spans="1:24" ht="21.6" customHeight="1" x14ac:dyDescent="0.3">
      <c r="A34" s="476"/>
      <c r="B34" s="476"/>
      <c r="C34" s="264" t="s">
        <v>1262</v>
      </c>
      <c r="D34" s="41" t="s">
        <v>1217</v>
      </c>
      <c r="E34" s="184">
        <f>'04-MO'!H75*6</f>
        <v>180</v>
      </c>
      <c r="F34" s="158">
        <f t="shared" si="1"/>
        <v>19.2</v>
      </c>
      <c r="G34" s="203">
        <f>'07-CONSUMO DE RECURSOS'!J31</f>
        <v>3.2258064516129031E-2</v>
      </c>
      <c r="H34" s="184">
        <f>'06-CIC'!J34</f>
        <v>0.25</v>
      </c>
      <c r="I34" s="184">
        <f>'06-CIC'!J85</f>
        <v>0.25</v>
      </c>
      <c r="J34" s="203">
        <f>'07-CONSUMO DE RECURSOS'!H31</f>
        <v>2.7777777777777776E-2</v>
      </c>
      <c r="K34" s="159">
        <f>'07-CONSUMO DE RECURSOS'!E31</f>
        <v>4.1666666666666664E-2</v>
      </c>
      <c r="L34" s="226">
        <f>'06-CIC'!H199</f>
        <v>1.3333333333333333</v>
      </c>
      <c r="M34" s="159">
        <v>0</v>
      </c>
      <c r="N34" s="210">
        <v>0.25</v>
      </c>
      <c r="O34" s="208">
        <f>'05-EQUIPOS'!F64*6</f>
        <v>180</v>
      </c>
      <c r="P34" s="208">
        <v>0.25</v>
      </c>
      <c r="Q34" s="203">
        <f>'07-CONSUMO DE RECURSOS'!K31</f>
        <v>0</v>
      </c>
      <c r="R34" s="184">
        <v>0.25</v>
      </c>
      <c r="S34" s="161">
        <v>6.25E-2</v>
      </c>
      <c r="T34" s="203">
        <f>'07-CONSUMO DE RECURSOS'!I31</f>
        <v>3.2258064516129031E-2</v>
      </c>
      <c r="U34" s="203">
        <v>0</v>
      </c>
      <c r="V34" s="203">
        <f>'07-CONSUMO DE RECURSOS'!G31</f>
        <v>0</v>
      </c>
      <c r="W34" s="203">
        <v>0</v>
      </c>
      <c r="X34" s="161">
        <f t="shared" si="0"/>
        <v>2.5000000000000001E-2</v>
      </c>
    </row>
    <row r="35" spans="1:24" ht="21.6" customHeight="1" x14ac:dyDescent="0.3">
      <c r="A35" s="476"/>
      <c r="B35" s="476"/>
      <c r="C35" s="264" t="s">
        <v>1263</v>
      </c>
      <c r="D35" s="41" t="s">
        <v>1243</v>
      </c>
      <c r="E35" s="184">
        <f>'04-MO'!H77*6</f>
        <v>90</v>
      </c>
      <c r="F35" s="158">
        <f t="shared" si="1"/>
        <v>19.2</v>
      </c>
      <c r="G35" s="203">
        <f>'07-CONSUMO DE RECURSOS'!J32</f>
        <v>3.2258064516129031E-2</v>
      </c>
      <c r="H35" s="184">
        <f>'06-CIC'!J35</f>
        <v>0.25</v>
      </c>
      <c r="I35" s="184">
        <f>'06-CIC'!J86</f>
        <v>0.25</v>
      </c>
      <c r="J35" s="203">
        <f>'07-CONSUMO DE RECURSOS'!H32</f>
        <v>2.7777777777777776E-2</v>
      </c>
      <c r="K35" s="159">
        <f>'07-CONSUMO DE RECURSOS'!E32</f>
        <v>4.1666666666666664E-2</v>
      </c>
      <c r="L35" s="226">
        <f>'06-CIC'!H201</f>
        <v>1.3333333333333333</v>
      </c>
      <c r="M35" s="159">
        <v>0</v>
      </c>
      <c r="N35" s="210">
        <v>0.25</v>
      </c>
      <c r="O35" s="184">
        <f>'05-EQUIPOS'!F66*6</f>
        <v>90</v>
      </c>
      <c r="P35" s="184">
        <v>0.25</v>
      </c>
      <c r="Q35" s="203">
        <f>'07-CONSUMO DE RECURSOS'!K32</f>
        <v>0</v>
      </c>
      <c r="R35" s="184">
        <v>0.25</v>
      </c>
      <c r="S35" s="161">
        <v>6.25E-2</v>
      </c>
      <c r="T35" s="203">
        <f>'07-CONSUMO DE RECURSOS'!I32</f>
        <v>3.2258064516129031E-2</v>
      </c>
      <c r="U35" s="203">
        <v>0</v>
      </c>
      <c r="V35" s="203">
        <f>'07-CONSUMO DE RECURSOS'!G32</f>
        <v>0</v>
      </c>
      <c r="W35" s="203">
        <v>0</v>
      </c>
      <c r="X35" s="161">
        <f t="shared" si="0"/>
        <v>2.5000000000000001E-2</v>
      </c>
    </row>
    <row r="36" spans="1:24" ht="21.6" customHeight="1" x14ac:dyDescent="0.3">
      <c r="A36" s="476"/>
      <c r="B36" s="476"/>
      <c r="C36" s="264" t="s">
        <v>1264</v>
      </c>
      <c r="D36" s="41" t="s">
        <v>1223</v>
      </c>
      <c r="E36" s="184">
        <v>0</v>
      </c>
      <c r="F36" s="158">
        <f t="shared" si="1"/>
        <v>19.2</v>
      </c>
      <c r="G36" s="203">
        <f>'07-CONSUMO DE RECURSOS'!J33</f>
        <v>0</v>
      </c>
      <c r="H36" s="184">
        <f>'06-CIC'!J36</f>
        <v>0.25</v>
      </c>
      <c r="I36" s="184">
        <f>'06-CIC'!J87</f>
        <v>0.25</v>
      </c>
      <c r="J36" s="203">
        <f>'07-CONSUMO DE RECURSOS'!H33</f>
        <v>2.7777777777777776E-2</v>
      </c>
      <c r="K36" s="159">
        <f>'07-CONSUMO DE RECURSOS'!E33</f>
        <v>4.1666666666666664E-2</v>
      </c>
      <c r="L36" s="224">
        <v>0</v>
      </c>
      <c r="M36" s="203">
        <f>100%/3</f>
        <v>0.33333333333333331</v>
      </c>
      <c r="N36" s="210">
        <v>0.25</v>
      </c>
      <c r="O36" s="184">
        <v>0</v>
      </c>
      <c r="P36" s="184">
        <v>0.25</v>
      </c>
      <c r="Q36" s="203">
        <f>'07-CONSUMO DE RECURSOS'!K33</f>
        <v>0</v>
      </c>
      <c r="R36" s="184">
        <v>0.25</v>
      </c>
      <c r="S36" s="161">
        <v>0</v>
      </c>
      <c r="T36" s="203">
        <f>'07-CONSUMO DE RECURSOS'!I33</f>
        <v>0</v>
      </c>
      <c r="U36" s="203">
        <v>0</v>
      </c>
      <c r="V36" s="203">
        <f>'07-CONSUMO DE RECURSOS'!G33</f>
        <v>0</v>
      </c>
      <c r="W36" s="203">
        <v>0</v>
      </c>
      <c r="X36" s="161">
        <f t="shared" si="0"/>
        <v>2.5000000000000001E-2</v>
      </c>
    </row>
    <row r="37" spans="1:24" ht="21.6" customHeight="1" x14ac:dyDescent="0.3">
      <c r="A37" s="477"/>
      <c r="B37" s="477"/>
      <c r="C37" s="264" t="s">
        <v>1265</v>
      </c>
      <c r="D37" s="41" t="s">
        <v>1224</v>
      </c>
      <c r="E37" s="184">
        <v>0</v>
      </c>
      <c r="F37" s="158">
        <f t="shared" si="1"/>
        <v>19.2</v>
      </c>
      <c r="G37" s="203">
        <f>'07-CONSUMO DE RECURSOS'!J34</f>
        <v>0</v>
      </c>
      <c r="H37" s="184">
        <f>'06-CIC'!J37</f>
        <v>0.25</v>
      </c>
      <c r="I37" s="184">
        <f>'06-CIC'!J88</f>
        <v>0.25</v>
      </c>
      <c r="J37" s="203">
        <f>'07-CONSUMO DE RECURSOS'!H34</f>
        <v>2.7777777777777776E-2</v>
      </c>
      <c r="K37" s="159">
        <f>'07-CONSUMO DE RECURSOS'!E34</f>
        <v>4.1666666666666664E-2</v>
      </c>
      <c r="L37" s="224">
        <v>0</v>
      </c>
      <c r="M37" s="203">
        <f>100%/3</f>
        <v>0.33333333333333331</v>
      </c>
      <c r="N37" s="210">
        <v>0.25</v>
      </c>
      <c r="O37" s="184">
        <v>0</v>
      </c>
      <c r="P37" s="184">
        <v>0.25</v>
      </c>
      <c r="Q37" s="203">
        <f>'07-CONSUMO DE RECURSOS'!K34</f>
        <v>0</v>
      </c>
      <c r="R37" s="184">
        <v>0.25</v>
      </c>
      <c r="S37" s="161">
        <v>0</v>
      </c>
      <c r="T37" s="203">
        <f>'07-CONSUMO DE RECURSOS'!I34</f>
        <v>0</v>
      </c>
      <c r="U37" s="203">
        <v>0</v>
      </c>
      <c r="V37" s="203">
        <f>'07-CONSUMO DE RECURSOS'!G34</f>
        <v>0</v>
      </c>
      <c r="W37" s="203">
        <v>0</v>
      </c>
      <c r="X37" s="161">
        <f t="shared" si="0"/>
        <v>2.5000000000000001E-2</v>
      </c>
    </row>
    <row r="38" spans="1:24" ht="21.6" customHeight="1" x14ac:dyDescent="0.3">
      <c r="A38" s="475" t="s">
        <v>1194</v>
      </c>
      <c r="B38" s="475" t="s">
        <v>1188</v>
      </c>
      <c r="C38" s="264" t="s">
        <v>1266</v>
      </c>
      <c r="D38" s="41" t="s">
        <v>1218</v>
      </c>
      <c r="E38" s="184">
        <f>'04-MO'!H76*6</f>
        <v>90</v>
      </c>
      <c r="F38" s="158">
        <v>0</v>
      </c>
      <c r="G38" s="203">
        <f>'07-CONSUMO DE RECURSOS'!J35</f>
        <v>3.2258064516129031E-2</v>
      </c>
      <c r="H38" s="184">
        <f>'06-CIC'!J38</f>
        <v>0.5</v>
      </c>
      <c r="I38" s="184">
        <f>'06-CIC'!J89</f>
        <v>0.5</v>
      </c>
      <c r="J38" s="203">
        <f>'07-CONSUMO DE RECURSOS'!H35</f>
        <v>2.7777777777777776E-2</v>
      </c>
      <c r="K38" s="159">
        <f>'07-CONSUMO DE RECURSOS'!E35</f>
        <v>4.1666666666666664E-2</v>
      </c>
      <c r="L38" s="225">
        <f>'06-CIC'!H200</f>
        <v>1.3333333333333333</v>
      </c>
      <c r="M38" s="159">
        <v>0</v>
      </c>
      <c r="N38" s="210">
        <v>0.5</v>
      </c>
      <c r="O38" s="184">
        <f>'05-EQUIPOS'!F65*6</f>
        <v>90</v>
      </c>
      <c r="P38" s="184">
        <v>0.5</v>
      </c>
      <c r="Q38" s="203">
        <f>'07-CONSUMO DE RECURSOS'!K35</f>
        <v>0</v>
      </c>
      <c r="R38" s="184">
        <v>0.5</v>
      </c>
      <c r="S38" s="161">
        <v>6.25E-2</v>
      </c>
      <c r="T38" s="203">
        <f>'07-CONSUMO DE RECURSOS'!I35</f>
        <v>3.2258064516129031E-2</v>
      </c>
      <c r="U38" s="203">
        <v>0</v>
      </c>
      <c r="V38" s="203">
        <f>'07-CONSUMO DE RECURSOS'!G35</f>
        <v>0</v>
      </c>
      <c r="W38" s="203">
        <v>0</v>
      </c>
      <c r="X38" s="161">
        <f t="shared" si="0"/>
        <v>2.5000000000000001E-2</v>
      </c>
    </row>
    <row r="39" spans="1:24" ht="21.6" customHeight="1" x14ac:dyDescent="0.3">
      <c r="A39" s="476"/>
      <c r="B39" s="476"/>
      <c r="C39" s="264" t="s">
        <v>1267</v>
      </c>
      <c r="D39" s="41" t="s">
        <v>1219</v>
      </c>
      <c r="E39" s="184">
        <v>0</v>
      </c>
      <c r="F39" s="158">
        <v>0</v>
      </c>
      <c r="G39" s="203">
        <f>'07-CONSUMO DE RECURSOS'!J36</f>
        <v>0</v>
      </c>
      <c r="H39" s="184">
        <f>'06-CIC'!J39</f>
        <v>0.5</v>
      </c>
      <c r="I39" s="184">
        <f>'06-CIC'!J90</f>
        <v>0.5</v>
      </c>
      <c r="J39" s="203">
        <f>'07-CONSUMO DE RECURSOS'!H36</f>
        <v>2.7777777777777776E-2</v>
      </c>
      <c r="K39" s="159">
        <f>'07-CONSUMO DE RECURSOS'!E36</f>
        <v>4.1666666666666664E-2</v>
      </c>
      <c r="L39" s="225">
        <v>0</v>
      </c>
      <c r="M39" s="159">
        <v>0</v>
      </c>
      <c r="N39" s="210">
        <v>0.5</v>
      </c>
      <c r="O39" s="184">
        <v>0</v>
      </c>
      <c r="P39" s="184">
        <v>0.5</v>
      </c>
      <c r="Q39" s="203">
        <f>'07-CONSUMO DE RECURSOS'!K36</f>
        <v>0</v>
      </c>
      <c r="R39" s="184">
        <v>0.5</v>
      </c>
      <c r="S39" s="161">
        <v>0</v>
      </c>
      <c r="T39" s="203">
        <f>'07-CONSUMO DE RECURSOS'!I36</f>
        <v>0</v>
      </c>
      <c r="U39" s="203">
        <v>0</v>
      </c>
      <c r="V39" s="203">
        <f>'07-CONSUMO DE RECURSOS'!G36</f>
        <v>0</v>
      </c>
      <c r="W39" s="203">
        <v>0</v>
      </c>
      <c r="X39" s="161">
        <f t="shared" si="0"/>
        <v>2.5000000000000001E-2</v>
      </c>
    </row>
    <row r="40" spans="1:24" ht="21.6" customHeight="1" x14ac:dyDescent="0.3">
      <c r="A40" s="476"/>
      <c r="B40" s="476"/>
      <c r="C40" s="264" t="s">
        <v>1268</v>
      </c>
      <c r="D40" s="41" t="s">
        <v>1220</v>
      </c>
      <c r="E40" s="212">
        <f>'04-MO'!H78*6</f>
        <v>150</v>
      </c>
      <c r="F40" s="213">
        <v>0</v>
      </c>
      <c r="G40" s="203">
        <f>'07-CONSUMO DE RECURSOS'!J37</f>
        <v>3.2258064516129031E-2</v>
      </c>
      <c r="H40" s="184">
        <f>'06-CIC'!J40</f>
        <v>0.5</v>
      </c>
      <c r="I40" s="184">
        <f>'06-CIC'!J91</f>
        <v>0.5</v>
      </c>
      <c r="J40" s="203">
        <f>'07-CONSUMO DE RECURSOS'!H37</f>
        <v>2.7777777777777776E-2</v>
      </c>
      <c r="K40" s="159">
        <f>'07-CONSUMO DE RECURSOS'!E37</f>
        <v>0</v>
      </c>
      <c r="L40" s="225">
        <f>'06-CIC'!H202</f>
        <v>1.3333333333333333</v>
      </c>
      <c r="M40" s="215">
        <v>0</v>
      </c>
      <c r="N40" s="216">
        <v>0.5</v>
      </c>
      <c r="O40" s="217">
        <f>'05-EQUIPOS'!F67*6</f>
        <v>150</v>
      </c>
      <c r="P40" s="217">
        <v>0.5</v>
      </c>
      <c r="Q40" s="203">
        <f>'07-CONSUMO DE RECURSOS'!K37</f>
        <v>0</v>
      </c>
      <c r="R40" s="184">
        <v>0.5</v>
      </c>
      <c r="S40" s="215">
        <v>0</v>
      </c>
      <c r="T40" s="203">
        <f>'07-CONSUMO DE RECURSOS'!I37</f>
        <v>3.2258064516129031E-2</v>
      </c>
      <c r="U40" s="203">
        <v>0</v>
      </c>
      <c r="V40" s="203">
        <f>'07-CONSUMO DE RECURSOS'!G37</f>
        <v>0</v>
      </c>
      <c r="W40" s="203">
        <v>0</v>
      </c>
      <c r="X40" s="161">
        <f t="shared" si="0"/>
        <v>2.5000000000000001E-2</v>
      </c>
    </row>
    <row r="41" spans="1:24" ht="21.6" customHeight="1" x14ac:dyDescent="0.3">
      <c r="A41" s="476"/>
      <c r="B41" s="476"/>
      <c r="C41" s="264" t="s">
        <v>1269</v>
      </c>
      <c r="D41" s="41" t="s">
        <v>1221</v>
      </c>
      <c r="E41" s="212">
        <f>'04-MO'!H79*6</f>
        <v>60</v>
      </c>
      <c r="F41" s="213">
        <v>0</v>
      </c>
      <c r="G41" s="203">
        <f>'07-CONSUMO DE RECURSOS'!J38</f>
        <v>3.2258064516129031E-2</v>
      </c>
      <c r="H41" s="184">
        <f>'06-CIC'!J41</f>
        <v>0.5</v>
      </c>
      <c r="I41" s="184">
        <f>'06-CIC'!J92</f>
        <v>0.5</v>
      </c>
      <c r="J41" s="203">
        <f>'07-CONSUMO DE RECURSOS'!H38</f>
        <v>2.7777777777777776E-2</v>
      </c>
      <c r="K41" s="159">
        <f>'07-CONSUMO DE RECURSOS'!E38</f>
        <v>0</v>
      </c>
      <c r="L41" s="225">
        <f>'06-CIC'!H203</f>
        <v>1.3333333333333333</v>
      </c>
      <c r="M41" s="215">
        <v>0</v>
      </c>
      <c r="N41" s="216">
        <v>0.5</v>
      </c>
      <c r="O41" s="218">
        <f>'05-EQUIPOS'!F68*6</f>
        <v>60</v>
      </c>
      <c r="P41" s="218">
        <v>0.5</v>
      </c>
      <c r="Q41" s="203">
        <f>'07-CONSUMO DE RECURSOS'!K38</f>
        <v>0</v>
      </c>
      <c r="R41" s="184">
        <v>0.5</v>
      </c>
      <c r="S41" s="215">
        <v>0</v>
      </c>
      <c r="T41" s="203">
        <f>'07-CONSUMO DE RECURSOS'!I38</f>
        <v>3.2258064516129031E-2</v>
      </c>
      <c r="U41" s="203">
        <v>0</v>
      </c>
      <c r="V41" s="203">
        <f>'07-CONSUMO DE RECURSOS'!G38</f>
        <v>0</v>
      </c>
      <c r="W41" s="203">
        <v>0</v>
      </c>
      <c r="X41" s="161">
        <f t="shared" si="0"/>
        <v>2.5000000000000001E-2</v>
      </c>
    </row>
    <row r="42" spans="1:24" ht="21.6" customHeight="1" x14ac:dyDescent="0.3">
      <c r="A42" s="476"/>
      <c r="B42" s="476"/>
      <c r="C42" s="264" t="s">
        <v>1270</v>
      </c>
      <c r="D42" s="41" t="s">
        <v>1242</v>
      </c>
      <c r="E42" s="212">
        <f>('04-MO'!H80+'04-MO'!H91)*6</f>
        <v>210</v>
      </c>
      <c r="F42" s="213">
        <v>0</v>
      </c>
      <c r="G42" s="203">
        <f>'07-CONSUMO DE RECURSOS'!J39</f>
        <v>3.2258064516129031E-2</v>
      </c>
      <c r="H42" s="184">
        <f>'06-CIC'!J42</f>
        <v>0.5</v>
      </c>
      <c r="I42" s="184">
        <f>'06-CIC'!J93</f>
        <v>0.5</v>
      </c>
      <c r="J42" s="203">
        <f>'07-CONSUMO DE RECURSOS'!H39</f>
        <v>2.7777777777777776E-2</v>
      </c>
      <c r="K42" s="159">
        <f>'07-CONSUMO DE RECURSOS'!E39</f>
        <v>4.1666666666666664E-2</v>
      </c>
      <c r="L42" s="225">
        <f>'06-CIC'!H204+'06-CIC'!H215</f>
        <v>6.1111111111111107</v>
      </c>
      <c r="M42" s="215">
        <v>0</v>
      </c>
      <c r="N42" s="216">
        <v>0.5</v>
      </c>
      <c r="O42" s="218">
        <f>('05-EQUIPOS'!F69+'05-EQUIPOS'!F80)*6</f>
        <v>210</v>
      </c>
      <c r="P42" s="218">
        <v>0.5</v>
      </c>
      <c r="Q42" s="203">
        <f>'07-CONSUMO DE RECURSOS'!K39</f>
        <v>0</v>
      </c>
      <c r="R42" s="184">
        <v>0.5</v>
      </c>
      <c r="S42" s="215">
        <v>0</v>
      </c>
      <c r="T42" s="203">
        <f>'07-CONSUMO DE RECURSOS'!I39</f>
        <v>3.2258064516129031E-2</v>
      </c>
      <c r="U42" s="203">
        <v>0</v>
      </c>
      <c r="V42" s="203">
        <f>'07-CONSUMO DE RECURSOS'!G39</f>
        <v>0</v>
      </c>
      <c r="W42" s="203">
        <v>0</v>
      </c>
      <c r="X42" s="161">
        <f t="shared" si="0"/>
        <v>2.5000000000000001E-2</v>
      </c>
    </row>
    <row r="43" spans="1:24" ht="21.6" customHeight="1" x14ac:dyDescent="0.3">
      <c r="A43" s="478" t="s">
        <v>1418</v>
      </c>
      <c r="B43" s="478" t="s">
        <v>1225</v>
      </c>
      <c r="C43" s="264" t="s">
        <v>1454</v>
      </c>
      <c r="D43" s="41" t="s">
        <v>1226</v>
      </c>
      <c r="E43" s="212">
        <f>('04-MO'!H87+'04-MO'!H62)*6</f>
        <v>552</v>
      </c>
      <c r="F43" s="213">
        <v>0</v>
      </c>
      <c r="G43" s="203">
        <f>'07-CONSUMO DE RECURSOS'!J40</f>
        <v>3.2258064516129031E-2</v>
      </c>
      <c r="H43" s="219">
        <f>'06-CIC'!J51</f>
        <v>10</v>
      </c>
      <c r="I43" s="220">
        <f>'06-CIC'!J102</f>
        <v>10</v>
      </c>
      <c r="J43" s="203">
        <f>'07-CONSUMO DE RECURSOS'!H40</f>
        <v>2.7777777777777776E-2</v>
      </c>
      <c r="K43" s="159">
        <f>'07-CONSUMO DE RECURSOS'!E40</f>
        <v>0</v>
      </c>
      <c r="L43" s="214">
        <f>'06-CIC'!H211+'06-CIC'!H186</f>
        <v>12.083333333333334</v>
      </c>
      <c r="M43" s="215">
        <v>0</v>
      </c>
      <c r="N43" s="216">
        <v>10</v>
      </c>
      <c r="O43" s="218">
        <f>('05-EQUIPOS'!F51+'05-EQUIPOS'!F76)*6</f>
        <v>552</v>
      </c>
      <c r="P43" s="218">
        <v>10</v>
      </c>
      <c r="Q43" s="203">
        <f>'07-CONSUMO DE RECURSOS'!K40</f>
        <v>0</v>
      </c>
      <c r="R43" s="220">
        <v>10</v>
      </c>
      <c r="S43" s="215">
        <v>6.25E-2</v>
      </c>
      <c r="T43" s="203">
        <f>'07-CONSUMO DE RECURSOS'!I40</f>
        <v>3.2258064516129031E-2</v>
      </c>
      <c r="U43" s="203">
        <v>0</v>
      </c>
      <c r="V43" s="203">
        <f>'07-CONSUMO DE RECURSOS'!G40</f>
        <v>0</v>
      </c>
      <c r="W43" s="203">
        <v>0</v>
      </c>
      <c r="X43" s="161">
        <f t="shared" si="0"/>
        <v>2.5000000000000001E-2</v>
      </c>
    </row>
    <row r="44" spans="1:24" ht="21.6" customHeight="1" x14ac:dyDescent="0.3">
      <c r="A44" s="478"/>
      <c r="B44" s="478"/>
      <c r="C44" s="264" t="s">
        <v>1455</v>
      </c>
      <c r="D44" s="41" t="s">
        <v>1227</v>
      </c>
      <c r="E44" s="212">
        <f>'04-MO'!H85*6</f>
        <v>468</v>
      </c>
      <c r="F44" s="213">
        <v>0</v>
      </c>
      <c r="G44" s="203">
        <f>'07-CONSUMO DE RECURSOS'!J41</f>
        <v>3.2258064516129031E-2</v>
      </c>
      <c r="H44" s="219">
        <f>'06-CIC'!J52</f>
        <v>10</v>
      </c>
      <c r="I44" s="220">
        <f>'06-CIC'!J103</f>
        <v>10</v>
      </c>
      <c r="J44" s="203">
        <f>'07-CONSUMO DE RECURSOS'!H41</f>
        <v>0</v>
      </c>
      <c r="K44" s="159">
        <f>'07-CONSUMO DE RECURSOS'!E41</f>
        <v>0</v>
      </c>
      <c r="L44" s="214">
        <f>'06-CIC'!H209</f>
        <v>10.75</v>
      </c>
      <c r="M44" s="215">
        <v>0</v>
      </c>
      <c r="N44" s="216">
        <v>10</v>
      </c>
      <c r="O44" s="218">
        <v>0</v>
      </c>
      <c r="P44" s="218">
        <v>10</v>
      </c>
      <c r="Q44" s="203">
        <f>'07-CONSUMO DE RECURSOS'!K41</f>
        <v>0</v>
      </c>
      <c r="R44" s="220">
        <v>10</v>
      </c>
      <c r="S44" s="215">
        <v>0</v>
      </c>
      <c r="T44" s="203">
        <f>'07-CONSUMO DE RECURSOS'!I41</f>
        <v>3.2258064516129031E-2</v>
      </c>
      <c r="U44" s="203">
        <v>0</v>
      </c>
      <c r="V44" s="203">
        <f>'07-CONSUMO DE RECURSOS'!G41</f>
        <v>0</v>
      </c>
      <c r="W44" s="203">
        <v>0</v>
      </c>
      <c r="X44" s="161">
        <f t="shared" si="0"/>
        <v>2.5000000000000001E-2</v>
      </c>
    </row>
    <row r="45" spans="1:24" ht="21.6" customHeight="1" x14ac:dyDescent="0.3">
      <c r="A45" s="478"/>
      <c r="B45" s="478"/>
      <c r="C45" s="263" t="s">
        <v>1271</v>
      </c>
      <c r="D45" s="41" t="s">
        <v>1228</v>
      </c>
      <c r="E45" s="212">
        <f>'04-MO'!H86*6</f>
        <v>72</v>
      </c>
      <c r="F45" s="213">
        <v>0</v>
      </c>
      <c r="G45" s="203">
        <f>'07-CONSUMO DE RECURSOS'!J42</f>
        <v>3.2258064516129031E-2</v>
      </c>
      <c r="H45" s="219">
        <f>'06-CIC'!J53</f>
        <v>10</v>
      </c>
      <c r="I45" s="220">
        <f>'06-CIC'!J104</f>
        <v>10</v>
      </c>
      <c r="J45" s="203">
        <f>'07-CONSUMO DE RECURSOS'!H42</f>
        <v>2.7777777777777776E-2</v>
      </c>
      <c r="K45" s="159">
        <f>'07-CONSUMO DE RECURSOS'!E42</f>
        <v>0</v>
      </c>
      <c r="L45" s="214">
        <f>'06-CIC'!H210</f>
        <v>10.75</v>
      </c>
      <c r="M45" s="215">
        <v>0</v>
      </c>
      <c r="N45" s="216">
        <v>10</v>
      </c>
      <c r="O45" s="218">
        <f>'05-EQUIPOS'!F75*6</f>
        <v>72</v>
      </c>
      <c r="P45" s="218">
        <v>10</v>
      </c>
      <c r="Q45" s="203">
        <f>'07-CONSUMO DE RECURSOS'!K42</f>
        <v>0</v>
      </c>
      <c r="R45" s="220">
        <v>10</v>
      </c>
      <c r="S45" s="215">
        <v>0</v>
      </c>
      <c r="T45" s="203">
        <f>'07-CONSUMO DE RECURSOS'!I42</f>
        <v>3.2258064516129031E-2</v>
      </c>
      <c r="U45" s="203">
        <v>0</v>
      </c>
      <c r="V45" s="203">
        <f>'07-CONSUMO DE RECURSOS'!G42</f>
        <v>0</v>
      </c>
      <c r="W45" s="203">
        <v>0</v>
      </c>
      <c r="X45" s="161">
        <f t="shared" si="0"/>
        <v>2.5000000000000001E-2</v>
      </c>
    </row>
    <row r="46" spans="1:24" x14ac:dyDescent="0.3">
      <c r="A46" s="168"/>
      <c r="B46" s="168"/>
      <c r="C46" s="168"/>
      <c r="D46" s="168"/>
      <c r="E46" s="254">
        <f>SUM(E6:E45)</f>
        <v>7200</v>
      </c>
      <c r="F46" s="182">
        <f t="shared" ref="F46:X46" si="2">SUM(F6:F45)</f>
        <v>191.99999999999997</v>
      </c>
      <c r="G46" s="169">
        <f t="shared" si="2"/>
        <v>0.99999999999999933</v>
      </c>
      <c r="H46" s="182">
        <f t="shared" si="2"/>
        <v>100</v>
      </c>
      <c r="I46" s="182">
        <f t="shared" si="2"/>
        <v>100</v>
      </c>
      <c r="J46" s="169">
        <f t="shared" si="2"/>
        <v>1.0000000000000002</v>
      </c>
      <c r="K46" s="169">
        <f t="shared" si="2"/>
        <v>0.99999999999999956</v>
      </c>
      <c r="L46" s="182">
        <f>SUM(L6:L45)</f>
        <v>160.99999999999997</v>
      </c>
      <c r="M46" s="169">
        <f t="shared" si="2"/>
        <v>1</v>
      </c>
      <c r="N46" s="182">
        <f t="shared" si="2"/>
        <v>100</v>
      </c>
      <c r="O46" s="182">
        <f t="shared" si="2"/>
        <v>6372</v>
      </c>
      <c r="P46" s="182">
        <f t="shared" si="2"/>
        <v>100</v>
      </c>
      <c r="Q46" s="169">
        <f t="shared" si="2"/>
        <v>1.0000000000000002</v>
      </c>
      <c r="R46" s="182">
        <f t="shared" si="2"/>
        <v>100</v>
      </c>
      <c r="S46" s="169">
        <f t="shared" si="2"/>
        <v>1</v>
      </c>
      <c r="T46" s="169">
        <f t="shared" si="2"/>
        <v>0.99999999999999933</v>
      </c>
      <c r="U46" s="169">
        <f t="shared" si="2"/>
        <v>1</v>
      </c>
      <c r="V46" s="169">
        <f t="shared" si="2"/>
        <v>1</v>
      </c>
      <c r="W46" s="169">
        <f t="shared" si="2"/>
        <v>1</v>
      </c>
      <c r="X46" s="169">
        <f t="shared" si="2"/>
        <v>1.0000000000000004</v>
      </c>
    </row>
    <row r="49" spans="1:81" ht="27.6" x14ac:dyDescent="0.3">
      <c r="A49" s="281" t="s">
        <v>1423</v>
      </c>
      <c r="B49" s="471" t="s">
        <v>1540</v>
      </c>
      <c r="C49" s="471" t="s">
        <v>1541</v>
      </c>
      <c r="D49" s="471" t="s">
        <v>1150</v>
      </c>
      <c r="E49" s="469" t="s">
        <v>1424</v>
      </c>
      <c r="F49" s="474"/>
      <c r="G49" s="470"/>
      <c r="H49" s="273" t="s">
        <v>1153</v>
      </c>
      <c r="I49" s="369" t="s">
        <v>1441</v>
      </c>
      <c r="J49" s="369"/>
      <c r="K49" s="369"/>
      <c r="L49" s="369"/>
      <c r="M49" s="369"/>
      <c r="N49" s="273" t="s">
        <v>1425</v>
      </c>
      <c r="O49" s="273" t="s">
        <v>1426</v>
      </c>
      <c r="P49" s="469" t="s">
        <v>1534</v>
      </c>
      <c r="Q49" s="470"/>
      <c r="R49" s="369" t="s">
        <v>1427</v>
      </c>
      <c r="S49" s="369"/>
      <c r="T49" s="369"/>
      <c r="U49" s="369"/>
      <c r="V49" s="369"/>
      <c r="W49" s="274" t="s">
        <v>1446</v>
      </c>
      <c r="X49" s="274" t="s">
        <v>1537</v>
      </c>
    </row>
    <row r="50" spans="1:81" ht="41.4" x14ac:dyDescent="0.3">
      <c r="A50" s="472" t="s">
        <v>1428</v>
      </c>
      <c r="B50" s="472"/>
      <c r="C50" s="472"/>
      <c r="D50" s="472"/>
      <c r="E50" s="275" t="s">
        <v>1440</v>
      </c>
      <c r="F50" s="276" t="s">
        <v>1532</v>
      </c>
      <c r="G50" s="276" t="s">
        <v>1533</v>
      </c>
      <c r="H50" s="274" t="s">
        <v>1429</v>
      </c>
      <c r="I50" s="274" t="s">
        <v>1430</v>
      </c>
      <c r="J50" s="274" t="s">
        <v>1160</v>
      </c>
      <c r="K50" s="277" t="s">
        <v>1451</v>
      </c>
      <c r="L50" s="277" t="s">
        <v>1444</v>
      </c>
      <c r="M50" s="277" t="s">
        <v>1538</v>
      </c>
      <c r="N50" s="274" t="s">
        <v>1431</v>
      </c>
      <c r="O50" s="274" t="s">
        <v>1452</v>
      </c>
      <c r="P50" s="274" t="s">
        <v>1551</v>
      </c>
      <c r="Q50" s="274" t="s">
        <v>1552</v>
      </c>
      <c r="R50" s="274" t="s">
        <v>1432</v>
      </c>
      <c r="S50" s="278" t="s">
        <v>1433</v>
      </c>
      <c r="T50" s="274" t="s">
        <v>1442</v>
      </c>
      <c r="U50" s="274" t="s">
        <v>1535</v>
      </c>
      <c r="V50" s="274" t="s">
        <v>1443</v>
      </c>
      <c r="W50" s="274" t="s">
        <v>1447</v>
      </c>
      <c r="X50" s="278" t="s">
        <v>1537</v>
      </c>
    </row>
    <row r="51" spans="1:81" x14ac:dyDescent="0.3">
      <c r="A51" s="472"/>
      <c r="B51" s="472"/>
      <c r="C51" s="473"/>
      <c r="D51" s="472"/>
      <c r="E51" s="170">
        <f>SUM('04-MO'!H41:H46)*6</f>
        <v>61462141.804799996</v>
      </c>
      <c r="F51" s="170">
        <f>'ESTADO RESULTADOS'!C61</f>
        <v>6773000</v>
      </c>
      <c r="G51" s="170">
        <f>'ESTADO RESULTADOS'!C62</f>
        <v>1344987</v>
      </c>
      <c r="H51" s="171">
        <f>'ESTADO RESULTADOS'!C64</f>
        <v>12000000</v>
      </c>
      <c r="I51" s="171">
        <f>'ESTADO RESULTADOS'!C68</f>
        <v>218000</v>
      </c>
      <c r="J51" s="170">
        <f>'ESTADO RESULTADOS'!C69</f>
        <v>2014700</v>
      </c>
      <c r="K51" s="170">
        <f>'ESTADO RESULTADOS'!C109+'ESTADO RESULTADOS'!C70+'ESTADO RESULTADOS'!C72</f>
        <v>780277</v>
      </c>
      <c r="L51" s="170">
        <f>'ESTADO RESULTADOS'!C66</f>
        <v>5457196</v>
      </c>
      <c r="M51" s="170">
        <f>'ESTADO RESULTADOS'!C67</f>
        <v>354800</v>
      </c>
      <c r="N51" s="171">
        <f>'ESTADO RESULTADOS'!C81</f>
        <v>4410937</v>
      </c>
      <c r="O51" s="171">
        <f>'05-EQUIPOS'!H41*6</f>
        <v>760887.5</v>
      </c>
      <c r="P51" s="171">
        <f>'ESTADO RESULTADOS'!C76</f>
        <v>3035966</v>
      </c>
      <c r="Q51" s="170">
        <f>'ESTADO RESULTADOS'!C77</f>
        <v>92673</v>
      </c>
      <c r="R51" s="171">
        <f>'ESTADO RESULTADOS'!C89</f>
        <v>575134</v>
      </c>
      <c r="S51" s="171">
        <f>'ESTADO RESULTADOS'!C90</f>
        <v>493029</v>
      </c>
      <c r="T51" s="171">
        <f>'ESTADO RESULTADOS'!C92</f>
        <v>3499122</v>
      </c>
      <c r="U51" s="171">
        <f>'ESTADO RESULTADOS'!C88+'ESTADO RESULTADOS'!C93+'ESTADO RESULTADOS'!C94</f>
        <v>880441</v>
      </c>
      <c r="V51" s="170">
        <f>'ESTADO RESULTADOS'!C91</f>
        <v>2484410</v>
      </c>
      <c r="W51" s="171">
        <f>'ESTADO RESULTADOS'!C74</f>
        <v>6400</v>
      </c>
      <c r="X51" s="171">
        <f>'ESTADO RESULTADOS'!C120+'ESTADO RESULTADOS'!C121</f>
        <v>8760332</v>
      </c>
    </row>
    <row r="52" spans="1:81" ht="27.6" x14ac:dyDescent="0.3">
      <c r="A52" s="473"/>
      <c r="B52" s="473"/>
      <c r="C52" s="281" t="s">
        <v>1541</v>
      </c>
      <c r="D52" s="473"/>
      <c r="E52" s="273" t="s">
        <v>1434</v>
      </c>
      <c r="F52" s="274" t="s">
        <v>1434</v>
      </c>
      <c r="G52" s="279" t="s">
        <v>1570</v>
      </c>
      <c r="H52" s="280" t="s">
        <v>1435</v>
      </c>
      <c r="I52" s="280" t="s">
        <v>1436</v>
      </c>
      <c r="J52" s="280" t="s">
        <v>1123</v>
      </c>
      <c r="K52" s="277" t="s">
        <v>1437</v>
      </c>
      <c r="L52" s="277" t="s">
        <v>1445</v>
      </c>
      <c r="M52" s="277" t="s">
        <v>1123</v>
      </c>
      <c r="N52" s="280" t="s">
        <v>1436</v>
      </c>
      <c r="O52" s="280" t="s">
        <v>1439</v>
      </c>
      <c r="P52" s="280" t="s">
        <v>1436</v>
      </c>
      <c r="Q52" s="280" t="s">
        <v>1570</v>
      </c>
      <c r="R52" s="280" t="s">
        <v>1438</v>
      </c>
      <c r="S52" s="278" t="s">
        <v>1123</v>
      </c>
      <c r="T52" s="280" t="s">
        <v>1449</v>
      </c>
      <c r="U52" s="274" t="s">
        <v>1535</v>
      </c>
      <c r="V52" s="280" t="s">
        <v>1457</v>
      </c>
      <c r="W52" s="280" t="s">
        <v>1448</v>
      </c>
      <c r="X52" s="278" t="s">
        <v>1450</v>
      </c>
      <c r="Y52" s="237" t="s">
        <v>1565</v>
      </c>
    </row>
    <row r="53" spans="1:81" s="51" customFormat="1" ht="21.6" customHeight="1" x14ac:dyDescent="0.3">
      <c r="A53" s="475" t="s">
        <v>1190</v>
      </c>
      <c r="B53" s="475" t="s">
        <v>1417</v>
      </c>
      <c r="C53" s="263" t="s">
        <v>1229</v>
      </c>
      <c r="D53" s="41" t="s">
        <v>1204</v>
      </c>
      <c r="E53" s="160">
        <f>($E$51/$E$46)*E6</f>
        <v>1024369.0300799998</v>
      </c>
      <c r="F53" s="183">
        <v>0</v>
      </c>
      <c r="G53" s="183">
        <f>$G$51*G6</f>
        <v>43386.677419354841</v>
      </c>
      <c r="H53" s="240">
        <f>'06-CIC'!K16</f>
        <v>33333.333333333336</v>
      </c>
      <c r="I53" s="183">
        <f>'06-CIC'!K67</f>
        <v>605.55555555555554</v>
      </c>
      <c r="J53" s="183">
        <f>$J$51*J6</f>
        <v>0</v>
      </c>
      <c r="K53" s="185">
        <f>$K$51*K6</f>
        <v>0</v>
      </c>
      <c r="L53" s="185">
        <f>($L$51/$L$46)*L6</f>
        <v>45194.169772256733</v>
      </c>
      <c r="M53" s="185">
        <f>$M$51*M6</f>
        <v>0</v>
      </c>
      <c r="N53" s="183">
        <f>($N$51/$N$46)*N6</f>
        <v>12252.60277777778</v>
      </c>
      <c r="O53" s="183">
        <f>'05-EQUIPOS'!G45*6</f>
        <v>16666.666666666668</v>
      </c>
      <c r="P53" s="183">
        <f>$P$51/$P$46*P6</f>
        <v>8433.2388888888891</v>
      </c>
      <c r="Q53" s="183">
        <f>$Q$51*Q6</f>
        <v>10297</v>
      </c>
      <c r="R53" s="183">
        <f>($R$51/$R$46)*R6</f>
        <v>1597.5944444444447</v>
      </c>
      <c r="S53" s="186">
        <f>$S$51*S6</f>
        <v>0</v>
      </c>
      <c r="T53" s="183">
        <f>$T$51*T6</f>
        <v>112874.90322580645</v>
      </c>
      <c r="U53" s="183">
        <f>$U$51*U6</f>
        <v>880441</v>
      </c>
      <c r="V53" s="183">
        <f>$V$51*V6</f>
        <v>828136.66666666663</v>
      </c>
      <c r="W53" s="183">
        <f>$W$51*W6</f>
        <v>6400</v>
      </c>
      <c r="X53" s="186">
        <f>$X$51*X6</f>
        <v>219008.30000000002</v>
      </c>
      <c r="Y53" s="239">
        <f>SUM(E53:X53)</f>
        <v>3242996.7388307503</v>
      </c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s="51" customFormat="1" ht="21.6" customHeight="1" x14ac:dyDescent="0.3">
      <c r="A54" s="476"/>
      <c r="B54" s="476"/>
      <c r="C54" s="263" t="s">
        <v>1230</v>
      </c>
      <c r="D54" s="41" t="s">
        <v>1203</v>
      </c>
      <c r="E54" s="160">
        <f t="shared" ref="E54:E92" si="3">($E$51/$E$46)*E7</f>
        <v>1024369.0300799998</v>
      </c>
      <c r="F54" s="183">
        <v>0</v>
      </c>
      <c r="G54" s="183">
        <f t="shared" ref="G54:G92" si="4">$G$51*G7</f>
        <v>43386.677419354841</v>
      </c>
      <c r="H54" s="240">
        <f>'06-CIC'!K17</f>
        <v>33333.333333333336</v>
      </c>
      <c r="I54" s="183">
        <f>'06-CIC'!K68</f>
        <v>605.55555555555554</v>
      </c>
      <c r="J54" s="183">
        <f t="shared" ref="J54:J92" si="5">$J$51*J7</f>
        <v>55963.888888888883</v>
      </c>
      <c r="K54" s="185">
        <f t="shared" ref="K54:K92" si="6">$K$51*K7</f>
        <v>32511.541666666664</v>
      </c>
      <c r="L54" s="185">
        <f t="shared" ref="L54:L92" si="7">($L$51/$L$46)*L7</f>
        <v>45194.169772256733</v>
      </c>
      <c r="M54" s="185">
        <f t="shared" ref="M54:M92" si="8">$M$51*M7</f>
        <v>0</v>
      </c>
      <c r="N54" s="183">
        <f t="shared" ref="N54:N92" si="9">($N$51/$N$46)*N7</f>
        <v>12252.60277777778</v>
      </c>
      <c r="O54" s="183">
        <f>'05-EQUIPOS'!G46*6</f>
        <v>16666.666666666668</v>
      </c>
      <c r="P54" s="183">
        <f t="shared" ref="P54:P92" si="10">$P$51/$P$46*P7</f>
        <v>8433.2388888888891</v>
      </c>
      <c r="Q54" s="183">
        <f t="shared" ref="Q54:Q92" si="11">$Q$51*Q7</f>
        <v>10297</v>
      </c>
      <c r="R54" s="183">
        <f t="shared" ref="R54:R92" si="12">($R$51/$R$46)*R7</f>
        <v>1597.5944444444447</v>
      </c>
      <c r="S54" s="186">
        <f t="shared" ref="S54:S92" si="13">$S$51*S7</f>
        <v>0</v>
      </c>
      <c r="T54" s="183">
        <f t="shared" ref="T54:T92" si="14">$T$51*T7</f>
        <v>112874.90322580645</v>
      </c>
      <c r="U54" s="183">
        <f t="shared" ref="U54:U92" si="15">$U$51*U7</f>
        <v>0</v>
      </c>
      <c r="V54" s="183">
        <f t="shared" ref="V54:V92" si="16">$V$51*V7</f>
        <v>0</v>
      </c>
      <c r="W54" s="183">
        <f t="shared" ref="W54:W92" si="17">$W$51*W7</f>
        <v>0</v>
      </c>
      <c r="X54" s="186">
        <f t="shared" ref="X54:X92" si="18">$X$51*X7</f>
        <v>219008.30000000002</v>
      </c>
      <c r="Y54" s="239">
        <f t="shared" ref="Y54:Y91" si="19">SUM(E54:X54)</f>
        <v>1616494.50271964</v>
      </c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s="51" customFormat="1" ht="21.6" customHeight="1" x14ac:dyDescent="0.3">
      <c r="A55" s="476"/>
      <c r="B55" s="476"/>
      <c r="C55" s="263" t="s">
        <v>1231</v>
      </c>
      <c r="D55" s="41" t="s">
        <v>1202</v>
      </c>
      <c r="E55" s="160">
        <f t="shared" si="3"/>
        <v>1024369.0300799998</v>
      </c>
      <c r="F55" s="183">
        <v>0</v>
      </c>
      <c r="G55" s="183">
        <f t="shared" si="4"/>
        <v>43386.677419354841</v>
      </c>
      <c r="H55" s="240">
        <f>'06-CIC'!K18</f>
        <v>33333.333333333336</v>
      </c>
      <c r="I55" s="183">
        <f>'06-CIC'!K69</f>
        <v>605.55555555555554</v>
      </c>
      <c r="J55" s="183">
        <f t="shared" si="5"/>
        <v>55963.888888888883</v>
      </c>
      <c r="K55" s="185">
        <f t="shared" si="6"/>
        <v>0</v>
      </c>
      <c r="L55" s="185">
        <f t="shared" si="7"/>
        <v>45194.169772256733</v>
      </c>
      <c r="M55" s="185">
        <f t="shared" si="8"/>
        <v>0</v>
      </c>
      <c r="N55" s="183">
        <f t="shared" si="9"/>
        <v>12252.60277777778</v>
      </c>
      <c r="O55" s="183">
        <f>'05-EQUIPOS'!G47*6</f>
        <v>16666.666666666668</v>
      </c>
      <c r="P55" s="183">
        <f t="shared" si="10"/>
        <v>8433.2388888888891</v>
      </c>
      <c r="Q55" s="183">
        <f t="shared" si="11"/>
        <v>10297</v>
      </c>
      <c r="R55" s="183">
        <f t="shared" si="12"/>
        <v>1597.5944444444447</v>
      </c>
      <c r="S55" s="186">
        <f t="shared" si="13"/>
        <v>0</v>
      </c>
      <c r="T55" s="183">
        <f t="shared" si="14"/>
        <v>112874.90322580645</v>
      </c>
      <c r="U55" s="183">
        <f t="shared" si="15"/>
        <v>0</v>
      </c>
      <c r="V55" s="183">
        <f t="shared" si="16"/>
        <v>0</v>
      </c>
      <c r="W55" s="183">
        <f t="shared" si="17"/>
        <v>0</v>
      </c>
      <c r="X55" s="186">
        <f t="shared" si="18"/>
        <v>219008.30000000002</v>
      </c>
      <c r="Y55" s="239">
        <f t="shared" si="19"/>
        <v>1583982.9610529733</v>
      </c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s="51" customFormat="1" ht="21.6" customHeight="1" x14ac:dyDescent="0.3">
      <c r="A56" s="476"/>
      <c r="B56" s="476"/>
      <c r="C56" s="263" t="s">
        <v>1232</v>
      </c>
      <c r="D56" s="41" t="s">
        <v>1151</v>
      </c>
      <c r="E56" s="160">
        <f t="shared" si="3"/>
        <v>1536553.5451199999</v>
      </c>
      <c r="F56" s="183">
        <v>0</v>
      </c>
      <c r="G56" s="183">
        <f t="shared" si="4"/>
        <v>43386.677419354841</v>
      </c>
      <c r="H56" s="240">
        <v>0</v>
      </c>
      <c r="I56" s="183">
        <v>0</v>
      </c>
      <c r="J56" s="183">
        <f t="shared" si="5"/>
        <v>0</v>
      </c>
      <c r="K56" s="185">
        <f t="shared" si="6"/>
        <v>0</v>
      </c>
      <c r="L56" s="185">
        <f t="shared" si="7"/>
        <v>45194.169772256733</v>
      </c>
      <c r="M56" s="185">
        <f t="shared" si="8"/>
        <v>0</v>
      </c>
      <c r="N56" s="183">
        <f t="shared" si="9"/>
        <v>0</v>
      </c>
      <c r="O56" s="183">
        <f>($O$51/$O$46)*O9</f>
        <v>0</v>
      </c>
      <c r="P56" s="183">
        <f t="shared" si="10"/>
        <v>0</v>
      </c>
      <c r="Q56" s="183">
        <f t="shared" si="11"/>
        <v>0</v>
      </c>
      <c r="R56" s="183">
        <f t="shared" si="12"/>
        <v>0</v>
      </c>
      <c r="S56" s="186">
        <f t="shared" si="13"/>
        <v>0</v>
      </c>
      <c r="T56" s="183">
        <f t="shared" si="14"/>
        <v>112874.90322580645</v>
      </c>
      <c r="U56" s="183">
        <f t="shared" si="15"/>
        <v>0</v>
      </c>
      <c r="V56" s="183">
        <f t="shared" si="16"/>
        <v>828136.66666666663</v>
      </c>
      <c r="W56" s="183">
        <f t="shared" si="17"/>
        <v>0</v>
      </c>
      <c r="X56" s="186">
        <f t="shared" si="18"/>
        <v>219008.30000000002</v>
      </c>
      <c r="Y56" s="239">
        <f t="shared" si="19"/>
        <v>2785154.2622040845</v>
      </c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s="51" customFormat="1" ht="21.6" customHeight="1" x14ac:dyDescent="0.3">
      <c r="A57" s="476"/>
      <c r="B57" s="476"/>
      <c r="C57" s="263" t="s">
        <v>1233</v>
      </c>
      <c r="D57" s="41" t="s">
        <v>1201</v>
      </c>
      <c r="E57" s="160">
        <f t="shared" si="3"/>
        <v>1536553.5451199999</v>
      </c>
      <c r="F57" s="183">
        <v>0</v>
      </c>
      <c r="G57" s="183">
        <f t="shared" si="4"/>
        <v>43386.677419354841</v>
      </c>
      <c r="H57" s="240">
        <v>0</v>
      </c>
      <c r="I57" s="183">
        <v>0</v>
      </c>
      <c r="J57" s="183">
        <f t="shared" si="5"/>
        <v>0</v>
      </c>
      <c r="K57" s="185">
        <f t="shared" si="6"/>
        <v>0</v>
      </c>
      <c r="L57" s="185">
        <f t="shared" si="7"/>
        <v>45194.169772256733</v>
      </c>
      <c r="M57" s="185">
        <f t="shared" si="8"/>
        <v>0</v>
      </c>
      <c r="N57" s="183">
        <f t="shared" si="9"/>
        <v>0</v>
      </c>
      <c r="O57" s="183">
        <f>($O$51/$O$46)*O10</f>
        <v>0</v>
      </c>
      <c r="P57" s="183">
        <f t="shared" si="10"/>
        <v>0</v>
      </c>
      <c r="Q57" s="183">
        <f t="shared" si="11"/>
        <v>0</v>
      </c>
      <c r="R57" s="183">
        <f t="shared" si="12"/>
        <v>0</v>
      </c>
      <c r="S57" s="186">
        <f t="shared" si="13"/>
        <v>0</v>
      </c>
      <c r="T57" s="183">
        <f t="shared" si="14"/>
        <v>112874.90322580645</v>
      </c>
      <c r="U57" s="183">
        <f t="shared" si="15"/>
        <v>0</v>
      </c>
      <c r="V57" s="183">
        <f t="shared" si="16"/>
        <v>828136.66666666663</v>
      </c>
      <c r="W57" s="183">
        <f t="shared" si="17"/>
        <v>0</v>
      </c>
      <c r="X57" s="186">
        <f t="shared" si="18"/>
        <v>219008.30000000002</v>
      </c>
      <c r="Y57" s="239">
        <f t="shared" si="19"/>
        <v>2785154.2622040845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s="51" customFormat="1" ht="21.6" customHeight="1" x14ac:dyDescent="0.3">
      <c r="A58" s="476"/>
      <c r="B58" s="476"/>
      <c r="C58" s="263" t="s">
        <v>1234</v>
      </c>
      <c r="D58" s="41" t="s">
        <v>1200</v>
      </c>
      <c r="E58" s="160">
        <f t="shared" si="3"/>
        <v>921932.12707199983</v>
      </c>
      <c r="F58" s="183">
        <v>0</v>
      </c>
      <c r="G58" s="183">
        <f t="shared" si="4"/>
        <v>43386.677419354841</v>
      </c>
      <c r="H58" s="240">
        <f>'06-CIC'!K19</f>
        <v>33333.333333333336</v>
      </c>
      <c r="I58" s="183">
        <f>'06-CIC'!K70</f>
        <v>605.55555555555554</v>
      </c>
      <c r="J58" s="183">
        <f t="shared" si="5"/>
        <v>55963.888888888883</v>
      </c>
      <c r="K58" s="185">
        <f t="shared" si="6"/>
        <v>0</v>
      </c>
      <c r="L58" s="185">
        <f t="shared" si="7"/>
        <v>45194.169772256733</v>
      </c>
      <c r="M58" s="185">
        <f t="shared" si="8"/>
        <v>0</v>
      </c>
      <c r="N58" s="183">
        <f t="shared" si="9"/>
        <v>12252.60277777778</v>
      </c>
      <c r="O58" s="183">
        <f>'05-EQUIPOS'!G48*6</f>
        <v>15000</v>
      </c>
      <c r="P58" s="183">
        <f t="shared" si="10"/>
        <v>8433.2388888888891</v>
      </c>
      <c r="Q58" s="183">
        <f t="shared" si="11"/>
        <v>10297</v>
      </c>
      <c r="R58" s="183">
        <f t="shared" si="12"/>
        <v>1597.5944444444447</v>
      </c>
      <c r="S58" s="186">
        <f t="shared" si="13"/>
        <v>30814.3125</v>
      </c>
      <c r="T58" s="183">
        <f t="shared" si="14"/>
        <v>112874.90322580645</v>
      </c>
      <c r="U58" s="183">
        <f t="shared" si="15"/>
        <v>0</v>
      </c>
      <c r="V58" s="183">
        <f t="shared" si="16"/>
        <v>0</v>
      </c>
      <c r="W58" s="183">
        <f t="shared" si="17"/>
        <v>0</v>
      </c>
      <c r="X58" s="186">
        <f t="shared" si="18"/>
        <v>219008.30000000002</v>
      </c>
      <c r="Y58" s="239">
        <f t="shared" si="19"/>
        <v>1510693.7038783066</v>
      </c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s="51" customFormat="1" ht="21.6" customHeight="1" x14ac:dyDescent="0.3">
      <c r="A59" s="476"/>
      <c r="B59" s="476"/>
      <c r="C59" s="263" t="s">
        <v>1235</v>
      </c>
      <c r="D59" s="41" t="s">
        <v>1195</v>
      </c>
      <c r="E59" s="160">
        <f t="shared" si="3"/>
        <v>614621.41804799996</v>
      </c>
      <c r="F59" s="183">
        <v>0</v>
      </c>
      <c r="G59" s="183">
        <f t="shared" si="4"/>
        <v>43386.677419354841</v>
      </c>
      <c r="H59" s="240">
        <f>'06-CIC'!K20</f>
        <v>33333.333333333336</v>
      </c>
      <c r="I59" s="183">
        <f>'06-CIC'!K71</f>
        <v>605.55555555555554</v>
      </c>
      <c r="J59" s="183">
        <f t="shared" si="5"/>
        <v>55963.888888888883</v>
      </c>
      <c r="K59" s="185">
        <f t="shared" si="6"/>
        <v>0</v>
      </c>
      <c r="L59" s="185">
        <f t="shared" si="7"/>
        <v>45194.169772256733</v>
      </c>
      <c r="M59" s="185">
        <f t="shared" si="8"/>
        <v>0</v>
      </c>
      <c r="N59" s="183">
        <f t="shared" si="9"/>
        <v>12252.60277777778</v>
      </c>
      <c r="O59" s="183">
        <f>'05-EQUIPOS'!G49*6</f>
        <v>10000</v>
      </c>
      <c r="P59" s="183">
        <f t="shared" si="10"/>
        <v>8433.2388888888891</v>
      </c>
      <c r="Q59" s="183">
        <f t="shared" si="11"/>
        <v>10297</v>
      </c>
      <c r="R59" s="183">
        <f t="shared" si="12"/>
        <v>1597.5944444444447</v>
      </c>
      <c r="S59" s="186">
        <f t="shared" si="13"/>
        <v>0</v>
      </c>
      <c r="T59" s="183">
        <f t="shared" si="14"/>
        <v>112874.90322580645</v>
      </c>
      <c r="U59" s="183">
        <f t="shared" si="15"/>
        <v>0</v>
      </c>
      <c r="V59" s="183">
        <f t="shared" si="16"/>
        <v>0</v>
      </c>
      <c r="W59" s="183">
        <f t="shared" si="17"/>
        <v>0</v>
      </c>
      <c r="X59" s="186">
        <f t="shared" si="18"/>
        <v>219008.30000000002</v>
      </c>
      <c r="Y59" s="239">
        <f t="shared" si="19"/>
        <v>1167568.6823543068</v>
      </c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s="51" customFormat="1" ht="21.6" customHeight="1" x14ac:dyDescent="0.3">
      <c r="A60" s="476"/>
      <c r="B60" s="476"/>
      <c r="C60" s="263" t="s">
        <v>1236</v>
      </c>
      <c r="D60" s="41" t="s">
        <v>1196</v>
      </c>
      <c r="E60" s="160">
        <f t="shared" si="3"/>
        <v>921932.12707199983</v>
      </c>
      <c r="F60" s="183">
        <v>0</v>
      </c>
      <c r="G60" s="183">
        <f t="shared" si="4"/>
        <v>43386.677419354841</v>
      </c>
      <c r="H60" s="240">
        <f>'06-CIC'!K21</f>
        <v>33333.333333333336</v>
      </c>
      <c r="I60" s="183">
        <f>'06-CIC'!K72</f>
        <v>605.55555555555554</v>
      </c>
      <c r="J60" s="183">
        <f t="shared" si="5"/>
        <v>55963.888888888883</v>
      </c>
      <c r="K60" s="185">
        <f t="shared" si="6"/>
        <v>32511.541666666664</v>
      </c>
      <c r="L60" s="185">
        <f t="shared" si="7"/>
        <v>45194.169772256733</v>
      </c>
      <c r="M60" s="185">
        <f t="shared" si="8"/>
        <v>0</v>
      </c>
      <c r="N60" s="183">
        <f t="shared" si="9"/>
        <v>12252.60277777778</v>
      </c>
      <c r="O60" s="183">
        <f>'05-EQUIPOS'!G50*6</f>
        <v>15000</v>
      </c>
      <c r="P60" s="183">
        <f t="shared" si="10"/>
        <v>8433.2388888888891</v>
      </c>
      <c r="Q60" s="183">
        <f t="shared" si="11"/>
        <v>10297</v>
      </c>
      <c r="R60" s="183">
        <f t="shared" si="12"/>
        <v>1597.5944444444447</v>
      </c>
      <c r="S60" s="186">
        <f t="shared" si="13"/>
        <v>30814.3125</v>
      </c>
      <c r="T60" s="183">
        <f t="shared" si="14"/>
        <v>112874.90322580645</v>
      </c>
      <c r="U60" s="183">
        <f t="shared" si="15"/>
        <v>0</v>
      </c>
      <c r="V60" s="183">
        <f t="shared" si="16"/>
        <v>0</v>
      </c>
      <c r="W60" s="183">
        <f t="shared" si="17"/>
        <v>0</v>
      </c>
      <c r="X60" s="186">
        <f t="shared" si="18"/>
        <v>219008.30000000002</v>
      </c>
      <c r="Y60" s="239">
        <f t="shared" si="19"/>
        <v>1543205.2455449733</v>
      </c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s="51" customFormat="1" ht="21.6" customHeight="1" x14ac:dyDescent="0.3">
      <c r="A61" s="476"/>
      <c r="B61" s="476"/>
      <c r="C61" s="263" t="s">
        <v>1239</v>
      </c>
      <c r="D61" s="41" t="s">
        <v>1197</v>
      </c>
      <c r="E61" s="160">
        <f t="shared" si="3"/>
        <v>1126805.9330879999</v>
      </c>
      <c r="F61" s="183">
        <v>0</v>
      </c>
      <c r="G61" s="183">
        <f t="shared" si="4"/>
        <v>43386.677419354841</v>
      </c>
      <c r="H61" s="240">
        <f>'06-CIC'!K22</f>
        <v>33333.333333333336</v>
      </c>
      <c r="I61" s="183">
        <f>'06-CIC'!K73</f>
        <v>605.55555555555554</v>
      </c>
      <c r="J61" s="183">
        <f t="shared" si="5"/>
        <v>55963.888888888883</v>
      </c>
      <c r="K61" s="185">
        <f t="shared" si="6"/>
        <v>32511.541666666664</v>
      </c>
      <c r="L61" s="185">
        <f t="shared" si="7"/>
        <v>45194.169772256733</v>
      </c>
      <c r="M61" s="185">
        <f t="shared" si="8"/>
        <v>0</v>
      </c>
      <c r="N61" s="183">
        <f t="shared" si="9"/>
        <v>12252.60277777778</v>
      </c>
      <c r="O61" s="183">
        <f>'05-EQUIPOS'!G58*6</f>
        <v>24470.416666666672</v>
      </c>
      <c r="P61" s="183">
        <f t="shared" si="10"/>
        <v>8433.2388888888891</v>
      </c>
      <c r="Q61" s="183">
        <f t="shared" si="11"/>
        <v>10297</v>
      </c>
      <c r="R61" s="183">
        <f t="shared" si="12"/>
        <v>1597.5944444444447</v>
      </c>
      <c r="S61" s="186">
        <f t="shared" si="13"/>
        <v>30814.3125</v>
      </c>
      <c r="T61" s="183">
        <f t="shared" si="14"/>
        <v>112874.90322580645</v>
      </c>
      <c r="U61" s="183">
        <f t="shared" si="15"/>
        <v>0</v>
      </c>
      <c r="V61" s="183">
        <f t="shared" si="16"/>
        <v>0</v>
      </c>
      <c r="W61" s="183">
        <f t="shared" si="17"/>
        <v>0</v>
      </c>
      <c r="X61" s="186">
        <f t="shared" si="18"/>
        <v>219008.30000000002</v>
      </c>
      <c r="Y61" s="239">
        <f t="shared" si="19"/>
        <v>1757549.4682276403</v>
      </c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s="51" customFormat="1" ht="21.6" customHeight="1" x14ac:dyDescent="0.3">
      <c r="A62" s="476"/>
      <c r="B62" s="476"/>
      <c r="C62" s="263" t="s">
        <v>1237</v>
      </c>
      <c r="D62" s="41" t="s">
        <v>1198</v>
      </c>
      <c r="E62" s="160">
        <f t="shared" si="3"/>
        <v>1280461.2875999999</v>
      </c>
      <c r="F62" s="183">
        <v>0</v>
      </c>
      <c r="G62" s="183">
        <f t="shared" si="4"/>
        <v>43386.677419354841</v>
      </c>
      <c r="H62" s="240">
        <f>'06-CIC'!K23</f>
        <v>33333.333333333336</v>
      </c>
      <c r="I62" s="183">
        <f>'06-CIC'!K74</f>
        <v>605.55555555555554</v>
      </c>
      <c r="J62" s="183">
        <f t="shared" si="5"/>
        <v>55963.888888888883</v>
      </c>
      <c r="K62" s="185">
        <f t="shared" si="6"/>
        <v>32511.541666666664</v>
      </c>
      <c r="L62" s="185">
        <f t="shared" si="7"/>
        <v>45194.169772256733</v>
      </c>
      <c r="M62" s="185">
        <f t="shared" si="8"/>
        <v>0</v>
      </c>
      <c r="N62" s="183">
        <f t="shared" si="9"/>
        <v>12252.60277777778</v>
      </c>
      <c r="O62" s="183">
        <f>'05-EQUIPOS'!G59*6</f>
        <v>27807.291666666668</v>
      </c>
      <c r="P62" s="183">
        <f t="shared" si="10"/>
        <v>8433.2388888888891</v>
      </c>
      <c r="Q62" s="183">
        <f t="shared" si="11"/>
        <v>10297</v>
      </c>
      <c r="R62" s="183">
        <f t="shared" si="12"/>
        <v>1597.5944444444447</v>
      </c>
      <c r="S62" s="186">
        <f t="shared" si="13"/>
        <v>30814.3125</v>
      </c>
      <c r="T62" s="183">
        <f t="shared" si="14"/>
        <v>112874.90322580645</v>
      </c>
      <c r="U62" s="183">
        <f t="shared" si="15"/>
        <v>0</v>
      </c>
      <c r="V62" s="183">
        <f t="shared" si="16"/>
        <v>0</v>
      </c>
      <c r="W62" s="183">
        <f t="shared" si="17"/>
        <v>0</v>
      </c>
      <c r="X62" s="186">
        <f t="shared" si="18"/>
        <v>219008.30000000002</v>
      </c>
      <c r="Y62" s="239">
        <f t="shared" si="19"/>
        <v>1914541.6977396403</v>
      </c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s="51" customFormat="1" ht="21.6" customHeight="1" x14ac:dyDescent="0.3">
      <c r="A63" s="477"/>
      <c r="B63" s="477"/>
      <c r="C63" s="263" t="s">
        <v>1238</v>
      </c>
      <c r="D63" s="41" t="s">
        <v>1199</v>
      </c>
      <c r="E63" s="160">
        <f t="shared" si="3"/>
        <v>1536553.5451199999</v>
      </c>
      <c r="F63" s="183">
        <v>0</v>
      </c>
      <c r="G63" s="183">
        <f t="shared" si="4"/>
        <v>43386.677419354841</v>
      </c>
      <c r="H63" s="240">
        <f>'06-CIC'!K24</f>
        <v>33333.333333333336</v>
      </c>
      <c r="I63" s="183">
        <f>'06-CIC'!K75</f>
        <v>605.55555555555554</v>
      </c>
      <c r="J63" s="183">
        <f t="shared" si="5"/>
        <v>55963.888888888883</v>
      </c>
      <c r="K63" s="185">
        <f t="shared" si="6"/>
        <v>0</v>
      </c>
      <c r="L63" s="185">
        <f t="shared" si="7"/>
        <v>45194.169772256733</v>
      </c>
      <c r="M63" s="185">
        <f t="shared" si="8"/>
        <v>0</v>
      </c>
      <c r="N63" s="183">
        <f t="shared" si="9"/>
        <v>12252.60277777778</v>
      </c>
      <c r="O63" s="183">
        <f>'05-EQUIPOS'!G60*6</f>
        <v>33368.75</v>
      </c>
      <c r="P63" s="183">
        <f t="shared" si="10"/>
        <v>8433.2388888888891</v>
      </c>
      <c r="Q63" s="183">
        <f t="shared" si="11"/>
        <v>10297</v>
      </c>
      <c r="R63" s="183">
        <f t="shared" si="12"/>
        <v>1597.5944444444447</v>
      </c>
      <c r="S63" s="186">
        <f t="shared" si="13"/>
        <v>30814.3125</v>
      </c>
      <c r="T63" s="183">
        <f t="shared" si="14"/>
        <v>112874.90322580645</v>
      </c>
      <c r="U63" s="183">
        <f t="shared" si="15"/>
        <v>0</v>
      </c>
      <c r="V63" s="183">
        <f t="shared" si="16"/>
        <v>0</v>
      </c>
      <c r="W63" s="183">
        <f t="shared" si="17"/>
        <v>0</v>
      </c>
      <c r="X63" s="186">
        <f t="shared" si="18"/>
        <v>219008.30000000002</v>
      </c>
      <c r="Y63" s="239">
        <f t="shared" si="19"/>
        <v>2143683.8719263067</v>
      </c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s="51" customFormat="1" ht="21.6" customHeight="1" x14ac:dyDescent="0.3">
      <c r="A64" s="475" t="s">
        <v>1191</v>
      </c>
      <c r="B64" s="475" t="s">
        <v>1281</v>
      </c>
      <c r="C64" s="263" t="s">
        <v>1245</v>
      </c>
      <c r="D64" s="41" t="s">
        <v>1205</v>
      </c>
      <c r="E64" s="160">
        <f t="shared" si="3"/>
        <v>3380417.7992639993</v>
      </c>
      <c r="F64" s="183">
        <v>0</v>
      </c>
      <c r="G64" s="183">
        <f t="shared" si="4"/>
        <v>43386.677419354841</v>
      </c>
      <c r="H64" s="240">
        <f>'06-CIC'!K25</f>
        <v>100000</v>
      </c>
      <c r="I64" s="183">
        <f>'06-CIC'!K76</f>
        <v>1816.6666666666667</v>
      </c>
      <c r="J64" s="183">
        <f t="shared" si="5"/>
        <v>55963.888888888883</v>
      </c>
      <c r="K64" s="185">
        <f t="shared" si="6"/>
        <v>32511.541666666664</v>
      </c>
      <c r="L64" s="185">
        <f t="shared" si="7"/>
        <v>252334.11456176679</v>
      </c>
      <c r="M64" s="185">
        <f t="shared" si="8"/>
        <v>0</v>
      </c>
      <c r="N64" s="183">
        <f t="shared" si="9"/>
        <v>36757.808333333334</v>
      </c>
      <c r="O64" s="183">
        <f>('05-EQUIPOS'!G61+'05-EQUIPOS'!G52+'05-EQUIPOS'!G81)*6</f>
        <v>54650.833333333336</v>
      </c>
      <c r="P64" s="183">
        <f t="shared" si="10"/>
        <v>25299.716666666667</v>
      </c>
      <c r="Q64" s="183">
        <f t="shared" si="11"/>
        <v>0</v>
      </c>
      <c r="R64" s="183">
        <f t="shared" si="12"/>
        <v>4792.7833333333338</v>
      </c>
      <c r="S64" s="186">
        <f t="shared" si="13"/>
        <v>0</v>
      </c>
      <c r="T64" s="183">
        <f t="shared" si="14"/>
        <v>112874.90322580645</v>
      </c>
      <c r="U64" s="183">
        <f t="shared" si="15"/>
        <v>0</v>
      </c>
      <c r="V64" s="183">
        <f t="shared" si="16"/>
        <v>0</v>
      </c>
      <c r="W64" s="183">
        <f t="shared" si="17"/>
        <v>0</v>
      </c>
      <c r="X64" s="186">
        <f t="shared" si="18"/>
        <v>219008.30000000002</v>
      </c>
      <c r="Y64" s="239">
        <f t="shared" si="19"/>
        <v>4319815.0333598163</v>
      </c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s="51" customFormat="1" ht="21.6" customHeight="1" x14ac:dyDescent="0.3">
      <c r="A65" s="476"/>
      <c r="B65" s="476"/>
      <c r="C65" s="263" t="s">
        <v>1246</v>
      </c>
      <c r="D65" s="41" t="s">
        <v>1206</v>
      </c>
      <c r="E65" s="160">
        <f t="shared" si="3"/>
        <v>1843864.2541439997</v>
      </c>
      <c r="F65" s="183">
        <v>0</v>
      </c>
      <c r="G65" s="183">
        <f t="shared" si="4"/>
        <v>43386.677419354841</v>
      </c>
      <c r="H65" s="240">
        <f>'06-CIC'!K26</f>
        <v>100000</v>
      </c>
      <c r="I65" s="183">
        <f>'06-CIC'!K77</f>
        <v>1816.6666666666667</v>
      </c>
      <c r="J65" s="183">
        <f t="shared" si="5"/>
        <v>55963.888888888883</v>
      </c>
      <c r="K65" s="185">
        <f t="shared" si="6"/>
        <v>32511.541666666664</v>
      </c>
      <c r="L65" s="185">
        <f t="shared" si="7"/>
        <v>90388.339544513467</v>
      </c>
      <c r="M65" s="185">
        <f t="shared" si="8"/>
        <v>0</v>
      </c>
      <c r="N65" s="183">
        <f t="shared" si="9"/>
        <v>36757.808333333334</v>
      </c>
      <c r="O65" s="183">
        <f>('05-EQUIPOS'!G62+'05-EQUIPOS'!G53)*6</f>
        <v>34463.333333333328</v>
      </c>
      <c r="P65" s="183">
        <f t="shared" si="10"/>
        <v>25299.716666666667</v>
      </c>
      <c r="Q65" s="183">
        <f t="shared" si="11"/>
        <v>0</v>
      </c>
      <c r="R65" s="183">
        <f t="shared" si="12"/>
        <v>4792.7833333333338</v>
      </c>
      <c r="S65" s="186">
        <f t="shared" si="13"/>
        <v>0</v>
      </c>
      <c r="T65" s="183">
        <f t="shared" si="14"/>
        <v>112874.90322580645</v>
      </c>
      <c r="U65" s="183">
        <f t="shared" si="15"/>
        <v>0</v>
      </c>
      <c r="V65" s="183">
        <f t="shared" si="16"/>
        <v>0</v>
      </c>
      <c r="W65" s="183">
        <f t="shared" si="17"/>
        <v>0</v>
      </c>
      <c r="X65" s="186">
        <f t="shared" si="18"/>
        <v>219008.30000000002</v>
      </c>
      <c r="Y65" s="239">
        <f t="shared" si="19"/>
        <v>2601128.2132225633</v>
      </c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s="51" customFormat="1" ht="21.6" customHeight="1" x14ac:dyDescent="0.3">
      <c r="A66" s="477"/>
      <c r="B66" s="477"/>
      <c r="C66" s="263" t="s">
        <v>1247</v>
      </c>
      <c r="D66" s="41" t="s">
        <v>1207</v>
      </c>
      <c r="E66" s="160">
        <f t="shared" si="3"/>
        <v>1843864.2541439997</v>
      </c>
      <c r="F66" s="183">
        <v>0</v>
      </c>
      <c r="G66" s="183">
        <f t="shared" si="4"/>
        <v>43386.677419354841</v>
      </c>
      <c r="H66" s="240">
        <f>'06-CIC'!K27</f>
        <v>100000</v>
      </c>
      <c r="I66" s="183">
        <f>'06-CIC'!K78</f>
        <v>1816.6666666666667</v>
      </c>
      <c r="J66" s="183">
        <f t="shared" si="5"/>
        <v>55963.888888888883</v>
      </c>
      <c r="K66" s="185">
        <f t="shared" si="6"/>
        <v>32511.541666666664</v>
      </c>
      <c r="L66" s="185">
        <f t="shared" si="7"/>
        <v>90388.339544513467</v>
      </c>
      <c r="M66" s="185">
        <f t="shared" si="8"/>
        <v>0</v>
      </c>
      <c r="N66" s="183">
        <f t="shared" si="9"/>
        <v>36757.808333333334</v>
      </c>
      <c r="O66" s="183">
        <f>('05-EQUIPOS'!G63+'05-EQUIPOS'!G54)*6</f>
        <v>34463.333333333328</v>
      </c>
      <c r="P66" s="183">
        <f t="shared" si="10"/>
        <v>25299.716666666667</v>
      </c>
      <c r="Q66" s="183">
        <f t="shared" si="11"/>
        <v>0</v>
      </c>
      <c r="R66" s="183">
        <f t="shared" si="12"/>
        <v>4792.7833333333338</v>
      </c>
      <c r="S66" s="186">
        <f t="shared" si="13"/>
        <v>0</v>
      </c>
      <c r="T66" s="183">
        <f t="shared" si="14"/>
        <v>112874.90322580645</v>
      </c>
      <c r="U66" s="183">
        <f t="shared" si="15"/>
        <v>0</v>
      </c>
      <c r="V66" s="183">
        <f t="shared" si="16"/>
        <v>0</v>
      </c>
      <c r="W66" s="183">
        <f t="shared" si="17"/>
        <v>0</v>
      </c>
      <c r="X66" s="186">
        <f t="shared" si="18"/>
        <v>219008.30000000002</v>
      </c>
      <c r="Y66" s="239">
        <f t="shared" si="19"/>
        <v>2601128.2132225633</v>
      </c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s="51" customFormat="1" ht="21.6" customHeight="1" x14ac:dyDescent="0.3">
      <c r="A67" s="475" t="s">
        <v>1192</v>
      </c>
      <c r="B67" s="475" t="s">
        <v>1126</v>
      </c>
      <c r="C67" s="263" t="s">
        <v>1248</v>
      </c>
      <c r="D67" s="41" t="s">
        <v>1208</v>
      </c>
      <c r="E67" s="160">
        <f t="shared" si="3"/>
        <v>1382898.1906079999</v>
      </c>
      <c r="F67" s="183">
        <v>0</v>
      </c>
      <c r="G67" s="183">
        <f t="shared" si="4"/>
        <v>43386.677419354841</v>
      </c>
      <c r="H67" s="240">
        <f>'06-CIC'!K43</f>
        <v>900000</v>
      </c>
      <c r="I67" s="183">
        <f>'06-CIC'!K94</f>
        <v>16350</v>
      </c>
      <c r="J67" s="183">
        <f t="shared" si="5"/>
        <v>55963.888888888883</v>
      </c>
      <c r="K67" s="185">
        <f t="shared" si="6"/>
        <v>32511.541666666664</v>
      </c>
      <c r="L67" s="185">
        <f t="shared" si="7"/>
        <v>161945.7750172533</v>
      </c>
      <c r="M67" s="185">
        <f t="shared" si="8"/>
        <v>0</v>
      </c>
      <c r="N67" s="183">
        <f t="shared" si="9"/>
        <v>330820.27500000002</v>
      </c>
      <c r="O67" s="183">
        <f>'05-EQUIPOS'!G87*6</f>
        <v>18168.75</v>
      </c>
      <c r="P67" s="183">
        <f t="shared" si="10"/>
        <v>227697.45</v>
      </c>
      <c r="Q67" s="183">
        <f t="shared" si="11"/>
        <v>0</v>
      </c>
      <c r="R67" s="183">
        <f t="shared" si="12"/>
        <v>43135.05</v>
      </c>
      <c r="S67" s="186">
        <f t="shared" si="13"/>
        <v>30814.3125</v>
      </c>
      <c r="T67" s="183">
        <f t="shared" si="14"/>
        <v>112874.90322580645</v>
      </c>
      <c r="U67" s="183">
        <f t="shared" si="15"/>
        <v>0</v>
      </c>
      <c r="V67" s="183">
        <f t="shared" si="16"/>
        <v>0</v>
      </c>
      <c r="W67" s="183">
        <f t="shared" si="17"/>
        <v>0</v>
      </c>
      <c r="X67" s="186">
        <f t="shared" si="18"/>
        <v>219008.30000000002</v>
      </c>
      <c r="Y67" s="239">
        <f t="shared" si="19"/>
        <v>3575575.1143259695</v>
      </c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s="51" customFormat="1" ht="21.6" customHeight="1" x14ac:dyDescent="0.3">
      <c r="A68" s="476"/>
      <c r="B68" s="476"/>
      <c r="C68" s="263" t="s">
        <v>1249</v>
      </c>
      <c r="D68" s="41" t="s">
        <v>1209</v>
      </c>
      <c r="E68" s="160">
        <f t="shared" si="3"/>
        <v>1382898.1906079999</v>
      </c>
      <c r="F68" s="183">
        <v>0</v>
      </c>
      <c r="G68" s="183">
        <f t="shared" si="4"/>
        <v>43386.677419354841</v>
      </c>
      <c r="H68" s="240">
        <f>'06-CIC'!K44</f>
        <v>900000</v>
      </c>
      <c r="I68" s="183">
        <f>'06-CIC'!K95</f>
        <v>16350</v>
      </c>
      <c r="J68" s="183">
        <f t="shared" si="5"/>
        <v>55963.888888888883</v>
      </c>
      <c r="K68" s="185">
        <f t="shared" si="6"/>
        <v>32511.541666666664</v>
      </c>
      <c r="L68" s="185">
        <f t="shared" si="7"/>
        <v>161945.7750172533</v>
      </c>
      <c r="M68" s="185">
        <f t="shared" si="8"/>
        <v>0</v>
      </c>
      <c r="N68" s="183">
        <f t="shared" si="9"/>
        <v>330820.27500000002</v>
      </c>
      <c r="O68" s="183">
        <f>'05-EQUIPOS'!G88*6</f>
        <v>18168.75</v>
      </c>
      <c r="P68" s="183">
        <f t="shared" si="10"/>
        <v>227697.45</v>
      </c>
      <c r="Q68" s="183">
        <f t="shared" si="11"/>
        <v>0</v>
      </c>
      <c r="R68" s="183">
        <f t="shared" si="12"/>
        <v>43135.05</v>
      </c>
      <c r="S68" s="186">
        <f t="shared" si="13"/>
        <v>0</v>
      </c>
      <c r="T68" s="183">
        <f t="shared" si="14"/>
        <v>112874.90322580645</v>
      </c>
      <c r="U68" s="183">
        <f t="shared" si="15"/>
        <v>0</v>
      </c>
      <c r="V68" s="183">
        <f t="shared" si="16"/>
        <v>0</v>
      </c>
      <c r="W68" s="183">
        <f t="shared" si="17"/>
        <v>0</v>
      </c>
      <c r="X68" s="186">
        <f t="shared" si="18"/>
        <v>219008.30000000002</v>
      </c>
      <c r="Y68" s="239">
        <f t="shared" si="19"/>
        <v>3544760.8018259695</v>
      </c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</row>
    <row r="69" spans="1:81" s="51" customFormat="1" ht="21.6" customHeight="1" x14ac:dyDescent="0.3">
      <c r="A69" s="476"/>
      <c r="B69" s="476"/>
      <c r="C69" s="263" t="s">
        <v>1250</v>
      </c>
      <c r="D69" s="41" t="s">
        <v>1210</v>
      </c>
      <c r="E69" s="160">
        <f t="shared" si="3"/>
        <v>1229242.8360959999</v>
      </c>
      <c r="F69" s="183">
        <v>0</v>
      </c>
      <c r="G69" s="183">
        <f t="shared" si="4"/>
        <v>43386.677419354841</v>
      </c>
      <c r="H69" s="240">
        <f>'06-CIC'!K45</f>
        <v>900000</v>
      </c>
      <c r="I69" s="183">
        <f>'06-CIC'!K96</f>
        <v>16350</v>
      </c>
      <c r="J69" s="183">
        <f t="shared" si="5"/>
        <v>55963.888888888883</v>
      </c>
      <c r="K69" s="185">
        <f t="shared" si="6"/>
        <v>0</v>
      </c>
      <c r="L69" s="185">
        <f t="shared" si="7"/>
        <v>161945.7750172533</v>
      </c>
      <c r="M69" s="185">
        <f t="shared" si="8"/>
        <v>0</v>
      </c>
      <c r="N69" s="183">
        <f t="shared" si="9"/>
        <v>330820.27500000002</v>
      </c>
      <c r="O69" s="183">
        <f>'05-EQUIPOS'!G83*6</f>
        <v>16150.000000000002</v>
      </c>
      <c r="P69" s="183">
        <f t="shared" si="10"/>
        <v>227697.45</v>
      </c>
      <c r="Q69" s="183">
        <f t="shared" si="11"/>
        <v>0</v>
      </c>
      <c r="R69" s="183">
        <f t="shared" si="12"/>
        <v>43135.05</v>
      </c>
      <c r="S69" s="186">
        <f t="shared" si="13"/>
        <v>30814.3125</v>
      </c>
      <c r="T69" s="183">
        <f t="shared" si="14"/>
        <v>112874.90322580645</v>
      </c>
      <c r="U69" s="183">
        <f t="shared" si="15"/>
        <v>0</v>
      </c>
      <c r="V69" s="183">
        <f t="shared" si="16"/>
        <v>0</v>
      </c>
      <c r="W69" s="183">
        <f t="shared" si="17"/>
        <v>0</v>
      </c>
      <c r="X69" s="186">
        <f t="shared" si="18"/>
        <v>219008.30000000002</v>
      </c>
      <c r="Y69" s="239">
        <f t="shared" si="19"/>
        <v>3387389.4681473034</v>
      </c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</row>
    <row r="70" spans="1:81" s="51" customFormat="1" ht="21.6" customHeight="1" x14ac:dyDescent="0.3">
      <c r="A70" s="476"/>
      <c r="B70" s="476"/>
      <c r="C70" s="263" t="s">
        <v>1251</v>
      </c>
      <c r="D70" s="41" t="s">
        <v>1240</v>
      </c>
      <c r="E70" s="160">
        <f t="shared" si="3"/>
        <v>5121845.1503999997</v>
      </c>
      <c r="F70" s="183">
        <v>0</v>
      </c>
      <c r="G70" s="183">
        <f t="shared" si="4"/>
        <v>43386.677419354841</v>
      </c>
      <c r="H70" s="240">
        <f>'06-CIC'!K46</f>
        <v>900000</v>
      </c>
      <c r="I70" s="183">
        <f>'06-CIC'!K97</f>
        <v>16350</v>
      </c>
      <c r="J70" s="183">
        <f t="shared" si="5"/>
        <v>55963.888888888883</v>
      </c>
      <c r="K70" s="185">
        <f t="shared" si="6"/>
        <v>32511.541666666664</v>
      </c>
      <c r="L70" s="185">
        <f t="shared" si="7"/>
        <v>647783.10006901319</v>
      </c>
      <c r="M70" s="185">
        <f t="shared" si="8"/>
        <v>0</v>
      </c>
      <c r="N70" s="183">
        <f t="shared" si="9"/>
        <v>330820.27500000002</v>
      </c>
      <c r="O70" s="183">
        <f>('05-EQUIPOS'!G84+'05-EQUIPOS'!G93)*6</f>
        <v>52708.333333333336</v>
      </c>
      <c r="P70" s="183">
        <f t="shared" si="10"/>
        <v>227697.45</v>
      </c>
      <c r="Q70" s="183">
        <f t="shared" si="11"/>
        <v>0</v>
      </c>
      <c r="R70" s="183">
        <f t="shared" si="12"/>
        <v>43135.05</v>
      </c>
      <c r="S70" s="186">
        <f t="shared" si="13"/>
        <v>0</v>
      </c>
      <c r="T70" s="183">
        <f t="shared" si="14"/>
        <v>112874.90322580645</v>
      </c>
      <c r="U70" s="183">
        <f t="shared" si="15"/>
        <v>0</v>
      </c>
      <c r="V70" s="183">
        <f t="shared" si="16"/>
        <v>0</v>
      </c>
      <c r="W70" s="183">
        <f t="shared" si="17"/>
        <v>0</v>
      </c>
      <c r="X70" s="186">
        <f t="shared" si="18"/>
        <v>219008.30000000002</v>
      </c>
      <c r="Y70" s="286">
        <f t="shared" si="19"/>
        <v>7804084.670003064</v>
      </c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</row>
    <row r="71" spans="1:81" s="51" customFormat="1" ht="21.6" customHeight="1" x14ac:dyDescent="0.3">
      <c r="A71" s="476"/>
      <c r="B71" s="476"/>
      <c r="C71" s="263" t="s">
        <v>1252</v>
      </c>
      <c r="D71" s="41" t="s">
        <v>1178</v>
      </c>
      <c r="E71" s="160">
        <f t="shared" si="3"/>
        <v>10243690.300799999</v>
      </c>
      <c r="F71" s="183">
        <v>0</v>
      </c>
      <c r="G71" s="183">
        <f t="shared" si="4"/>
        <v>43386.677419354841</v>
      </c>
      <c r="H71" s="240">
        <f>'06-CIC'!K47</f>
        <v>900000</v>
      </c>
      <c r="I71" s="183">
        <f>'06-CIC'!K98</f>
        <v>16350</v>
      </c>
      <c r="J71" s="183">
        <f t="shared" si="5"/>
        <v>55963.888888888883</v>
      </c>
      <c r="K71" s="185">
        <f t="shared" si="6"/>
        <v>32511.541666666664</v>
      </c>
      <c r="L71" s="185">
        <f t="shared" si="7"/>
        <v>1012161.0938578332</v>
      </c>
      <c r="M71" s="185">
        <f t="shared" si="8"/>
        <v>0</v>
      </c>
      <c r="N71" s="183">
        <f t="shared" si="9"/>
        <v>330820.27500000002</v>
      </c>
      <c r="O71" s="183">
        <f>('05-EQUIPOS'!G82+'05-EQUIPOS'!G94+'05-EQUIPOS'!G73)*6</f>
        <v>99166.666666666657</v>
      </c>
      <c r="P71" s="183">
        <f t="shared" si="10"/>
        <v>227697.45</v>
      </c>
      <c r="Q71" s="183">
        <f t="shared" si="11"/>
        <v>0</v>
      </c>
      <c r="R71" s="183">
        <f t="shared" si="12"/>
        <v>43135.05</v>
      </c>
      <c r="S71" s="186">
        <f t="shared" si="13"/>
        <v>30814.3125</v>
      </c>
      <c r="T71" s="183">
        <f t="shared" si="14"/>
        <v>112874.90322580645</v>
      </c>
      <c r="U71" s="183">
        <f t="shared" si="15"/>
        <v>0</v>
      </c>
      <c r="V71" s="183">
        <f t="shared" si="16"/>
        <v>0</v>
      </c>
      <c r="W71" s="183">
        <f t="shared" si="17"/>
        <v>0</v>
      </c>
      <c r="X71" s="186">
        <f t="shared" si="18"/>
        <v>219008.30000000002</v>
      </c>
      <c r="Y71" s="286">
        <f t="shared" si="19"/>
        <v>13367580.460025214</v>
      </c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</row>
    <row r="72" spans="1:81" s="51" customFormat="1" ht="21.6" customHeight="1" x14ac:dyDescent="0.3">
      <c r="A72" s="476"/>
      <c r="B72" s="476"/>
      <c r="C72" s="263" t="s">
        <v>1253</v>
      </c>
      <c r="D72" s="41" t="s">
        <v>1244</v>
      </c>
      <c r="E72" s="160">
        <f t="shared" si="3"/>
        <v>1382898.1906079999</v>
      </c>
      <c r="F72" s="183">
        <v>0</v>
      </c>
      <c r="G72" s="183">
        <f t="shared" si="4"/>
        <v>43386.677419354841</v>
      </c>
      <c r="H72" s="240">
        <f>'06-CIC'!K48</f>
        <v>900000</v>
      </c>
      <c r="I72" s="183">
        <f>'06-CIC'!K99</f>
        <v>16350</v>
      </c>
      <c r="J72" s="183">
        <f t="shared" si="5"/>
        <v>55963.888888888883</v>
      </c>
      <c r="K72" s="185">
        <f t="shared" si="6"/>
        <v>32511.541666666664</v>
      </c>
      <c r="L72" s="185">
        <f t="shared" si="7"/>
        <v>161945.7750172533</v>
      </c>
      <c r="M72" s="185">
        <f t="shared" si="8"/>
        <v>0</v>
      </c>
      <c r="N72" s="183">
        <f t="shared" si="9"/>
        <v>330820.27500000002</v>
      </c>
      <c r="O72" s="183">
        <f>'05-EQUIPOS'!G85*6</f>
        <v>18168.75</v>
      </c>
      <c r="P72" s="183">
        <f t="shared" si="10"/>
        <v>227697.45</v>
      </c>
      <c r="Q72" s="183">
        <f t="shared" si="11"/>
        <v>0</v>
      </c>
      <c r="R72" s="183">
        <f t="shared" si="12"/>
        <v>43135.05</v>
      </c>
      <c r="S72" s="186">
        <f t="shared" si="13"/>
        <v>30814.3125</v>
      </c>
      <c r="T72" s="183">
        <f t="shared" si="14"/>
        <v>112874.90322580645</v>
      </c>
      <c r="U72" s="183">
        <f t="shared" si="15"/>
        <v>0</v>
      </c>
      <c r="V72" s="183">
        <f t="shared" si="16"/>
        <v>0</v>
      </c>
      <c r="W72" s="183">
        <f t="shared" si="17"/>
        <v>0</v>
      </c>
      <c r="X72" s="186">
        <f t="shared" si="18"/>
        <v>219008.30000000002</v>
      </c>
      <c r="Y72" s="239">
        <f t="shared" si="19"/>
        <v>3575575.1143259695</v>
      </c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</row>
    <row r="73" spans="1:81" s="51" customFormat="1" ht="21.6" customHeight="1" x14ac:dyDescent="0.3">
      <c r="A73" s="476"/>
      <c r="B73" s="476"/>
      <c r="C73" s="264" t="s">
        <v>1254</v>
      </c>
      <c r="D73" s="41" t="s">
        <v>1222</v>
      </c>
      <c r="E73" s="160">
        <f t="shared" si="3"/>
        <v>1536553.5451199999</v>
      </c>
      <c r="F73" s="183">
        <v>0</v>
      </c>
      <c r="G73" s="183">
        <f t="shared" si="4"/>
        <v>43386.677419354841</v>
      </c>
      <c r="H73" s="240">
        <f>'06-CIC'!K49</f>
        <v>900000</v>
      </c>
      <c r="I73" s="183">
        <f>'06-CIC'!K100</f>
        <v>16350</v>
      </c>
      <c r="J73" s="183">
        <f t="shared" si="5"/>
        <v>55963.888888888883</v>
      </c>
      <c r="K73" s="185">
        <f t="shared" si="6"/>
        <v>32511.541666666664</v>
      </c>
      <c r="L73" s="185">
        <f t="shared" si="7"/>
        <v>161945.7750172533</v>
      </c>
      <c r="M73" s="185">
        <f t="shared" si="8"/>
        <v>118266.66666666666</v>
      </c>
      <c r="N73" s="183">
        <f t="shared" si="9"/>
        <v>330820.27500000002</v>
      </c>
      <c r="O73" s="183">
        <f>'05-EQUIPOS'!G86*6</f>
        <v>20187.5</v>
      </c>
      <c r="P73" s="183">
        <f t="shared" si="10"/>
        <v>227697.45</v>
      </c>
      <c r="Q73" s="183">
        <f t="shared" si="11"/>
        <v>0</v>
      </c>
      <c r="R73" s="183">
        <f t="shared" si="12"/>
        <v>43135.05</v>
      </c>
      <c r="S73" s="186">
        <f t="shared" si="13"/>
        <v>30814.3125</v>
      </c>
      <c r="T73" s="183">
        <f t="shared" si="14"/>
        <v>112874.90322580645</v>
      </c>
      <c r="U73" s="183">
        <f t="shared" si="15"/>
        <v>0</v>
      </c>
      <c r="V73" s="183">
        <f t="shared" si="16"/>
        <v>0</v>
      </c>
      <c r="W73" s="183">
        <f t="shared" si="17"/>
        <v>0</v>
      </c>
      <c r="X73" s="186">
        <f t="shared" si="18"/>
        <v>219008.30000000002</v>
      </c>
      <c r="Y73" s="239">
        <f t="shared" si="19"/>
        <v>3849515.8855046364</v>
      </c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</row>
    <row r="74" spans="1:81" s="51" customFormat="1" ht="21.6" customHeight="1" x14ac:dyDescent="0.3">
      <c r="A74" s="477"/>
      <c r="B74" s="477"/>
      <c r="C74" s="264" t="s">
        <v>1255</v>
      </c>
      <c r="D74" s="272" t="s">
        <v>1179</v>
      </c>
      <c r="E74" s="160">
        <f t="shared" si="3"/>
        <v>3585291.6052799993</v>
      </c>
      <c r="F74" s="183">
        <v>0</v>
      </c>
      <c r="G74" s="183">
        <f t="shared" si="4"/>
        <v>43386.677419354841</v>
      </c>
      <c r="H74" s="240">
        <f>'06-CIC'!K50</f>
        <v>900000</v>
      </c>
      <c r="I74" s="183">
        <f>'06-CIC'!K101</f>
        <v>16350</v>
      </c>
      <c r="J74" s="183">
        <f t="shared" si="5"/>
        <v>55963.888888888883</v>
      </c>
      <c r="K74" s="185">
        <f t="shared" si="6"/>
        <v>32511.541666666664</v>
      </c>
      <c r="L74" s="185">
        <f t="shared" si="7"/>
        <v>485837.32505175995</v>
      </c>
      <c r="M74" s="185">
        <f t="shared" si="8"/>
        <v>0</v>
      </c>
      <c r="N74" s="183">
        <f t="shared" si="9"/>
        <v>330820.27500000002</v>
      </c>
      <c r="O74" s="183">
        <f>'05-EQUIPOS'!G92*6</f>
        <v>32520.833333333332</v>
      </c>
      <c r="P74" s="183">
        <f t="shared" si="10"/>
        <v>227697.45</v>
      </c>
      <c r="Q74" s="183">
        <f t="shared" si="11"/>
        <v>0</v>
      </c>
      <c r="R74" s="183">
        <f t="shared" si="12"/>
        <v>43135.05</v>
      </c>
      <c r="S74" s="186">
        <f t="shared" si="13"/>
        <v>0</v>
      </c>
      <c r="T74" s="183">
        <f t="shared" si="14"/>
        <v>112874.90322580645</v>
      </c>
      <c r="U74" s="183">
        <f t="shared" si="15"/>
        <v>0</v>
      </c>
      <c r="V74" s="183">
        <f t="shared" si="16"/>
        <v>0</v>
      </c>
      <c r="W74" s="183">
        <f t="shared" si="17"/>
        <v>0</v>
      </c>
      <c r="X74" s="186">
        <f t="shared" si="18"/>
        <v>219008.30000000002</v>
      </c>
      <c r="Y74" s="286">
        <f t="shared" si="19"/>
        <v>6085397.84986581</v>
      </c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</row>
    <row r="75" spans="1:81" ht="21.6" customHeight="1" x14ac:dyDescent="0.3">
      <c r="A75" s="475" t="s">
        <v>1193</v>
      </c>
      <c r="B75" s="475" t="s">
        <v>1280</v>
      </c>
      <c r="C75" s="264" t="s">
        <v>1256</v>
      </c>
      <c r="D75" s="41" t="s">
        <v>1211</v>
      </c>
      <c r="E75" s="160">
        <f t="shared" si="3"/>
        <v>0</v>
      </c>
      <c r="F75" s="183">
        <f>$F$51/10</f>
        <v>677300</v>
      </c>
      <c r="G75" s="183">
        <f t="shared" si="4"/>
        <v>0</v>
      </c>
      <c r="H75" s="241">
        <f>'06-CIC'!K28</f>
        <v>30000</v>
      </c>
      <c r="I75" s="183">
        <f>'06-CIC'!K79</f>
        <v>545</v>
      </c>
      <c r="J75" s="183">
        <f t="shared" si="5"/>
        <v>55963.888888888883</v>
      </c>
      <c r="K75" s="185">
        <f t="shared" si="6"/>
        <v>0</v>
      </c>
      <c r="L75" s="185">
        <f t="shared" si="7"/>
        <v>0</v>
      </c>
      <c r="M75" s="185">
        <f t="shared" si="8"/>
        <v>0</v>
      </c>
      <c r="N75" s="183">
        <f t="shared" si="9"/>
        <v>11027.342500000001</v>
      </c>
      <c r="O75" s="183">
        <v>0</v>
      </c>
      <c r="P75" s="183">
        <f t="shared" si="10"/>
        <v>7589.915</v>
      </c>
      <c r="Q75" s="183">
        <f t="shared" si="11"/>
        <v>0</v>
      </c>
      <c r="R75" s="183">
        <f t="shared" si="12"/>
        <v>1437.835</v>
      </c>
      <c r="S75" s="186">
        <f t="shared" si="13"/>
        <v>0</v>
      </c>
      <c r="T75" s="183">
        <f t="shared" si="14"/>
        <v>0</v>
      </c>
      <c r="U75" s="183">
        <f t="shared" si="15"/>
        <v>0</v>
      </c>
      <c r="V75" s="183">
        <f t="shared" si="16"/>
        <v>0</v>
      </c>
      <c r="W75" s="183">
        <f t="shared" si="17"/>
        <v>0</v>
      </c>
      <c r="X75" s="186">
        <f t="shared" si="18"/>
        <v>219008.30000000002</v>
      </c>
      <c r="Y75" s="239">
        <f t="shared" si="19"/>
        <v>1002872.281388889</v>
      </c>
    </row>
    <row r="76" spans="1:81" ht="21.6" customHeight="1" x14ac:dyDescent="0.3">
      <c r="A76" s="476"/>
      <c r="B76" s="476"/>
      <c r="C76" s="264" t="s">
        <v>1257</v>
      </c>
      <c r="D76" s="41" t="s">
        <v>1212</v>
      </c>
      <c r="E76" s="160">
        <f t="shared" si="3"/>
        <v>0</v>
      </c>
      <c r="F76" s="183">
        <f t="shared" ref="F76:F84" si="20">$F$51/10</f>
        <v>677300</v>
      </c>
      <c r="G76" s="183">
        <f t="shared" si="4"/>
        <v>0</v>
      </c>
      <c r="H76" s="241">
        <f>'06-CIC'!K29</f>
        <v>30000</v>
      </c>
      <c r="I76" s="183">
        <f>'06-CIC'!K80</f>
        <v>545</v>
      </c>
      <c r="J76" s="183">
        <f t="shared" si="5"/>
        <v>55963.888888888883</v>
      </c>
      <c r="K76" s="185">
        <f t="shared" si="6"/>
        <v>32511.541666666664</v>
      </c>
      <c r="L76" s="185">
        <f t="shared" si="7"/>
        <v>0</v>
      </c>
      <c r="M76" s="185">
        <f t="shared" si="8"/>
        <v>0</v>
      </c>
      <c r="N76" s="183">
        <f t="shared" si="9"/>
        <v>11027.342500000001</v>
      </c>
      <c r="O76" s="183">
        <v>0</v>
      </c>
      <c r="P76" s="183">
        <f t="shared" si="10"/>
        <v>7589.915</v>
      </c>
      <c r="Q76" s="183">
        <f t="shared" si="11"/>
        <v>0</v>
      </c>
      <c r="R76" s="183">
        <f t="shared" si="12"/>
        <v>1437.835</v>
      </c>
      <c r="S76" s="186">
        <f t="shared" si="13"/>
        <v>0</v>
      </c>
      <c r="T76" s="183">
        <f t="shared" si="14"/>
        <v>0</v>
      </c>
      <c r="U76" s="183">
        <f t="shared" si="15"/>
        <v>0</v>
      </c>
      <c r="V76" s="183">
        <f t="shared" si="16"/>
        <v>0</v>
      </c>
      <c r="W76" s="183">
        <f t="shared" si="17"/>
        <v>0</v>
      </c>
      <c r="X76" s="186">
        <f t="shared" si="18"/>
        <v>219008.30000000002</v>
      </c>
      <c r="Y76" s="239">
        <f t="shared" si="19"/>
        <v>1035383.8230555556</v>
      </c>
    </row>
    <row r="77" spans="1:81" ht="21.6" customHeight="1" x14ac:dyDescent="0.3">
      <c r="A77" s="476"/>
      <c r="B77" s="476"/>
      <c r="C77" s="264" t="s">
        <v>1258</v>
      </c>
      <c r="D77" s="41" t="s">
        <v>1213</v>
      </c>
      <c r="E77" s="160">
        <f t="shared" si="3"/>
        <v>0</v>
      </c>
      <c r="F77" s="183">
        <f t="shared" si="20"/>
        <v>677300</v>
      </c>
      <c r="G77" s="183">
        <f t="shared" si="4"/>
        <v>0</v>
      </c>
      <c r="H77" s="241">
        <f>'06-CIC'!K30</f>
        <v>30000</v>
      </c>
      <c r="I77" s="183">
        <f>'06-CIC'!K81</f>
        <v>545</v>
      </c>
      <c r="J77" s="183">
        <f t="shared" si="5"/>
        <v>55963.888888888883</v>
      </c>
      <c r="K77" s="185">
        <f t="shared" si="6"/>
        <v>0</v>
      </c>
      <c r="L77" s="185">
        <f t="shared" si="7"/>
        <v>0</v>
      </c>
      <c r="M77" s="185">
        <f t="shared" si="8"/>
        <v>0</v>
      </c>
      <c r="N77" s="183">
        <f t="shared" si="9"/>
        <v>11027.342500000001</v>
      </c>
      <c r="O77" s="183">
        <v>0</v>
      </c>
      <c r="P77" s="183">
        <f t="shared" si="10"/>
        <v>7589.915</v>
      </c>
      <c r="Q77" s="183">
        <f t="shared" si="11"/>
        <v>0</v>
      </c>
      <c r="R77" s="183">
        <f t="shared" si="12"/>
        <v>1437.835</v>
      </c>
      <c r="S77" s="186">
        <f t="shared" si="13"/>
        <v>0</v>
      </c>
      <c r="T77" s="183">
        <f t="shared" si="14"/>
        <v>0</v>
      </c>
      <c r="U77" s="183">
        <f t="shared" si="15"/>
        <v>0</v>
      </c>
      <c r="V77" s="183">
        <f t="shared" si="16"/>
        <v>0</v>
      </c>
      <c r="W77" s="183">
        <f t="shared" si="17"/>
        <v>0</v>
      </c>
      <c r="X77" s="186">
        <f t="shared" si="18"/>
        <v>219008.30000000002</v>
      </c>
      <c r="Y77" s="239">
        <f t="shared" si="19"/>
        <v>1002872.281388889</v>
      </c>
    </row>
    <row r="78" spans="1:81" ht="21.6" customHeight="1" x14ac:dyDescent="0.3">
      <c r="A78" s="476"/>
      <c r="B78" s="476"/>
      <c r="C78" s="264" t="s">
        <v>1259</v>
      </c>
      <c r="D78" s="41" t="s">
        <v>1214</v>
      </c>
      <c r="E78" s="160">
        <f t="shared" si="3"/>
        <v>0</v>
      </c>
      <c r="F78" s="183">
        <f t="shared" si="20"/>
        <v>677300</v>
      </c>
      <c r="G78" s="183">
        <f t="shared" si="4"/>
        <v>0</v>
      </c>
      <c r="H78" s="241">
        <f>'06-CIC'!K31</f>
        <v>30000</v>
      </c>
      <c r="I78" s="183">
        <f>'06-CIC'!K82</f>
        <v>545</v>
      </c>
      <c r="J78" s="183">
        <f t="shared" si="5"/>
        <v>55963.888888888883</v>
      </c>
      <c r="K78" s="185">
        <f t="shared" si="6"/>
        <v>32511.541666666664</v>
      </c>
      <c r="L78" s="185">
        <f t="shared" si="7"/>
        <v>0</v>
      </c>
      <c r="M78" s="185">
        <f t="shared" si="8"/>
        <v>0</v>
      </c>
      <c r="N78" s="183">
        <f t="shared" si="9"/>
        <v>11027.342500000001</v>
      </c>
      <c r="O78" s="183">
        <v>0</v>
      </c>
      <c r="P78" s="183">
        <f t="shared" si="10"/>
        <v>7589.915</v>
      </c>
      <c r="Q78" s="183">
        <f t="shared" si="11"/>
        <v>0</v>
      </c>
      <c r="R78" s="183">
        <f t="shared" si="12"/>
        <v>1437.835</v>
      </c>
      <c r="S78" s="186">
        <f t="shared" si="13"/>
        <v>0</v>
      </c>
      <c r="T78" s="183">
        <f t="shared" si="14"/>
        <v>0</v>
      </c>
      <c r="U78" s="183">
        <f t="shared" si="15"/>
        <v>0</v>
      </c>
      <c r="V78" s="183">
        <f t="shared" si="16"/>
        <v>0</v>
      </c>
      <c r="W78" s="183">
        <f t="shared" si="17"/>
        <v>0</v>
      </c>
      <c r="X78" s="186">
        <f t="shared" si="18"/>
        <v>219008.30000000002</v>
      </c>
      <c r="Y78" s="239">
        <f t="shared" si="19"/>
        <v>1035383.8230555556</v>
      </c>
    </row>
    <row r="79" spans="1:81" ht="21.6" customHeight="1" x14ac:dyDescent="0.3">
      <c r="A79" s="476"/>
      <c r="B79" s="476"/>
      <c r="C79" s="264" t="s">
        <v>1260</v>
      </c>
      <c r="D79" s="41" t="s">
        <v>1215</v>
      </c>
      <c r="E79" s="160">
        <f t="shared" si="3"/>
        <v>0</v>
      </c>
      <c r="F79" s="183">
        <f t="shared" si="20"/>
        <v>677300</v>
      </c>
      <c r="G79" s="183">
        <f t="shared" si="4"/>
        <v>0</v>
      </c>
      <c r="H79" s="241">
        <f>'06-CIC'!K32</f>
        <v>30000</v>
      </c>
      <c r="I79" s="183">
        <f>'06-CIC'!K83</f>
        <v>545</v>
      </c>
      <c r="J79" s="183">
        <f t="shared" si="5"/>
        <v>55963.888888888883</v>
      </c>
      <c r="K79" s="185">
        <f t="shared" si="6"/>
        <v>32511.541666666664</v>
      </c>
      <c r="L79" s="185">
        <f t="shared" si="7"/>
        <v>0</v>
      </c>
      <c r="M79" s="185">
        <f t="shared" si="8"/>
        <v>0</v>
      </c>
      <c r="N79" s="183">
        <f t="shared" si="9"/>
        <v>11027.342500000001</v>
      </c>
      <c r="O79" s="183">
        <v>0</v>
      </c>
      <c r="P79" s="183">
        <f t="shared" si="10"/>
        <v>7589.915</v>
      </c>
      <c r="Q79" s="183">
        <f t="shared" si="11"/>
        <v>0</v>
      </c>
      <c r="R79" s="183">
        <f t="shared" si="12"/>
        <v>1437.835</v>
      </c>
      <c r="S79" s="186">
        <f t="shared" si="13"/>
        <v>30814.3125</v>
      </c>
      <c r="T79" s="183">
        <f t="shared" si="14"/>
        <v>0</v>
      </c>
      <c r="U79" s="183">
        <f t="shared" si="15"/>
        <v>0</v>
      </c>
      <c r="V79" s="183">
        <f t="shared" si="16"/>
        <v>0</v>
      </c>
      <c r="W79" s="183">
        <f t="shared" si="17"/>
        <v>0</v>
      </c>
      <c r="X79" s="186">
        <f t="shared" si="18"/>
        <v>219008.30000000002</v>
      </c>
      <c r="Y79" s="239">
        <f t="shared" si="19"/>
        <v>1066198.1355555556</v>
      </c>
    </row>
    <row r="80" spans="1:81" ht="21.6" customHeight="1" x14ac:dyDescent="0.3">
      <c r="A80" s="476"/>
      <c r="B80" s="476"/>
      <c r="C80" s="264" t="s">
        <v>1261</v>
      </c>
      <c r="D80" s="41" t="s">
        <v>1216</v>
      </c>
      <c r="E80" s="160">
        <f t="shared" si="3"/>
        <v>0</v>
      </c>
      <c r="F80" s="183">
        <f t="shared" si="20"/>
        <v>677300</v>
      </c>
      <c r="G80" s="183">
        <f t="shared" si="4"/>
        <v>0</v>
      </c>
      <c r="H80" s="241">
        <f>'06-CIC'!K33</f>
        <v>30000</v>
      </c>
      <c r="I80" s="183">
        <f>'06-CIC'!K84</f>
        <v>545</v>
      </c>
      <c r="J80" s="183">
        <f t="shared" si="5"/>
        <v>55963.888888888883</v>
      </c>
      <c r="K80" s="185">
        <f t="shared" si="6"/>
        <v>0</v>
      </c>
      <c r="L80" s="185">
        <f t="shared" si="7"/>
        <v>0</v>
      </c>
      <c r="M80" s="185">
        <f t="shared" si="8"/>
        <v>0</v>
      </c>
      <c r="N80" s="183">
        <f t="shared" si="9"/>
        <v>11027.342500000001</v>
      </c>
      <c r="O80" s="183">
        <v>0</v>
      </c>
      <c r="P80" s="183">
        <f t="shared" si="10"/>
        <v>7589.915</v>
      </c>
      <c r="Q80" s="183">
        <f t="shared" si="11"/>
        <v>0</v>
      </c>
      <c r="R80" s="183">
        <f t="shared" si="12"/>
        <v>1437.835</v>
      </c>
      <c r="S80" s="186">
        <f t="shared" si="13"/>
        <v>30814.3125</v>
      </c>
      <c r="T80" s="183">
        <f t="shared" si="14"/>
        <v>0</v>
      </c>
      <c r="U80" s="183">
        <f t="shared" si="15"/>
        <v>0</v>
      </c>
      <c r="V80" s="183">
        <f t="shared" si="16"/>
        <v>0</v>
      </c>
      <c r="W80" s="183">
        <f t="shared" si="17"/>
        <v>0</v>
      </c>
      <c r="X80" s="186">
        <f t="shared" si="18"/>
        <v>219008.30000000002</v>
      </c>
      <c r="Y80" s="239">
        <f t="shared" si="19"/>
        <v>1033686.593888889</v>
      </c>
    </row>
    <row r="81" spans="1:25" ht="21.6" customHeight="1" x14ac:dyDescent="0.3">
      <c r="A81" s="476"/>
      <c r="B81" s="476"/>
      <c r="C81" s="264" t="s">
        <v>1262</v>
      </c>
      <c r="D81" s="41" t="s">
        <v>1217</v>
      </c>
      <c r="E81" s="160">
        <f t="shared" si="3"/>
        <v>1536553.5451199999</v>
      </c>
      <c r="F81" s="183">
        <f t="shared" si="20"/>
        <v>677300</v>
      </c>
      <c r="G81" s="183">
        <f t="shared" si="4"/>
        <v>43386.677419354841</v>
      </c>
      <c r="H81" s="241">
        <f>'06-CIC'!K34</f>
        <v>30000</v>
      </c>
      <c r="I81" s="183">
        <f>'06-CIC'!K85</f>
        <v>545</v>
      </c>
      <c r="J81" s="183">
        <f t="shared" si="5"/>
        <v>55963.888888888883</v>
      </c>
      <c r="K81" s="185">
        <f t="shared" si="6"/>
        <v>32511.541666666664</v>
      </c>
      <c r="L81" s="185">
        <f t="shared" si="7"/>
        <v>45194.169772256733</v>
      </c>
      <c r="M81" s="185">
        <f t="shared" si="8"/>
        <v>0</v>
      </c>
      <c r="N81" s="183">
        <f t="shared" si="9"/>
        <v>11027.342500000001</v>
      </c>
      <c r="O81" s="183">
        <f>'05-EQUIPOS'!G64*6</f>
        <v>33368.75</v>
      </c>
      <c r="P81" s="183">
        <f t="shared" si="10"/>
        <v>7589.915</v>
      </c>
      <c r="Q81" s="183">
        <f t="shared" si="11"/>
        <v>0</v>
      </c>
      <c r="R81" s="183">
        <f t="shared" si="12"/>
        <v>1437.835</v>
      </c>
      <c r="S81" s="186">
        <f t="shared" si="13"/>
        <v>30814.3125</v>
      </c>
      <c r="T81" s="183">
        <f t="shared" si="14"/>
        <v>112874.90322580645</v>
      </c>
      <c r="U81" s="183">
        <f t="shared" si="15"/>
        <v>0</v>
      </c>
      <c r="V81" s="183">
        <f t="shared" si="16"/>
        <v>0</v>
      </c>
      <c r="W81" s="183">
        <f t="shared" si="17"/>
        <v>0</v>
      </c>
      <c r="X81" s="186">
        <f t="shared" si="18"/>
        <v>219008.30000000002</v>
      </c>
      <c r="Y81" s="239">
        <f t="shared" si="19"/>
        <v>2837576.1810929729</v>
      </c>
    </row>
    <row r="82" spans="1:25" ht="21.6" customHeight="1" x14ac:dyDescent="0.3">
      <c r="A82" s="476"/>
      <c r="B82" s="476"/>
      <c r="C82" s="264" t="s">
        <v>1263</v>
      </c>
      <c r="D82" s="41" t="s">
        <v>1243</v>
      </c>
      <c r="E82" s="160">
        <f t="shared" si="3"/>
        <v>768276.77255999995</v>
      </c>
      <c r="F82" s="183">
        <f t="shared" si="20"/>
        <v>677300</v>
      </c>
      <c r="G82" s="183">
        <f t="shared" si="4"/>
        <v>43386.677419354841</v>
      </c>
      <c r="H82" s="241">
        <f>'06-CIC'!K35</f>
        <v>30000</v>
      </c>
      <c r="I82" s="183">
        <f>'06-CIC'!K86</f>
        <v>545</v>
      </c>
      <c r="J82" s="183">
        <f t="shared" si="5"/>
        <v>55963.888888888883</v>
      </c>
      <c r="K82" s="185">
        <f t="shared" si="6"/>
        <v>32511.541666666664</v>
      </c>
      <c r="L82" s="185">
        <f t="shared" si="7"/>
        <v>45194.169772256733</v>
      </c>
      <c r="M82" s="185">
        <f t="shared" si="8"/>
        <v>0</v>
      </c>
      <c r="N82" s="183">
        <f t="shared" si="9"/>
        <v>11027.342500000001</v>
      </c>
      <c r="O82" s="183">
        <f>'05-EQUIPOS'!G66*6</f>
        <v>16684.375</v>
      </c>
      <c r="P82" s="183">
        <f t="shared" si="10"/>
        <v>7589.915</v>
      </c>
      <c r="Q82" s="183">
        <f t="shared" si="11"/>
        <v>0</v>
      </c>
      <c r="R82" s="183">
        <f t="shared" si="12"/>
        <v>1437.835</v>
      </c>
      <c r="S82" s="186">
        <f t="shared" si="13"/>
        <v>30814.3125</v>
      </c>
      <c r="T82" s="183">
        <f t="shared" si="14"/>
        <v>112874.90322580645</v>
      </c>
      <c r="U82" s="183">
        <f t="shared" si="15"/>
        <v>0</v>
      </c>
      <c r="V82" s="183">
        <f t="shared" si="16"/>
        <v>0</v>
      </c>
      <c r="W82" s="183">
        <f t="shared" si="17"/>
        <v>0</v>
      </c>
      <c r="X82" s="186">
        <f t="shared" si="18"/>
        <v>219008.30000000002</v>
      </c>
      <c r="Y82" s="239">
        <f t="shared" si="19"/>
        <v>2052615.0335329738</v>
      </c>
    </row>
    <row r="83" spans="1:25" ht="21.6" customHeight="1" x14ac:dyDescent="0.3">
      <c r="A83" s="476"/>
      <c r="B83" s="476"/>
      <c r="C83" s="264" t="s">
        <v>1264</v>
      </c>
      <c r="D83" s="41" t="s">
        <v>1223</v>
      </c>
      <c r="E83" s="160">
        <f t="shared" si="3"/>
        <v>0</v>
      </c>
      <c r="F83" s="183">
        <f t="shared" si="20"/>
        <v>677300</v>
      </c>
      <c r="G83" s="183">
        <f t="shared" si="4"/>
        <v>0</v>
      </c>
      <c r="H83" s="241">
        <f>'06-CIC'!K36</f>
        <v>30000</v>
      </c>
      <c r="I83" s="183">
        <f>'06-CIC'!K87</f>
        <v>545</v>
      </c>
      <c r="J83" s="183">
        <f t="shared" si="5"/>
        <v>55963.888888888883</v>
      </c>
      <c r="K83" s="185">
        <f t="shared" si="6"/>
        <v>32511.541666666664</v>
      </c>
      <c r="L83" s="185">
        <f t="shared" si="7"/>
        <v>0</v>
      </c>
      <c r="M83" s="185">
        <f t="shared" si="8"/>
        <v>118266.66666666666</v>
      </c>
      <c r="N83" s="183">
        <f t="shared" si="9"/>
        <v>11027.342500000001</v>
      </c>
      <c r="O83" s="183">
        <v>0</v>
      </c>
      <c r="P83" s="183">
        <f t="shared" si="10"/>
        <v>7589.915</v>
      </c>
      <c r="Q83" s="183">
        <f t="shared" si="11"/>
        <v>0</v>
      </c>
      <c r="R83" s="183">
        <f t="shared" si="12"/>
        <v>1437.835</v>
      </c>
      <c r="S83" s="186">
        <f t="shared" si="13"/>
        <v>0</v>
      </c>
      <c r="T83" s="183">
        <f t="shared" si="14"/>
        <v>0</v>
      </c>
      <c r="U83" s="183">
        <f t="shared" si="15"/>
        <v>0</v>
      </c>
      <c r="V83" s="183">
        <f t="shared" si="16"/>
        <v>0</v>
      </c>
      <c r="W83" s="183">
        <f t="shared" si="17"/>
        <v>0</v>
      </c>
      <c r="X83" s="186">
        <f t="shared" si="18"/>
        <v>219008.30000000002</v>
      </c>
      <c r="Y83" s="239">
        <f t="shared" si="19"/>
        <v>1153650.4897222221</v>
      </c>
    </row>
    <row r="84" spans="1:25" ht="21.6" customHeight="1" x14ac:dyDescent="0.3">
      <c r="A84" s="477"/>
      <c r="B84" s="477"/>
      <c r="C84" s="264" t="s">
        <v>1265</v>
      </c>
      <c r="D84" s="41" t="s">
        <v>1224</v>
      </c>
      <c r="E84" s="160">
        <f t="shared" si="3"/>
        <v>0</v>
      </c>
      <c r="F84" s="183">
        <f t="shared" si="20"/>
        <v>677300</v>
      </c>
      <c r="G84" s="183">
        <f t="shared" si="4"/>
        <v>0</v>
      </c>
      <c r="H84" s="241">
        <f>'06-CIC'!K37</f>
        <v>30000</v>
      </c>
      <c r="I84" s="183">
        <f>'06-CIC'!K88</f>
        <v>545</v>
      </c>
      <c r="J84" s="183">
        <f t="shared" si="5"/>
        <v>55963.888888888883</v>
      </c>
      <c r="K84" s="185">
        <f t="shared" si="6"/>
        <v>32511.541666666664</v>
      </c>
      <c r="L84" s="185">
        <f t="shared" si="7"/>
        <v>0</v>
      </c>
      <c r="M84" s="185">
        <f t="shared" si="8"/>
        <v>118266.66666666666</v>
      </c>
      <c r="N84" s="183">
        <f t="shared" si="9"/>
        <v>11027.342500000001</v>
      </c>
      <c r="O84" s="183">
        <v>0</v>
      </c>
      <c r="P84" s="183">
        <f t="shared" si="10"/>
        <v>7589.915</v>
      </c>
      <c r="Q84" s="183">
        <f t="shared" si="11"/>
        <v>0</v>
      </c>
      <c r="R84" s="183">
        <f t="shared" si="12"/>
        <v>1437.835</v>
      </c>
      <c r="S84" s="186">
        <f t="shared" si="13"/>
        <v>0</v>
      </c>
      <c r="T84" s="183">
        <f t="shared" si="14"/>
        <v>0</v>
      </c>
      <c r="U84" s="183">
        <f t="shared" si="15"/>
        <v>0</v>
      </c>
      <c r="V84" s="183">
        <f t="shared" si="16"/>
        <v>0</v>
      </c>
      <c r="W84" s="183">
        <f t="shared" si="17"/>
        <v>0</v>
      </c>
      <c r="X84" s="186">
        <f t="shared" si="18"/>
        <v>219008.30000000002</v>
      </c>
      <c r="Y84" s="239">
        <f t="shared" si="19"/>
        <v>1153650.4897222221</v>
      </c>
    </row>
    <row r="85" spans="1:25" ht="21.6" customHeight="1" x14ac:dyDescent="0.3">
      <c r="A85" s="475" t="s">
        <v>1194</v>
      </c>
      <c r="B85" s="475" t="s">
        <v>1188</v>
      </c>
      <c r="C85" s="264" t="s">
        <v>1266</v>
      </c>
      <c r="D85" s="41" t="s">
        <v>1218</v>
      </c>
      <c r="E85" s="160">
        <f t="shared" si="3"/>
        <v>768276.77255999995</v>
      </c>
      <c r="F85" s="183">
        <v>0</v>
      </c>
      <c r="G85" s="183">
        <f t="shared" si="4"/>
        <v>43386.677419354841</v>
      </c>
      <c r="H85" s="241">
        <f>'06-CIC'!K38</f>
        <v>60000</v>
      </c>
      <c r="I85" s="183">
        <f>'06-CIC'!K89</f>
        <v>1090</v>
      </c>
      <c r="J85" s="183">
        <f t="shared" si="5"/>
        <v>55963.888888888883</v>
      </c>
      <c r="K85" s="185">
        <f t="shared" si="6"/>
        <v>32511.541666666664</v>
      </c>
      <c r="L85" s="185">
        <f t="shared" si="7"/>
        <v>45194.169772256733</v>
      </c>
      <c r="M85" s="185">
        <f t="shared" si="8"/>
        <v>0</v>
      </c>
      <c r="N85" s="183">
        <f t="shared" si="9"/>
        <v>22054.685000000001</v>
      </c>
      <c r="O85" s="183">
        <f>'05-EQUIPOS'!G65*6</f>
        <v>16684.375</v>
      </c>
      <c r="P85" s="183">
        <f t="shared" si="10"/>
        <v>15179.83</v>
      </c>
      <c r="Q85" s="183">
        <f t="shared" si="11"/>
        <v>0</v>
      </c>
      <c r="R85" s="183">
        <f t="shared" si="12"/>
        <v>2875.67</v>
      </c>
      <c r="S85" s="186">
        <f t="shared" si="13"/>
        <v>30814.3125</v>
      </c>
      <c r="T85" s="183">
        <f t="shared" si="14"/>
        <v>112874.90322580645</v>
      </c>
      <c r="U85" s="183">
        <f t="shared" si="15"/>
        <v>0</v>
      </c>
      <c r="V85" s="183">
        <f t="shared" si="16"/>
        <v>0</v>
      </c>
      <c r="W85" s="183">
        <f t="shared" si="17"/>
        <v>0</v>
      </c>
      <c r="X85" s="186">
        <f t="shared" si="18"/>
        <v>219008.30000000002</v>
      </c>
      <c r="Y85" s="239">
        <f t="shared" si="19"/>
        <v>1425915.1260329736</v>
      </c>
    </row>
    <row r="86" spans="1:25" ht="21.6" customHeight="1" x14ac:dyDescent="0.3">
      <c r="A86" s="476"/>
      <c r="B86" s="476"/>
      <c r="C86" s="264" t="s">
        <v>1267</v>
      </c>
      <c r="D86" s="41" t="s">
        <v>1219</v>
      </c>
      <c r="E86" s="160">
        <f t="shared" si="3"/>
        <v>0</v>
      </c>
      <c r="F86" s="183">
        <v>0</v>
      </c>
      <c r="G86" s="183">
        <f t="shared" si="4"/>
        <v>0</v>
      </c>
      <c r="H86" s="241">
        <f>'06-CIC'!K39</f>
        <v>60000</v>
      </c>
      <c r="I86" s="183">
        <f>'06-CIC'!K90</f>
        <v>1090</v>
      </c>
      <c r="J86" s="183">
        <f t="shared" si="5"/>
        <v>55963.888888888883</v>
      </c>
      <c r="K86" s="185">
        <f t="shared" si="6"/>
        <v>32511.541666666664</v>
      </c>
      <c r="L86" s="185">
        <f t="shared" si="7"/>
        <v>0</v>
      </c>
      <c r="M86" s="185">
        <f t="shared" si="8"/>
        <v>0</v>
      </c>
      <c r="N86" s="183">
        <f t="shared" si="9"/>
        <v>22054.685000000001</v>
      </c>
      <c r="O86" s="183">
        <v>0</v>
      </c>
      <c r="P86" s="183">
        <f t="shared" si="10"/>
        <v>15179.83</v>
      </c>
      <c r="Q86" s="183">
        <f t="shared" si="11"/>
        <v>0</v>
      </c>
      <c r="R86" s="183">
        <f t="shared" si="12"/>
        <v>2875.67</v>
      </c>
      <c r="S86" s="186">
        <f t="shared" si="13"/>
        <v>0</v>
      </c>
      <c r="T86" s="183">
        <f t="shared" si="14"/>
        <v>0</v>
      </c>
      <c r="U86" s="183">
        <f t="shared" si="15"/>
        <v>0</v>
      </c>
      <c r="V86" s="183">
        <f t="shared" si="16"/>
        <v>0</v>
      </c>
      <c r="W86" s="183">
        <f t="shared" si="17"/>
        <v>0</v>
      </c>
      <c r="X86" s="186">
        <f t="shared" si="18"/>
        <v>219008.30000000002</v>
      </c>
      <c r="Y86" s="239">
        <f t="shared" si="19"/>
        <v>408683.91555555555</v>
      </c>
    </row>
    <row r="87" spans="1:25" ht="21.6" customHeight="1" x14ac:dyDescent="0.3">
      <c r="A87" s="476"/>
      <c r="B87" s="476"/>
      <c r="C87" s="264" t="s">
        <v>1268</v>
      </c>
      <c r="D87" s="41" t="s">
        <v>1220</v>
      </c>
      <c r="E87" s="160">
        <f t="shared" si="3"/>
        <v>1280461.2875999999</v>
      </c>
      <c r="F87" s="183">
        <v>0</v>
      </c>
      <c r="G87" s="183">
        <f t="shared" si="4"/>
        <v>43386.677419354841</v>
      </c>
      <c r="H87" s="241">
        <f>'06-CIC'!K40</f>
        <v>60000</v>
      </c>
      <c r="I87" s="183">
        <f>'06-CIC'!K91</f>
        <v>1090</v>
      </c>
      <c r="J87" s="183">
        <f t="shared" si="5"/>
        <v>55963.888888888883</v>
      </c>
      <c r="K87" s="185">
        <f t="shared" si="6"/>
        <v>0</v>
      </c>
      <c r="L87" s="185">
        <f t="shared" si="7"/>
        <v>45194.169772256733</v>
      </c>
      <c r="M87" s="185">
        <f t="shared" si="8"/>
        <v>0</v>
      </c>
      <c r="N87" s="183">
        <f t="shared" si="9"/>
        <v>22054.685000000001</v>
      </c>
      <c r="O87" s="183">
        <f>'05-EQUIPOS'!G67*6</f>
        <v>27807.291666666668</v>
      </c>
      <c r="P87" s="183">
        <f t="shared" si="10"/>
        <v>15179.83</v>
      </c>
      <c r="Q87" s="183">
        <f t="shared" si="11"/>
        <v>0</v>
      </c>
      <c r="R87" s="183">
        <f t="shared" si="12"/>
        <v>2875.67</v>
      </c>
      <c r="S87" s="186">
        <f t="shared" si="13"/>
        <v>0</v>
      </c>
      <c r="T87" s="183">
        <f t="shared" si="14"/>
        <v>112874.90322580645</v>
      </c>
      <c r="U87" s="183">
        <f t="shared" si="15"/>
        <v>0</v>
      </c>
      <c r="V87" s="183">
        <f t="shared" si="16"/>
        <v>0</v>
      </c>
      <c r="W87" s="183">
        <f t="shared" si="17"/>
        <v>0</v>
      </c>
      <c r="X87" s="186">
        <f t="shared" si="18"/>
        <v>219008.30000000002</v>
      </c>
      <c r="Y87" s="239">
        <f t="shared" si="19"/>
        <v>1885896.7035729738</v>
      </c>
    </row>
    <row r="88" spans="1:25" ht="21.6" customHeight="1" x14ac:dyDescent="0.3">
      <c r="A88" s="476"/>
      <c r="B88" s="476"/>
      <c r="C88" s="264" t="s">
        <v>1269</v>
      </c>
      <c r="D88" s="41" t="s">
        <v>1221</v>
      </c>
      <c r="E88" s="160">
        <f t="shared" si="3"/>
        <v>512184.51503999991</v>
      </c>
      <c r="F88" s="183">
        <v>0</v>
      </c>
      <c r="G88" s="183">
        <f t="shared" si="4"/>
        <v>43386.677419354841</v>
      </c>
      <c r="H88" s="241">
        <f>'06-CIC'!K41</f>
        <v>60000</v>
      </c>
      <c r="I88" s="183">
        <f>'06-CIC'!K92</f>
        <v>1090</v>
      </c>
      <c r="J88" s="183">
        <f t="shared" si="5"/>
        <v>55963.888888888883</v>
      </c>
      <c r="K88" s="185">
        <f t="shared" si="6"/>
        <v>0</v>
      </c>
      <c r="L88" s="185">
        <f t="shared" si="7"/>
        <v>45194.169772256733</v>
      </c>
      <c r="M88" s="185">
        <f t="shared" si="8"/>
        <v>0</v>
      </c>
      <c r="N88" s="183">
        <f t="shared" si="9"/>
        <v>22054.685000000001</v>
      </c>
      <c r="O88" s="183">
        <f>'05-EQUIPOS'!G68*6</f>
        <v>11122.916666666668</v>
      </c>
      <c r="P88" s="183">
        <f t="shared" si="10"/>
        <v>15179.83</v>
      </c>
      <c r="Q88" s="183">
        <f t="shared" si="11"/>
        <v>0</v>
      </c>
      <c r="R88" s="183">
        <f t="shared" si="12"/>
        <v>2875.67</v>
      </c>
      <c r="S88" s="186">
        <f t="shared" si="13"/>
        <v>0</v>
      </c>
      <c r="T88" s="183">
        <f t="shared" si="14"/>
        <v>112874.90322580645</v>
      </c>
      <c r="U88" s="183">
        <f t="shared" si="15"/>
        <v>0</v>
      </c>
      <c r="V88" s="183">
        <f t="shared" si="16"/>
        <v>0</v>
      </c>
      <c r="W88" s="183">
        <f t="shared" si="17"/>
        <v>0</v>
      </c>
      <c r="X88" s="186">
        <f t="shared" si="18"/>
        <v>219008.30000000002</v>
      </c>
      <c r="Y88" s="239">
        <f t="shared" si="19"/>
        <v>1100935.5560129734</v>
      </c>
    </row>
    <row r="89" spans="1:25" ht="21.6" customHeight="1" x14ac:dyDescent="0.3">
      <c r="A89" s="476"/>
      <c r="B89" s="476"/>
      <c r="C89" s="264" t="s">
        <v>1270</v>
      </c>
      <c r="D89" s="41" t="s">
        <v>1242</v>
      </c>
      <c r="E89" s="160">
        <f t="shared" si="3"/>
        <v>1792645.8026399997</v>
      </c>
      <c r="F89" s="183">
        <v>0</v>
      </c>
      <c r="G89" s="183">
        <f t="shared" si="4"/>
        <v>43386.677419354841</v>
      </c>
      <c r="H89" s="241">
        <f>'06-CIC'!K42</f>
        <v>60000</v>
      </c>
      <c r="I89" s="183">
        <f>'06-CIC'!K93</f>
        <v>1090</v>
      </c>
      <c r="J89" s="183">
        <f t="shared" si="5"/>
        <v>55963.888888888883</v>
      </c>
      <c r="K89" s="185">
        <f t="shared" si="6"/>
        <v>32511.541666666664</v>
      </c>
      <c r="L89" s="185">
        <f t="shared" si="7"/>
        <v>207139.94478951005</v>
      </c>
      <c r="M89" s="185">
        <f t="shared" si="8"/>
        <v>0</v>
      </c>
      <c r="N89" s="183">
        <f t="shared" si="9"/>
        <v>22054.685000000001</v>
      </c>
      <c r="O89" s="183">
        <f>('05-EQUIPOS'!G69+'05-EQUIPOS'!G80)*6</f>
        <v>32339.583333333336</v>
      </c>
      <c r="P89" s="183">
        <f t="shared" si="10"/>
        <v>15179.83</v>
      </c>
      <c r="Q89" s="183">
        <f t="shared" si="11"/>
        <v>0</v>
      </c>
      <c r="R89" s="183">
        <f t="shared" si="12"/>
        <v>2875.67</v>
      </c>
      <c r="S89" s="186">
        <f t="shared" si="13"/>
        <v>0</v>
      </c>
      <c r="T89" s="183">
        <f t="shared" si="14"/>
        <v>112874.90322580645</v>
      </c>
      <c r="U89" s="183">
        <f t="shared" si="15"/>
        <v>0</v>
      </c>
      <c r="V89" s="183">
        <f t="shared" si="16"/>
        <v>0</v>
      </c>
      <c r="W89" s="183">
        <f t="shared" si="17"/>
        <v>0</v>
      </c>
      <c r="X89" s="186">
        <f t="shared" si="18"/>
        <v>219008.30000000002</v>
      </c>
      <c r="Y89" s="239">
        <f t="shared" si="19"/>
        <v>2597070.8269635602</v>
      </c>
    </row>
    <row r="90" spans="1:25" ht="21.6" customHeight="1" x14ac:dyDescent="0.3">
      <c r="A90" s="478" t="s">
        <v>1418</v>
      </c>
      <c r="B90" s="478" t="s">
        <v>1225</v>
      </c>
      <c r="C90" s="264" t="s">
        <v>1454</v>
      </c>
      <c r="D90" s="41" t="s">
        <v>1226</v>
      </c>
      <c r="E90" s="160">
        <f t="shared" si="3"/>
        <v>4712097.5383679997</v>
      </c>
      <c r="F90" s="183">
        <v>0</v>
      </c>
      <c r="G90" s="183">
        <f t="shared" si="4"/>
        <v>43386.677419354841</v>
      </c>
      <c r="H90" s="241">
        <f>'06-CIC'!K51</f>
        <v>1200000</v>
      </c>
      <c r="I90" s="242">
        <f>'06-CIC'!K102</f>
        <v>21800</v>
      </c>
      <c r="J90" s="183">
        <f t="shared" si="5"/>
        <v>55963.888888888883</v>
      </c>
      <c r="K90" s="185">
        <f t="shared" si="6"/>
        <v>0</v>
      </c>
      <c r="L90" s="185">
        <f t="shared" si="7"/>
        <v>409572.16356107668</v>
      </c>
      <c r="M90" s="185">
        <f t="shared" si="8"/>
        <v>0</v>
      </c>
      <c r="N90" s="183">
        <f t="shared" si="9"/>
        <v>441093.7</v>
      </c>
      <c r="O90" s="183">
        <f>('05-EQUIPOS'!G51+'05-EQUIPOS'!G76)*6</f>
        <v>47166.666666666672</v>
      </c>
      <c r="P90" s="183">
        <f t="shared" si="10"/>
        <v>303596.59999999998</v>
      </c>
      <c r="Q90" s="183">
        <f t="shared" si="11"/>
        <v>0</v>
      </c>
      <c r="R90" s="183">
        <f t="shared" si="12"/>
        <v>57513.4</v>
      </c>
      <c r="S90" s="186">
        <f t="shared" si="13"/>
        <v>30814.3125</v>
      </c>
      <c r="T90" s="183">
        <f t="shared" si="14"/>
        <v>112874.90322580645</v>
      </c>
      <c r="U90" s="183">
        <f t="shared" si="15"/>
        <v>0</v>
      </c>
      <c r="V90" s="183">
        <f t="shared" si="16"/>
        <v>0</v>
      </c>
      <c r="W90" s="183">
        <f t="shared" si="17"/>
        <v>0</v>
      </c>
      <c r="X90" s="186">
        <f t="shared" si="18"/>
        <v>219008.30000000002</v>
      </c>
      <c r="Y90" s="286">
        <f t="shared" si="19"/>
        <v>7654888.1506297942</v>
      </c>
    </row>
    <row r="91" spans="1:25" ht="21.6" customHeight="1" x14ac:dyDescent="0.3">
      <c r="A91" s="478"/>
      <c r="B91" s="478"/>
      <c r="C91" s="264" t="s">
        <v>1455</v>
      </c>
      <c r="D91" s="41" t="s">
        <v>1227</v>
      </c>
      <c r="E91" s="160">
        <f t="shared" si="3"/>
        <v>3995039.2173119993</v>
      </c>
      <c r="F91" s="183">
        <v>0</v>
      </c>
      <c r="G91" s="183">
        <f t="shared" si="4"/>
        <v>43386.677419354841</v>
      </c>
      <c r="H91" s="241">
        <f>'06-CIC'!K52</f>
        <v>1200000</v>
      </c>
      <c r="I91" s="242">
        <f>'06-CIC'!K103</f>
        <v>21800</v>
      </c>
      <c r="J91" s="183">
        <f t="shared" si="5"/>
        <v>0</v>
      </c>
      <c r="K91" s="185">
        <f t="shared" si="6"/>
        <v>0</v>
      </c>
      <c r="L91" s="185">
        <f t="shared" si="7"/>
        <v>364377.99378881993</v>
      </c>
      <c r="M91" s="185">
        <f t="shared" si="8"/>
        <v>0</v>
      </c>
      <c r="N91" s="183">
        <f t="shared" si="9"/>
        <v>441093.7</v>
      </c>
      <c r="O91" s="183">
        <v>0</v>
      </c>
      <c r="P91" s="183">
        <f t="shared" si="10"/>
        <v>303596.59999999998</v>
      </c>
      <c r="Q91" s="183">
        <f t="shared" si="11"/>
        <v>0</v>
      </c>
      <c r="R91" s="183">
        <f t="shared" si="12"/>
        <v>57513.4</v>
      </c>
      <c r="S91" s="186">
        <f t="shared" si="13"/>
        <v>0</v>
      </c>
      <c r="T91" s="183">
        <f t="shared" si="14"/>
        <v>112874.90322580645</v>
      </c>
      <c r="U91" s="183">
        <f t="shared" si="15"/>
        <v>0</v>
      </c>
      <c r="V91" s="183">
        <f t="shared" si="16"/>
        <v>0</v>
      </c>
      <c r="W91" s="183">
        <f t="shared" si="17"/>
        <v>0</v>
      </c>
      <c r="X91" s="186">
        <f t="shared" si="18"/>
        <v>219008.30000000002</v>
      </c>
      <c r="Y91" s="286">
        <f t="shared" si="19"/>
        <v>6758690.7917459803</v>
      </c>
    </row>
    <row r="92" spans="1:25" ht="21.6" customHeight="1" x14ac:dyDescent="0.3">
      <c r="A92" s="478"/>
      <c r="B92" s="478"/>
      <c r="C92" s="263" t="s">
        <v>1271</v>
      </c>
      <c r="D92" s="41" t="s">
        <v>1228</v>
      </c>
      <c r="E92" s="160">
        <f t="shared" si="3"/>
        <v>614621.41804799996</v>
      </c>
      <c r="F92" s="183">
        <v>0</v>
      </c>
      <c r="G92" s="183">
        <f t="shared" si="4"/>
        <v>43386.677419354841</v>
      </c>
      <c r="H92" s="241">
        <f>'06-CIC'!K53</f>
        <v>1200000</v>
      </c>
      <c r="I92" s="242">
        <f>'06-CIC'!K104</f>
        <v>21800</v>
      </c>
      <c r="J92" s="183">
        <f t="shared" si="5"/>
        <v>55963.888888888883</v>
      </c>
      <c r="K92" s="185">
        <f t="shared" si="6"/>
        <v>0</v>
      </c>
      <c r="L92" s="185">
        <f t="shared" si="7"/>
        <v>364377.99378881993</v>
      </c>
      <c r="M92" s="185">
        <f t="shared" si="8"/>
        <v>0</v>
      </c>
      <c r="N92" s="183">
        <f t="shared" si="9"/>
        <v>441093.7</v>
      </c>
      <c r="O92" s="183">
        <f>'05-EQUIPOS'!G75*6</f>
        <v>1250</v>
      </c>
      <c r="P92" s="183">
        <f t="shared" si="10"/>
        <v>303596.59999999998</v>
      </c>
      <c r="Q92" s="183">
        <f t="shared" si="11"/>
        <v>0</v>
      </c>
      <c r="R92" s="183">
        <f t="shared" si="12"/>
        <v>57513.4</v>
      </c>
      <c r="S92" s="186">
        <f t="shared" si="13"/>
        <v>0</v>
      </c>
      <c r="T92" s="183">
        <f t="shared" si="14"/>
        <v>112874.90322580645</v>
      </c>
      <c r="U92" s="183">
        <f t="shared" si="15"/>
        <v>0</v>
      </c>
      <c r="V92" s="183">
        <f t="shared" si="16"/>
        <v>0</v>
      </c>
      <c r="W92" s="183">
        <f t="shared" si="17"/>
        <v>0</v>
      </c>
      <c r="X92" s="186">
        <f t="shared" si="18"/>
        <v>219008.30000000002</v>
      </c>
      <c r="Y92" s="239">
        <f>SUM(E92:X92)</f>
        <v>3435486.8813708699</v>
      </c>
    </row>
    <row r="93" spans="1:25" ht="15.6" x14ac:dyDescent="0.3">
      <c r="A93" s="168"/>
      <c r="B93" s="168"/>
      <c r="C93" s="168"/>
      <c r="D93" s="168"/>
      <c r="E93" s="174">
        <f t="shared" ref="E93:Y93" si="21">SUM(E53:E92)</f>
        <v>61462141.804800004</v>
      </c>
      <c r="F93" s="174">
        <f t="shared" si="21"/>
        <v>6773000</v>
      </c>
      <c r="G93" s="174">
        <f t="shared" si="21"/>
        <v>1344987</v>
      </c>
      <c r="H93" s="174">
        <f t="shared" si="21"/>
        <v>12000000</v>
      </c>
      <c r="I93" s="174">
        <f t="shared" si="21"/>
        <v>218000</v>
      </c>
      <c r="J93" s="174">
        <f t="shared" si="21"/>
        <v>2014700.0000000016</v>
      </c>
      <c r="K93" s="174">
        <f t="shared" si="21"/>
        <v>780276.99999999977</v>
      </c>
      <c r="L93" s="174">
        <f>SUM(L53:L92)</f>
        <v>5457196</v>
      </c>
      <c r="M93" s="174">
        <f t="shared" si="21"/>
        <v>354800</v>
      </c>
      <c r="N93" s="174">
        <f t="shared" si="21"/>
        <v>4410936.9999999981</v>
      </c>
      <c r="O93" s="174">
        <f t="shared" si="21"/>
        <v>760887.49999999988</v>
      </c>
      <c r="P93" s="174">
        <f t="shared" si="21"/>
        <v>3035966.0000000005</v>
      </c>
      <c r="Q93" s="174">
        <f t="shared" si="21"/>
        <v>92673</v>
      </c>
      <c r="R93" s="174">
        <f t="shared" si="21"/>
        <v>575134.00000000012</v>
      </c>
      <c r="S93" s="174">
        <f t="shared" si="21"/>
        <v>493029</v>
      </c>
      <c r="T93" s="174">
        <f t="shared" si="21"/>
        <v>3499122.0000000019</v>
      </c>
      <c r="U93" s="174">
        <f t="shared" si="21"/>
        <v>880441</v>
      </c>
      <c r="V93" s="174">
        <f t="shared" si="21"/>
        <v>2484410</v>
      </c>
      <c r="W93" s="174">
        <f t="shared" si="21"/>
        <v>6400</v>
      </c>
      <c r="X93" s="174">
        <f t="shared" si="21"/>
        <v>8760331.9999999963</v>
      </c>
      <c r="Y93" s="253">
        <f t="shared" si="21"/>
        <v>115404433.30479999</v>
      </c>
    </row>
  </sheetData>
  <mergeCells count="41">
    <mergeCell ref="A75:A84"/>
    <mergeCell ref="B75:B84"/>
    <mergeCell ref="A85:A89"/>
    <mergeCell ref="B85:B89"/>
    <mergeCell ref="A90:A92"/>
    <mergeCell ref="B90:B92"/>
    <mergeCell ref="A53:A63"/>
    <mergeCell ref="B53:B63"/>
    <mergeCell ref="A64:A66"/>
    <mergeCell ref="B64:B66"/>
    <mergeCell ref="A67:A74"/>
    <mergeCell ref="B67:B74"/>
    <mergeCell ref="A38:A42"/>
    <mergeCell ref="A43:A45"/>
    <mergeCell ref="A28:A37"/>
    <mergeCell ref="A20:A27"/>
    <mergeCell ref="R2:V2"/>
    <mergeCell ref="I49:M49"/>
    <mergeCell ref="I2:M2"/>
    <mergeCell ref="B6:B16"/>
    <mergeCell ref="B17:B19"/>
    <mergeCell ref="B20:B27"/>
    <mergeCell ref="B28:B37"/>
    <mergeCell ref="B38:B42"/>
    <mergeCell ref="B43:B45"/>
    <mergeCell ref="A1:X1"/>
    <mergeCell ref="P49:Q49"/>
    <mergeCell ref="P2:Q2"/>
    <mergeCell ref="D49:D52"/>
    <mergeCell ref="B49:B52"/>
    <mergeCell ref="C49:C51"/>
    <mergeCell ref="A3:A5"/>
    <mergeCell ref="E2:G2"/>
    <mergeCell ref="A17:A19"/>
    <mergeCell ref="A6:A16"/>
    <mergeCell ref="D2:D5"/>
    <mergeCell ref="B2:B5"/>
    <mergeCell ref="C2:C5"/>
    <mergeCell ref="R49:V49"/>
    <mergeCell ref="A50:A52"/>
    <mergeCell ref="E49:G49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9060-6966-473E-87D8-302B8655CECF}">
  <dimension ref="B2:L45"/>
  <sheetViews>
    <sheetView showGridLines="0" showRowColHeaders="0" topLeftCell="B1" zoomScale="145" zoomScaleNormal="145" workbookViewId="0">
      <selection activeCell="G9" sqref="G9"/>
    </sheetView>
  </sheetViews>
  <sheetFormatPr baseColWidth="10" defaultRowHeight="14.4" x14ac:dyDescent="0.3"/>
  <cols>
    <col min="3" max="3" width="21.21875" bestFit="1" customWidth="1"/>
    <col min="4" max="4" width="18.5546875" customWidth="1"/>
    <col min="5" max="5" width="60.77734375" customWidth="1"/>
    <col min="6" max="6" width="25.109375" customWidth="1"/>
    <col min="8" max="8" width="19.5546875" bestFit="1" customWidth="1"/>
    <col min="9" max="9" width="21.21875" bestFit="1" customWidth="1"/>
    <col min="10" max="10" width="34.33203125" bestFit="1" customWidth="1"/>
    <col min="11" max="11" width="10.33203125" customWidth="1"/>
    <col min="12" max="12" width="23.21875" customWidth="1"/>
    <col min="13" max="13" width="19.44140625" bestFit="1" customWidth="1"/>
    <col min="14" max="14" width="24.109375" bestFit="1" customWidth="1"/>
    <col min="15" max="15" width="30.21875" bestFit="1" customWidth="1"/>
    <col min="16" max="16" width="15.6640625" bestFit="1" customWidth="1"/>
    <col min="17" max="17" width="18.88671875" bestFit="1" customWidth="1"/>
    <col min="18" max="18" width="23" bestFit="1" customWidth="1"/>
    <col min="19" max="19" width="22.77734375" bestFit="1" customWidth="1"/>
    <col min="20" max="20" width="19.77734375" bestFit="1" customWidth="1"/>
    <col min="21" max="21" width="30.109375" bestFit="1" customWidth="1"/>
    <col min="22" max="22" width="30.21875" bestFit="1" customWidth="1"/>
    <col min="23" max="23" width="45.5546875" bestFit="1" customWidth="1"/>
    <col min="24" max="24" width="31.109375" bestFit="1" customWidth="1"/>
    <col min="25" max="25" width="33.109375" bestFit="1" customWidth="1"/>
    <col min="26" max="26" width="46.109375" bestFit="1" customWidth="1"/>
    <col min="27" max="27" width="31.33203125" bestFit="1" customWidth="1"/>
    <col min="28" max="28" width="20" bestFit="1" customWidth="1"/>
    <col min="29" max="29" width="31.88671875" bestFit="1" customWidth="1"/>
    <col min="30" max="30" width="41.33203125" bestFit="1" customWidth="1"/>
    <col min="31" max="31" width="51.6640625" bestFit="1" customWidth="1"/>
    <col min="32" max="32" width="33.88671875" bestFit="1" customWidth="1"/>
    <col min="33" max="33" width="17.21875" bestFit="1" customWidth="1"/>
    <col min="34" max="34" width="18" bestFit="1" customWidth="1"/>
    <col min="35" max="35" width="25.5546875" bestFit="1" customWidth="1"/>
    <col min="36" max="36" width="26.44140625" bestFit="1" customWidth="1"/>
    <col min="37" max="37" width="16.77734375" bestFit="1" customWidth="1"/>
    <col min="38" max="38" width="27.5546875" bestFit="1" customWidth="1"/>
    <col min="39" max="39" width="24.44140625" bestFit="1" customWidth="1"/>
    <col min="40" max="40" width="24.88671875" bestFit="1" customWidth="1"/>
    <col min="41" max="41" width="26.6640625" bestFit="1" customWidth="1"/>
    <col min="42" max="42" width="27.5546875" bestFit="1" customWidth="1"/>
    <col min="43" max="43" width="32.44140625" bestFit="1" customWidth="1"/>
    <col min="44" max="44" width="31.109375" bestFit="1" customWidth="1"/>
    <col min="45" max="45" width="56.109375" bestFit="1" customWidth="1"/>
    <col min="46" max="46" width="56.77734375" bestFit="1" customWidth="1"/>
    <col min="47" max="47" width="18.33203125" bestFit="1" customWidth="1"/>
    <col min="48" max="48" width="59" bestFit="1" customWidth="1"/>
    <col min="49" max="49" width="13.33203125" bestFit="1" customWidth="1"/>
  </cols>
  <sheetData>
    <row r="2" spans="2:10" ht="28.8" x14ac:dyDescent="0.3">
      <c r="B2" s="237" t="s">
        <v>1185</v>
      </c>
      <c r="C2" s="237" t="s">
        <v>1186</v>
      </c>
      <c r="D2" s="237" t="s">
        <v>1968</v>
      </c>
      <c r="E2" s="237" t="s">
        <v>1189</v>
      </c>
      <c r="F2" s="237" t="s">
        <v>1565</v>
      </c>
      <c r="H2" s="479" t="s">
        <v>1933</v>
      </c>
      <c r="I2" s="479"/>
      <c r="J2" s="479"/>
    </row>
    <row r="3" spans="2:10" ht="14.4" customHeight="1" x14ac:dyDescent="0.3">
      <c r="B3" s="475" t="s">
        <v>1190</v>
      </c>
      <c r="C3" s="475" t="s">
        <v>1417</v>
      </c>
      <c r="D3" s="263" t="s">
        <v>1229</v>
      </c>
      <c r="E3" s="41" t="s">
        <v>1204</v>
      </c>
      <c r="F3" s="3">
        <f>'08-DIRECCIONAMIENTO'!Y53</f>
        <v>3242996.7388307503</v>
      </c>
      <c r="H3" s="238" t="s">
        <v>1185</v>
      </c>
      <c r="I3" s="238" t="s">
        <v>1186</v>
      </c>
      <c r="J3" s="238" t="s">
        <v>1934</v>
      </c>
    </row>
    <row r="4" spans="2:10" x14ac:dyDescent="0.3">
      <c r="B4" s="476"/>
      <c r="C4" s="476"/>
      <c r="D4" s="263" t="s">
        <v>1230</v>
      </c>
      <c r="E4" s="41" t="s">
        <v>1203</v>
      </c>
      <c r="F4" s="3">
        <f>'08-DIRECCIONAMIENTO'!Y54</f>
        <v>1616494.50271964</v>
      </c>
      <c r="H4" s="326" t="s">
        <v>1190</v>
      </c>
      <c r="I4" s="326" t="s">
        <v>1417</v>
      </c>
      <c r="J4" s="122">
        <f>SUM(F3:F13)</f>
        <v>22051025.396682709</v>
      </c>
    </row>
    <row r="5" spans="2:10" x14ac:dyDescent="0.3">
      <c r="B5" s="476"/>
      <c r="C5" s="476"/>
      <c r="D5" s="263" t="s">
        <v>1231</v>
      </c>
      <c r="E5" s="41" t="s">
        <v>1202</v>
      </c>
      <c r="F5" s="3">
        <f>'08-DIRECCIONAMIENTO'!Y55</f>
        <v>1583982.9610529733</v>
      </c>
      <c r="H5" s="326" t="s">
        <v>1191</v>
      </c>
      <c r="I5" s="326" t="s">
        <v>1281</v>
      </c>
      <c r="J5" s="122">
        <f>SUM(F14:F16)</f>
        <v>9522071.4598049428</v>
      </c>
    </row>
    <row r="6" spans="2:10" x14ac:dyDescent="0.3">
      <c r="B6" s="476"/>
      <c r="C6" s="476"/>
      <c r="D6" s="263" t="s">
        <v>1232</v>
      </c>
      <c r="E6" s="41" t="s">
        <v>1151</v>
      </c>
      <c r="F6" s="3">
        <f>'08-DIRECCIONAMIENTO'!Y56</f>
        <v>2785154.2622040845</v>
      </c>
      <c r="H6" s="326" t="s">
        <v>1192</v>
      </c>
      <c r="I6" s="326" t="s">
        <v>1126</v>
      </c>
      <c r="J6" s="122">
        <f>SUM(F17:F24)</f>
        <v>45189879.364023931</v>
      </c>
    </row>
    <row r="7" spans="2:10" x14ac:dyDescent="0.3">
      <c r="B7" s="476"/>
      <c r="C7" s="476"/>
      <c r="D7" s="263" t="s">
        <v>1233</v>
      </c>
      <c r="E7" s="41" t="s">
        <v>1201</v>
      </c>
      <c r="F7" s="3">
        <f>'08-DIRECCIONAMIENTO'!Y57</f>
        <v>2785154.2622040845</v>
      </c>
      <c r="H7" s="326" t="s">
        <v>1193</v>
      </c>
      <c r="I7" s="326" t="s">
        <v>1280</v>
      </c>
      <c r="J7" s="122">
        <f>SUM(F25:F34)</f>
        <v>13373889.132403724</v>
      </c>
    </row>
    <row r="8" spans="2:10" x14ac:dyDescent="0.3">
      <c r="B8" s="476"/>
      <c r="C8" s="476"/>
      <c r="D8" s="263" t="s">
        <v>1234</v>
      </c>
      <c r="E8" s="41" t="s">
        <v>1200</v>
      </c>
      <c r="F8" s="3">
        <f>'08-DIRECCIONAMIENTO'!Y58</f>
        <v>1510693.7038783066</v>
      </c>
      <c r="H8" s="326" t="s">
        <v>1194</v>
      </c>
      <c r="I8" s="326" t="s">
        <v>1188</v>
      </c>
      <c r="J8" s="122">
        <f>SUM(F35:F39)</f>
        <v>7418502.1281380374</v>
      </c>
    </row>
    <row r="9" spans="2:10" x14ac:dyDescent="0.3">
      <c r="B9" s="476"/>
      <c r="C9" s="476"/>
      <c r="D9" s="263" t="s">
        <v>1235</v>
      </c>
      <c r="E9" s="41" t="s">
        <v>1195</v>
      </c>
      <c r="F9" s="3">
        <f>'08-DIRECCIONAMIENTO'!Y59</f>
        <v>1167568.6823543068</v>
      </c>
      <c r="H9" s="327" t="s">
        <v>1418</v>
      </c>
      <c r="I9" s="327" t="s">
        <v>1225</v>
      </c>
      <c r="J9" s="122">
        <f>SUM(F40:F42)</f>
        <v>17849065.823746644</v>
      </c>
    </row>
    <row r="10" spans="2:10" x14ac:dyDescent="0.3">
      <c r="B10" s="476"/>
      <c r="C10" s="476"/>
      <c r="D10" s="263" t="s">
        <v>1236</v>
      </c>
      <c r="E10" s="41" t="s">
        <v>1196</v>
      </c>
      <c r="F10" s="3">
        <f>'08-DIRECCIONAMIENTO'!Y60</f>
        <v>1543205.2455449733</v>
      </c>
    </row>
    <row r="11" spans="2:10" x14ac:dyDescent="0.3">
      <c r="B11" s="476"/>
      <c r="C11" s="476"/>
      <c r="D11" s="263" t="s">
        <v>1239</v>
      </c>
      <c r="E11" s="41" t="s">
        <v>1197</v>
      </c>
      <c r="F11" s="3">
        <f>'08-DIRECCIONAMIENTO'!Y61</f>
        <v>1757549.4682276403</v>
      </c>
    </row>
    <row r="12" spans="2:10" x14ac:dyDescent="0.3">
      <c r="B12" s="476"/>
      <c r="C12" s="476"/>
      <c r="D12" s="263" t="s">
        <v>1237</v>
      </c>
      <c r="E12" s="41" t="s">
        <v>1198</v>
      </c>
      <c r="F12" s="3">
        <f>'08-DIRECCIONAMIENTO'!Y62</f>
        <v>1914541.6977396403</v>
      </c>
    </row>
    <row r="13" spans="2:10" x14ac:dyDescent="0.3">
      <c r="B13" s="477"/>
      <c r="C13" s="477"/>
      <c r="D13" s="263" t="s">
        <v>1238</v>
      </c>
      <c r="E13" s="41" t="s">
        <v>1199</v>
      </c>
      <c r="F13" s="3">
        <f>'08-DIRECCIONAMIENTO'!Y63</f>
        <v>2143683.8719263067</v>
      </c>
      <c r="H13" s="480" t="s">
        <v>1944</v>
      </c>
      <c r="I13" s="480"/>
    </row>
    <row r="14" spans="2:10" x14ac:dyDescent="0.3">
      <c r="B14" s="475" t="s">
        <v>1191</v>
      </c>
      <c r="C14" s="475" t="s">
        <v>1281</v>
      </c>
      <c r="D14" s="263" t="s">
        <v>1245</v>
      </c>
      <c r="E14" s="41" t="s">
        <v>1205</v>
      </c>
      <c r="F14" s="3">
        <f>'08-DIRECCIONAMIENTO'!Y64</f>
        <v>4319815.0333598163</v>
      </c>
      <c r="H14" s="332" t="s">
        <v>1150</v>
      </c>
      <c r="I14" s="15" t="s">
        <v>1157</v>
      </c>
    </row>
    <row r="15" spans="2:10" x14ac:dyDescent="0.3">
      <c r="B15" s="476"/>
      <c r="C15" s="476"/>
      <c r="D15" s="263" t="s">
        <v>1246</v>
      </c>
      <c r="E15" s="41" t="s">
        <v>1206</v>
      </c>
      <c r="F15" s="3">
        <f>'08-DIRECCIONAMIENTO'!Y65</f>
        <v>2601128.2132225633</v>
      </c>
      <c r="H15" s="15" t="s">
        <v>1251</v>
      </c>
      <c r="I15" s="122">
        <v>7804084.670003064</v>
      </c>
    </row>
    <row r="16" spans="2:10" x14ac:dyDescent="0.3">
      <c r="B16" s="477"/>
      <c r="C16" s="477"/>
      <c r="D16" s="263" t="s">
        <v>1247</v>
      </c>
      <c r="E16" s="41" t="s">
        <v>1207</v>
      </c>
      <c r="F16" s="3">
        <f>'08-DIRECCIONAMIENTO'!Y66</f>
        <v>2601128.2132225633</v>
      </c>
      <c r="H16" s="15" t="s">
        <v>1252</v>
      </c>
      <c r="I16" s="122">
        <v>13367580.460025214</v>
      </c>
    </row>
    <row r="17" spans="2:12" x14ac:dyDescent="0.3">
      <c r="B17" s="475" t="s">
        <v>1192</v>
      </c>
      <c r="C17" s="475" t="s">
        <v>1126</v>
      </c>
      <c r="D17" s="263" t="s">
        <v>1248</v>
      </c>
      <c r="E17" s="41" t="s">
        <v>1208</v>
      </c>
      <c r="F17" s="3">
        <f>'08-DIRECCIONAMIENTO'!Y67</f>
        <v>3575575.1143259695</v>
      </c>
      <c r="H17" s="15" t="s">
        <v>1255</v>
      </c>
      <c r="I17" s="122">
        <v>6085397.84986581</v>
      </c>
    </row>
    <row r="18" spans="2:12" x14ac:dyDescent="0.3">
      <c r="B18" s="476"/>
      <c r="C18" s="476"/>
      <c r="D18" s="263" t="s">
        <v>1249</v>
      </c>
      <c r="E18" s="41" t="s">
        <v>1209</v>
      </c>
      <c r="F18" s="3">
        <f>'08-DIRECCIONAMIENTO'!Y68</f>
        <v>3544760.8018259695</v>
      </c>
      <c r="H18" s="15" t="s">
        <v>1454</v>
      </c>
      <c r="I18" s="122">
        <v>7654888.1506297942</v>
      </c>
    </row>
    <row r="19" spans="2:12" x14ac:dyDescent="0.3">
      <c r="B19" s="476"/>
      <c r="C19" s="476"/>
      <c r="D19" s="263" t="s">
        <v>1250</v>
      </c>
      <c r="E19" s="41" t="s">
        <v>1210</v>
      </c>
      <c r="F19" s="3">
        <f>'08-DIRECCIONAMIENTO'!Y69</f>
        <v>3387389.4681473034</v>
      </c>
      <c r="H19" s="15" t="s">
        <v>1455</v>
      </c>
      <c r="I19" s="122">
        <v>6758690.7917459803</v>
      </c>
    </row>
    <row r="20" spans="2:12" x14ac:dyDescent="0.3">
      <c r="B20" s="476"/>
      <c r="C20" s="476"/>
      <c r="D20" s="263" t="s">
        <v>1251</v>
      </c>
      <c r="E20" s="41" t="s">
        <v>1240</v>
      </c>
      <c r="F20" s="3">
        <f>'08-DIRECCIONAMIENTO'!Y70</f>
        <v>7804084.670003064</v>
      </c>
      <c r="H20" s="15" t="s">
        <v>1935</v>
      </c>
      <c r="I20" s="122">
        <v>41670641.922269866</v>
      </c>
    </row>
    <row r="21" spans="2:12" x14ac:dyDescent="0.3">
      <c r="B21" s="476"/>
      <c r="C21" s="476"/>
      <c r="D21" s="263" t="s">
        <v>1252</v>
      </c>
      <c r="E21" s="41" t="s">
        <v>1178</v>
      </c>
      <c r="F21" s="3">
        <f>'08-DIRECCIONAMIENTO'!Y71</f>
        <v>13367580.460025214</v>
      </c>
    </row>
    <row r="22" spans="2:12" x14ac:dyDescent="0.3">
      <c r="B22" s="476"/>
      <c r="C22" s="476"/>
      <c r="D22" s="263" t="s">
        <v>1253</v>
      </c>
      <c r="E22" s="41" t="s">
        <v>1244</v>
      </c>
      <c r="F22" s="3">
        <f>'08-DIRECCIONAMIENTO'!Y72</f>
        <v>3575575.1143259695</v>
      </c>
    </row>
    <row r="23" spans="2:12" x14ac:dyDescent="0.3">
      <c r="B23" s="476"/>
      <c r="C23" s="476"/>
      <c r="D23" s="264" t="s">
        <v>1254</v>
      </c>
      <c r="E23" s="41" t="s">
        <v>1222</v>
      </c>
      <c r="F23" s="3">
        <f>'08-DIRECCIONAMIENTO'!Y73</f>
        <v>3849515.8855046364</v>
      </c>
    </row>
    <row r="24" spans="2:12" ht="12" customHeight="1" x14ac:dyDescent="0.3">
      <c r="B24" s="477"/>
      <c r="C24" s="477"/>
      <c r="D24" s="264" t="s">
        <v>1255</v>
      </c>
      <c r="E24" s="272" t="s">
        <v>1179</v>
      </c>
      <c r="F24" s="3">
        <f>'08-DIRECCIONAMIENTO'!Y74</f>
        <v>6085397.84986581</v>
      </c>
      <c r="I24" s="337"/>
      <c r="J24" s="338"/>
      <c r="K24" s="481"/>
      <c r="L24" s="482"/>
    </row>
    <row r="25" spans="2:12" ht="14.4" customHeight="1" x14ac:dyDescent="0.3">
      <c r="B25" s="475" t="s">
        <v>1193</v>
      </c>
      <c r="C25" s="475" t="s">
        <v>1280</v>
      </c>
      <c r="D25" s="264" t="s">
        <v>1256</v>
      </c>
      <c r="E25" s="41" t="s">
        <v>1211</v>
      </c>
      <c r="F25" s="3">
        <f>'08-DIRECCIONAMIENTO'!Y75</f>
        <v>1002872.281388889</v>
      </c>
      <c r="J25" s="1"/>
      <c r="K25" s="481"/>
      <c r="L25" s="482"/>
    </row>
    <row r="26" spans="2:12" x14ac:dyDescent="0.3">
      <c r="B26" s="476"/>
      <c r="C26" s="476"/>
      <c r="D26" s="264" t="s">
        <v>1257</v>
      </c>
      <c r="E26" s="41" t="s">
        <v>1212</v>
      </c>
      <c r="F26" s="3">
        <f>'08-DIRECCIONAMIENTO'!Y76</f>
        <v>1035383.8230555556</v>
      </c>
    </row>
    <row r="27" spans="2:12" x14ac:dyDescent="0.3">
      <c r="B27" s="476"/>
      <c r="C27" s="476"/>
      <c r="D27" s="264" t="s">
        <v>1258</v>
      </c>
      <c r="E27" s="41" t="s">
        <v>1213</v>
      </c>
      <c r="F27" s="3">
        <f>'08-DIRECCIONAMIENTO'!Y77</f>
        <v>1002872.281388889</v>
      </c>
    </row>
    <row r="28" spans="2:12" x14ac:dyDescent="0.3">
      <c r="B28" s="476"/>
      <c r="C28" s="476"/>
      <c r="D28" s="264" t="s">
        <v>1259</v>
      </c>
      <c r="E28" s="41" t="s">
        <v>1214</v>
      </c>
      <c r="F28" s="3">
        <f>'08-DIRECCIONAMIENTO'!Y78</f>
        <v>1035383.8230555556</v>
      </c>
    </row>
    <row r="29" spans="2:12" x14ac:dyDescent="0.3">
      <c r="B29" s="476"/>
      <c r="C29" s="476"/>
      <c r="D29" s="264" t="s">
        <v>1260</v>
      </c>
      <c r="E29" s="41" t="s">
        <v>1215</v>
      </c>
      <c r="F29" s="3">
        <f>'08-DIRECCIONAMIENTO'!Y79</f>
        <v>1066198.1355555556</v>
      </c>
    </row>
    <row r="30" spans="2:12" x14ac:dyDescent="0.3">
      <c r="B30" s="476"/>
      <c r="C30" s="476"/>
      <c r="D30" s="264" t="s">
        <v>1261</v>
      </c>
      <c r="E30" s="41" t="s">
        <v>1216</v>
      </c>
      <c r="F30" s="3">
        <f>'08-DIRECCIONAMIENTO'!Y80</f>
        <v>1033686.593888889</v>
      </c>
    </row>
    <row r="31" spans="2:12" x14ac:dyDescent="0.3">
      <c r="B31" s="476"/>
      <c r="C31" s="476"/>
      <c r="D31" s="264" t="s">
        <v>1262</v>
      </c>
      <c r="E31" s="41" t="s">
        <v>1217</v>
      </c>
      <c r="F31" s="122">
        <f>'08-DIRECCIONAMIENTO'!Y81</f>
        <v>2837576.1810929729</v>
      </c>
    </row>
    <row r="32" spans="2:12" x14ac:dyDescent="0.3">
      <c r="B32" s="476"/>
      <c r="C32" s="476"/>
      <c r="D32" s="264" t="s">
        <v>1263</v>
      </c>
      <c r="E32" s="41" t="s">
        <v>1243</v>
      </c>
      <c r="F32" s="122">
        <f>'08-DIRECCIONAMIENTO'!Y82</f>
        <v>2052615.0335329738</v>
      </c>
    </row>
    <row r="33" spans="2:6" x14ac:dyDescent="0.3">
      <c r="B33" s="476"/>
      <c r="C33" s="476"/>
      <c r="D33" s="264" t="s">
        <v>1264</v>
      </c>
      <c r="E33" s="41" t="s">
        <v>1223</v>
      </c>
      <c r="F33" s="122">
        <f>'08-DIRECCIONAMIENTO'!Y83</f>
        <v>1153650.4897222221</v>
      </c>
    </row>
    <row r="34" spans="2:6" x14ac:dyDescent="0.3">
      <c r="B34" s="477"/>
      <c r="C34" s="477"/>
      <c r="D34" s="264" t="s">
        <v>1265</v>
      </c>
      <c r="E34" s="41" t="s">
        <v>1224</v>
      </c>
      <c r="F34" s="122">
        <f>'08-DIRECCIONAMIENTO'!Y84</f>
        <v>1153650.4897222221</v>
      </c>
    </row>
    <row r="35" spans="2:6" x14ac:dyDescent="0.3">
      <c r="B35" s="475" t="s">
        <v>1194</v>
      </c>
      <c r="C35" s="475" t="s">
        <v>1188</v>
      </c>
      <c r="D35" s="264" t="s">
        <v>1266</v>
      </c>
      <c r="E35" s="41" t="s">
        <v>1218</v>
      </c>
      <c r="F35" s="122">
        <f>'08-DIRECCIONAMIENTO'!Y85</f>
        <v>1425915.1260329736</v>
      </c>
    </row>
    <row r="36" spans="2:6" x14ac:dyDescent="0.3">
      <c r="B36" s="476"/>
      <c r="C36" s="476"/>
      <c r="D36" s="264" t="s">
        <v>1267</v>
      </c>
      <c r="E36" s="41" t="s">
        <v>1219</v>
      </c>
      <c r="F36" s="122">
        <f>'08-DIRECCIONAMIENTO'!Y86</f>
        <v>408683.91555555555</v>
      </c>
    </row>
    <row r="37" spans="2:6" x14ac:dyDescent="0.3">
      <c r="B37" s="476"/>
      <c r="C37" s="476"/>
      <c r="D37" s="264" t="s">
        <v>1268</v>
      </c>
      <c r="E37" s="41" t="s">
        <v>1220</v>
      </c>
      <c r="F37" s="122">
        <f>'08-DIRECCIONAMIENTO'!Y87</f>
        <v>1885896.7035729738</v>
      </c>
    </row>
    <row r="38" spans="2:6" x14ac:dyDescent="0.3">
      <c r="B38" s="476"/>
      <c r="C38" s="476"/>
      <c r="D38" s="264" t="s">
        <v>1269</v>
      </c>
      <c r="E38" s="41" t="s">
        <v>1221</v>
      </c>
      <c r="F38" s="122">
        <f>'08-DIRECCIONAMIENTO'!Y88</f>
        <v>1100935.5560129734</v>
      </c>
    </row>
    <row r="39" spans="2:6" x14ac:dyDescent="0.3">
      <c r="B39" s="476"/>
      <c r="C39" s="476"/>
      <c r="D39" s="264" t="s">
        <v>1270</v>
      </c>
      <c r="E39" s="41" t="s">
        <v>1242</v>
      </c>
      <c r="F39" s="122">
        <f>'08-DIRECCIONAMIENTO'!Y89</f>
        <v>2597070.8269635602</v>
      </c>
    </row>
    <row r="40" spans="2:6" ht="14.4" customHeight="1" x14ac:dyDescent="0.3">
      <c r="B40" s="478" t="s">
        <v>1418</v>
      </c>
      <c r="C40" s="478" t="s">
        <v>1225</v>
      </c>
      <c r="D40" s="264" t="s">
        <v>1454</v>
      </c>
      <c r="E40" s="41" t="s">
        <v>1226</v>
      </c>
      <c r="F40" s="122">
        <f>'08-DIRECCIONAMIENTO'!Y90</f>
        <v>7654888.1506297942</v>
      </c>
    </row>
    <row r="41" spans="2:6" x14ac:dyDescent="0.3">
      <c r="B41" s="478"/>
      <c r="C41" s="478"/>
      <c r="D41" s="264" t="s">
        <v>1455</v>
      </c>
      <c r="E41" s="41" t="s">
        <v>1227</v>
      </c>
      <c r="F41" s="122">
        <f>'08-DIRECCIONAMIENTO'!Y91</f>
        <v>6758690.7917459803</v>
      </c>
    </row>
    <row r="42" spans="2:6" x14ac:dyDescent="0.3">
      <c r="B42" s="478"/>
      <c r="C42" s="478"/>
      <c r="D42" s="263" t="s">
        <v>1271</v>
      </c>
      <c r="E42" s="41" t="s">
        <v>1228</v>
      </c>
      <c r="F42" s="346">
        <f>'08-DIRECCIONAMIENTO'!Y92</f>
        <v>3435486.8813708699</v>
      </c>
    </row>
    <row r="43" spans="2:6" x14ac:dyDescent="0.3">
      <c r="E43" s="252" t="s">
        <v>1915</v>
      </c>
      <c r="F43" s="345">
        <f>SUM(F3:F41)</f>
        <v>111968946.42342912</v>
      </c>
    </row>
    <row r="44" spans="2:6" x14ac:dyDescent="0.3">
      <c r="E44" s="252" t="s">
        <v>1972</v>
      </c>
      <c r="F44" s="345">
        <f>+F43+F42</f>
        <v>115404433.30479999</v>
      </c>
    </row>
    <row r="45" spans="2:6" x14ac:dyDescent="0.3">
      <c r="F45" s="1"/>
    </row>
  </sheetData>
  <mergeCells count="16">
    <mergeCell ref="K24:K25"/>
    <mergeCell ref="L24:L25"/>
    <mergeCell ref="B40:B42"/>
    <mergeCell ref="C40:C42"/>
    <mergeCell ref="B3:B13"/>
    <mergeCell ref="C3:C13"/>
    <mergeCell ref="B14:B16"/>
    <mergeCell ref="C14:C16"/>
    <mergeCell ref="B17:B24"/>
    <mergeCell ref="C17:C24"/>
    <mergeCell ref="H2:J2"/>
    <mergeCell ref="H13:I13"/>
    <mergeCell ref="B25:B34"/>
    <mergeCell ref="C25:C34"/>
    <mergeCell ref="B35:B39"/>
    <mergeCell ref="C35:C39"/>
  </mergeCell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0CFB-0B23-4297-85A3-60CC82E0B2CD}">
  <dimension ref="A1:X1380"/>
  <sheetViews>
    <sheetView showGridLines="0" showRowColHeaders="0" zoomScale="145" zoomScaleNormal="145" workbookViewId="0">
      <selection activeCell="O7" sqref="O7"/>
    </sheetView>
  </sheetViews>
  <sheetFormatPr baseColWidth="10" defaultRowHeight="14.4" x14ac:dyDescent="0.3"/>
  <cols>
    <col min="1" max="1" width="20.33203125" customWidth="1"/>
    <col min="2" max="2" width="31.88671875" style="14" customWidth="1"/>
    <col min="3" max="4" width="18.109375" hidden="1" customWidth="1"/>
    <col min="5" max="5" width="24.6640625" style="1" customWidth="1"/>
    <col min="6" max="6" width="24.5546875" style="1" bestFit="1" customWidth="1"/>
    <col min="7" max="7" width="18" style="357" customWidth="1"/>
    <col min="8" max="10" width="20.77734375" style="1" customWidth="1"/>
    <col min="11" max="11" width="23.109375" style="257" bestFit="1" customWidth="1"/>
    <col min="12" max="12" width="21.77734375" style="257" bestFit="1" customWidth="1"/>
    <col min="13" max="13" width="17.44140625" style="1" customWidth="1"/>
    <col min="14" max="14" width="26.44140625" style="1" customWidth="1"/>
    <col min="15" max="15" width="19.109375" style="1" customWidth="1"/>
    <col min="16" max="16" width="17.77734375" style="1" customWidth="1"/>
    <col min="17" max="18" width="22.21875" style="1" customWidth="1"/>
    <col min="19" max="19" width="12.33203125" bestFit="1" customWidth="1"/>
    <col min="21" max="21" width="17.109375" bestFit="1" customWidth="1"/>
    <col min="22" max="22" width="37.6640625" bestFit="1" customWidth="1"/>
    <col min="23" max="23" width="22.44140625" bestFit="1" customWidth="1"/>
    <col min="24" max="24" width="14.109375" bestFit="1" customWidth="1"/>
    <col min="25" max="25" width="11.44140625" bestFit="1" customWidth="1"/>
    <col min="26" max="27" width="14.109375" bestFit="1" customWidth="1"/>
    <col min="28" max="28" width="11.44140625" bestFit="1" customWidth="1"/>
    <col min="29" max="33" width="14.109375" bestFit="1" customWidth="1"/>
    <col min="34" max="34" width="11.44140625" bestFit="1" customWidth="1"/>
    <col min="35" max="36" width="14.109375" bestFit="1" customWidth="1"/>
    <col min="37" max="40" width="12.5546875" bestFit="1" customWidth="1"/>
    <col min="41" max="41" width="11.88671875" bestFit="1" customWidth="1"/>
    <col min="42" max="44" width="12.5546875" bestFit="1" customWidth="1"/>
    <col min="45" max="45" width="11.44140625" bestFit="1" customWidth="1"/>
    <col min="46" max="46" width="12.5546875" bestFit="1" customWidth="1"/>
    <col min="47" max="47" width="11.88671875" bestFit="1" customWidth="1"/>
    <col min="48" max="50" width="12.5546875" bestFit="1" customWidth="1"/>
    <col min="51" max="51" width="11.88671875" bestFit="1" customWidth="1"/>
    <col min="52" max="52" width="11.44140625" bestFit="1" customWidth="1"/>
    <col min="53" max="53" width="12.5546875" bestFit="1" customWidth="1"/>
    <col min="54" max="54" width="11.88671875" bestFit="1" customWidth="1"/>
    <col min="55" max="55" width="12.5546875" bestFit="1" customWidth="1"/>
    <col min="56" max="58" width="11.88671875" bestFit="1" customWidth="1"/>
    <col min="59" max="61" width="12.5546875" bestFit="1" customWidth="1"/>
    <col min="62" max="64" width="11.88671875" bestFit="1" customWidth="1"/>
    <col min="65" max="65" width="13.44140625" bestFit="1" customWidth="1"/>
    <col min="66" max="66" width="11.88671875" bestFit="1" customWidth="1"/>
    <col min="67" max="68" width="12.5546875" bestFit="1" customWidth="1"/>
    <col min="69" max="69" width="11.44140625" bestFit="1" customWidth="1"/>
    <col min="70" max="70" width="12.5546875" bestFit="1" customWidth="1"/>
    <col min="71" max="71" width="11.88671875" bestFit="1" customWidth="1"/>
    <col min="72" max="72" width="13.44140625" bestFit="1" customWidth="1"/>
    <col min="73" max="75" width="11.88671875" bestFit="1" customWidth="1"/>
    <col min="76" max="76" width="9.77734375" bestFit="1" customWidth="1"/>
    <col min="77" max="79" width="11.88671875" bestFit="1" customWidth="1"/>
    <col min="80" max="82" width="12.5546875" bestFit="1" customWidth="1"/>
    <col min="83" max="83" width="13.44140625" bestFit="1" customWidth="1"/>
    <col min="84" max="86" width="11.88671875" bestFit="1" customWidth="1"/>
    <col min="87" max="87" width="13.44140625" bestFit="1" customWidth="1"/>
    <col min="88" max="88" width="9.77734375" bestFit="1" customWidth="1"/>
    <col min="89" max="89" width="12.5546875" bestFit="1" customWidth="1"/>
    <col min="90" max="90" width="11.44140625" bestFit="1" customWidth="1"/>
    <col min="91" max="91" width="13.44140625" bestFit="1" customWidth="1"/>
    <col min="92" max="92" width="11.44140625" bestFit="1" customWidth="1"/>
    <col min="93" max="93" width="13.44140625" bestFit="1" customWidth="1"/>
    <col min="94" max="94" width="12.5546875" bestFit="1" customWidth="1"/>
    <col min="95" max="95" width="11.44140625" bestFit="1" customWidth="1"/>
    <col min="96" max="96" width="7.77734375" bestFit="1" customWidth="1"/>
    <col min="97" max="98" width="11.88671875" bestFit="1" customWidth="1"/>
    <col min="99" max="99" width="13.44140625" bestFit="1" customWidth="1"/>
    <col min="100" max="100" width="11.44140625" bestFit="1" customWidth="1"/>
    <col min="101" max="101" width="11.88671875" bestFit="1" customWidth="1"/>
    <col min="102" max="102" width="12.5546875" bestFit="1" customWidth="1"/>
    <col min="103" max="103" width="13.44140625" bestFit="1" customWidth="1"/>
    <col min="104" max="105" width="11.88671875" bestFit="1" customWidth="1"/>
    <col min="106" max="107" width="11.44140625" bestFit="1" customWidth="1"/>
    <col min="108" max="108" width="11.88671875" bestFit="1" customWidth="1"/>
    <col min="109" max="111" width="11.44140625" bestFit="1" customWidth="1"/>
    <col min="112" max="112" width="10.77734375" bestFit="1" customWidth="1"/>
    <col min="113" max="115" width="13.44140625" bestFit="1" customWidth="1"/>
    <col min="116" max="116" width="10.77734375" bestFit="1" customWidth="1"/>
    <col min="117" max="117" width="13.44140625" bestFit="1" customWidth="1"/>
    <col min="118" max="118" width="10.77734375" bestFit="1" customWidth="1"/>
    <col min="119" max="120" width="13.44140625" bestFit="1" customWidth="1"/>
    <col min="121" max="123" width="11.88671875" bestFit="1" customWidth="1"/>
    <col min="124" max="124" width="10.77734375" bestFit="1" customWidth="1"/>
    <col min="125" max="125" width="11.44140625" bestFit="1" customWidth="1"/>
    <col min="126" max="126" width="12.5546875" bestFit="1" customWidth="1"/>
    <col min="127" max="127" width="13.44140625" bestFit="1" customWidth="1"/>
    <col min="128" max="128" width="12.5546875" bestFit="1" customWidth="1"/>
    <col min="129" max="129" width="11.88671875" bestFit="1" customWidth="1"/>
    <col min="130" max="130" width="11.44140625" bestFit="1" customWidth="1"/>
    <col min="131" max="131" width="12.5546875" bestFit="1" customWidth="1"/>
    <col min="132" max="132" width="11.44140625" bestFit="1" customWidth="1"/>
    <col min="133" max="133" width="11.88671875" bestFit="1" customWidth="1"/>
    <col min="134" max="135" width="13.44140625" bestFit="1" customWidth="1"/>
    <col min="136" max="136" width="11.88671875" bestFit="1" customWidth="1"/>
    <col min="137" max="137" width="11.44140625" bestFit="1" customWidth="1"/>
    <col min="138" max="138" width="13.44140625" bestFit="1" customWidth="1"/>
    <col min="139" max="139" width="10.77734375" bestFit="1" customWidth="1"/>
    <col min="140" max="140" width="13.44140625" bestFit="1" customWidth="1"/>
    <col min="141" max="142" width="11.88671875" bestFit="1" customWidth="1"/>
    <col min="143" max="144" width="11.44140625" bestFit="1" customWidth="1"/>
    <col min="145" max="145" width="10.77734375" bestFit="1" customWidth="1"/>
    <col min="146" max="147" width="13.44140625" bestFit="1" customWidth="1"/>
    <col min="148" max="148" width="11.44140625" bestFit="1" customWidth="1"/>
    <col min="149" max="149" width="11.88671875" bestFit="1" customWidth="1"/>
    <col min="150" max="151" width="11.44140625" bestFit="1" customWidth="1"/>
    <col min="152" max="152" width="11.88671875" bestFit="1" customWidth="1"/>
    <col min="153" max="153" width="12.5546875" bestFit="1" customWidth="1"/>
    <col min="154" max="154" width="11.44140625" bestFit="1" customWidth="1"/>
    <col min="155" max="155" width="13.44140625" bestFit="1" customWidth="1"/>
    <col min="156" max="157" width="11.88671875" bestFit="1" customWidth="1"/>
    <col min="158" max="158" width="10.77734375" bestFit="1" customWidth="1"/>
    <col min="159" max="159" width="11.44140625" bestFit="1" customWidth="1"/>
    <col min="160" max="160" width="11.88671875" bestFit="1" customWidth="1"/>
    <col min="161" max="161" width="12.5546875" bestFit="1" customWidth="1"/>
    <col min="162" max="162" width="11.88671875" bestFit="1" customWidth="1"/>
    <col min="163" max="163" width="11.44140625" bestFit="1" customWidth="1"/>
    <col min="164" max="164" width="10.77734375" bestFit="1" customWidth="1"/>
    <col min="165" max="165" width="13.44140625" bestFit="1" customWidth="1"/>
    <col min="166" max="166" width="11.88671875" bestFit="1" customWidth="1"/>
    <col min="167" max="169" width="13.44140625" bestFit="1" customWidth="1"/>
    <col min="170" max="170" width="11.44140625" bestFit="1" customWidth="1"/>
    <col min="171" max="171" width="11.88671875" bestFit="1" customWidth="1"/>
    <col min="172" max="172" width="12.5546875" bestFit="1" customWidth="1"/>
    <col min="173" max="173" width="11.44140625" bestFit="1" customWidth="1"/>
    <col min="174" max="175" width="13.44140625" bestFit="1" customWidth="1"/>
    <col min="176" max="176" width="11.44140625" bestFit="1" customWidth="1"/>
    <col min="177" max="177" width="10.44140625" bestFit="1" customWidth="1"/>
    <col min="178" max="178" width="9.77734375" bestFit="1" customWidth="1"/>
    <col min="179" max="179" width="10.77734375" bestFit="1" customWidth="1"/>
    <col min="180" max="180" width="11.88671875" bestFit="1" customWidth="1"/>
    <col min="181" max="181" width="10.77734375" bestFit="1" customWidth="1"/>
    <col min="182" max="182" width="11.44140625" bestFit="1" customWidth="1"/>
    <col min="183" max="183" width="11.88671875" bestFit="1" customWidth="1"/>
    <col min="184" max="185" width="10.77734375" bestFit="1" customWidth="1"/>
    <col min="186" max="186" width="11.44140625" bestFit="1" customWidth="1"/>
    <col min="187" max="187" width="12.5546875" bestFit="1" customWidth="1"/>
    <col min="188" max="191" width="13.44140625" bestFit="1" customWidth="1"/>
    <col min="192" max="192" width="12.5546875" bestFit="1" customWidth="1"/>
    <col min="193" max="193" width="13.44140625" bestFit="1" customWidth="1"/>
    <col min="194" max="194" width="11.88671875" bestFit="1" customWidth="1"/>
    <col min="195" max="195" width="11.44140625" bestFit="1" customWidth="1"/>
    <col min="196" max="196" width="13.44140625" bestFit="1" customWidth="1"/>
    <col min="197" max="198" width="11.88671875" bestFit="1" customWidth="1"/>
    <col min="199" max="199" width="11.44140625" bestFit="1" customWidth="1"/>
    <col min="200" max="200" width="13.44140625" bestFit="1" customWidth="1"/>
    <col min="201" max="201" width="12.5546875" bestFit="1" customWidth="1"/>
    <col min="202" max="202" width="14.44140625" bestFit="1" customWidth="1"/>
    <col min="203" max="203" width="13.44140625" bestFit="1" customWidth="1"/>
    <col min="204" max="204" width="10.77734375" bestFit="1" customWidth="1"/>
    <col min="205" max="205" width="11.88671875" bestFit="1" customWidth="1"/>
    <col min="206" max="206" width="13.44140625" bestFit="1" customWidth="1"/>
    <col min="207" max="207" width="11.88671875" bestFit="1" customWidth="1"/>
    <col min="208" max="208" width="13.44140625" bestFit="1" customWidth="1"/>
    <col min="209" max="209" width="10.77734375" bestFit="1" customWidth="1"/>
    <col min="210" max="210" width="11.88671875" bestFit="1" customWidth="1"/>
    <col min="211" max="214" width="13.44140625" bestFit="1" customWidth="1"/>
    <col min="215" max="215" width="15.109375" bestFit="1" customWidth="1"/>
  </cols>
  <sheetData>
    <row r="1" spans="1:22" ht="18" x14ac:dyDescent="0.3">
      <c r="A1" s="483" t="s">
        <v>1914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347"/>
      <c r="R1" s="347"/>
    </row>
    <row r="2" spans="1:22" ht="18" x14ac:dyDescent="0.3">
      <c r="A2" s="485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347"/>
      <c r="R2" s="347"/>
    </row>
    <row r="3" spans="1:22" s="1" customFormat="1" ht="43.2" x14ac:dyDescent="0.3">
      <c r="A3" s="323" t="s">
        <v>1183</v>
      </c>
      <c r="B3" s="243" t="s">
        <v>1184</v>
      </c>
      <c r="C3" s="243" t="s">
        <v>1182</v>
      </c>
      <c r="D3" s="243" t="s">
        <v>1174</v>
      </c>
      <c r="E3" s="245" t="s">
        <v>1175</v>
      </c>
      <c r="F3" s="245" t="s">
        <v>1458</v>
      </c>
      <c r="G3" s="356" t="s">
        <v>1913</v>
      </c>
      <c r="H3" s="298" t="s">
        <v>1931</v>
      </c>
      <c r="I3" s="255" t="s">
        <v>1936</v>
      </c>
      <c r="J3" s="255" t="s">
        <v>1937</v>
      </c>
      <c r="K3" s="258" t="s">
        <v>1938</v>
      </c>
      <c r="L3" s="258" t="s">
        <v>1572</v>
      </c>
      <c r="M3" s="17" t="s">
        <v>1573</v>
      </c>
      <c r="N3" s="255" t="s">
        <v>1939</v>
      </c>
      <c r="O3" s="255" t="s">
        <v>1930</v>
      </c>
      <c r="P3" s="255" t="s">
        <v>1940</v>
      </c>
      <c r="Q3" s="255" t="s">
        <v>1974</v>
      </c>
      <c r="R3" s="255" t="s">
        <v>1975</v>
      </c>
    </row>
    <row r="4" spans="1:22" x14ac:dyDescent="0.3">
      <c r="A4" s="2">
        <v>1</v>
      </c>
      <c r="B4" s="41" t="s">
        <v>1586</v>
      </c>
      <c r="C4" s="2">
        <v>1</v>
      </c>
      <c r="D4" s="2" t="s">
        <v>3</v>
      </c>
      <c r="E4" s="294">
        <v>240000</v>
      </c>
      <c r="F4" s="296">
        <v>256666.66666666666</v>
      </c>
      <c r="G4" s="352">
        <v>0</v>
      </c>
      <c r="H4" s="296">
        <f t="shared" ref="H4:H67" si="0">E4*G4</f>
        <v>0</v>
      </c>
      <c r="I4" s="122">
        <f t="shared" ref="I4:I67" si="1">F4*G4</f>
        <v>0</v>
      </c>
      <c r="J4" s="331">
        <f t="shared" ref="J4:J67" si="2">I4-H4</f>
        <v>0</v>
      </c>
      <c r="K4" s="292">
        <f>'09-RESUMEN'!$F$43/1375</f>
        <v>81431.961035221175</v>
      </c>
      <c r="L4" s="122">
        <f>('ESTADO RESULTADOS'!$C$36+'ESTADO RESULTADOS'!$C$71)/1375</f>
        <v>24762.287272727273</v>
      </c>
      <c r="M4" s="122">
        <v>0</v>
      </c>
      <c r="N4" s="122">
        <f>SUM(E4+K4+L4+M4)</f>
        <v>346194.24830794847</v>
      </c>
      <c r="O4" s="122">
        <f>N4</f>
        <v>346194.24830794847</v>
      </c>
      <c r="P4" s="336">
        <f>O4*G4</f>
        <v>0</v>
      </c>
      <c r="Q4" s="336">
        <f>O4-E4</f>
        <v>106194.24830794847</v>
      </c>
      <c r="R4" s="303">
        <f>Q4/E4</f>
        <v>0.44247603461645196</v>
      </c>
    </row>
    <row r="5" spans="1:22" x14ac:dyDescent="0.3">
      <c r="A5" s="2">
        <v>2</v>
      </c>
      <c r="B5" s="41" t="s">
        <v>2</v>
      </c>
      <c r="C5" s="2">
        <v>1</v>
      </c>
      <c r="D5" s="2" t="s">
        <v>3</v>
      </c>
      <c r="E5" s="294">
        <v>240000</v>
      </c>
      <c r="F5" s="296">
        <v>248166.66666666666</v>
      </c>
      <c r="G5" s="352">
        <v>9.5</v>
      </c>
      <c r="H5" s="296">
        <f>E5*G5</f>
        <v>2280000</v>
      </c>
      <c r="I5" s="122">
        <f>F5*G5</f>
        <v>2357583.333333333</v>
      </c>
      <c r="J5" s="331">
        <f>I5-H5</f>
        <v>77583.333333333023</v>
      </c>
      <c r="K5" s="292">
        <f>'09-RESUMEN'!$F$43/1375</f>
        <v>81431.961035221175</v>
      </c>
      <c r="L5" s="122">
        <f>('ESTADO RESULTADOS'!$C$36+'ESTADO RESULTADOS'!$C$71)/1375</f>
        <v>24762.287272727273</v>
      </c>
      <c r="M5" s="122">
        <v>0</v>
      </c>
      <c r="N5" s="122">
        <f t="shared" ref="N5:N42" si="3">SUM(H5+K5+L5+M5)</f>
        <v>2386194.2483079485</v>
      </c>
      <c r="O5" s="351">
        <f t="shared" ref="O5:O42" si="4">N5/G5</f>
        <v>251178.34192715248</v>
      </c>
      <c r="P5" s="336">
        <f>I5-N5</f>
        <v>-28610.914974615443</v>
      </c>
      <c r="Q5" s="336">
        <f t="shared" ref="Q5:Q68" si="5">O5-E5</f>
        <v>11178.341927152476</v>
      </c>
      <c r="R5" s="303">
        <f t="shared" ref="R5:R68" si="6">Q5/E5</f>
        <v>4.6576424696468652E-2</v>
      </c>
      <c r="S5" s="4"/>
    </row>
    <row r="6" spans="1:22" x14ac:dyDescent="0.3">
      <c r="A6" s="2">
        <v>3</v>
      </c>
      <c r="B6" s="41" t="s">
        <v>4</v>
      </c>
      <c r="C6" s="2">
        <v>1</v>
      </c>
      <c r="D6" s="2" t="s">
        <v>5</v>
      </c>
      <c r="E6" s="321">
        <v>4900</v>
      </c>
      <c r="F6" s="322">
        <v>6000</v>
      </c>
      <c r="G6" s="353">
        <v>238</v>
      </c>
      <c r="H6" s="322">
        <f t="shared" si="0"/>
        <v>1166200</v>
      </c>
      <c r="I6" s="122">
        <f t="shared" si="1"/>
        <v>1428000</v>
      </c>
      <c r="J6" s="331">
        <f t="shared" si="2"/>
        <v>261800</v>
      </c>
      <c r="K6" s="292">
        <f>'09-RESUMEN'!$F$43/1375+('09-RESUMEN'!$F$42/17)</f>
        <v>283519.42464527232</v>
      </c>
      <c r="L6" s="122">
        <f>('ESTADO RESULTADOS'!$C$36+'ESTADO RESULTADOS'!$C$71)/1375</f>
        <v>24762.287272727273</v>
      </c>
      <c r="M6" s="122">
        <f>'ESTADO RESULTADOS'!$C$37/17</f>
        <v>106174.11764705883</v>
      </c>
      <c r="N6" s="122">
        <f t="shared" si="3"/>
        <v>1580655.8295650585</v>
      </c>
      <c r="O6" s="122">
        <f t="shared" si="4"/>
        <v>6641.4110485926822</v>
      </c>
      <c r="P6" s="336">
        <f t="shared" ref="P6:P68" si="7">I6-N6</f>
        <v>-152655.82956505846</v>
      </c>
      <c r="Q6" s="336">
        <f t="shared" si="5"/>
        <v>1741.4110485926822</v>
      </c>
      <c r="R6" s="303">
        <f t="shared" si="6"/>
        <v>0.35539000991687392</v>
      </c>
      <c r="U6" s="487" t="s">
        <v>1964</v>
      </c>
      <c r="V6" s="487"/>
    </row>
    <row r="7" spans="1:22" x14ac:dyDescent="0.3">
      <c r="A7" s="2">
        <v>4</v>
      </c>
      <c r="B7" s="41" t="s">
        <v>6</v>
      </c>
      <c r="C7" s="2">
        <v>1</v>
      </c>
      <c r="D7" s="2" t="s">
        <v>3</v>
      </c>
      <c r="E7" s="321">
        <v>200000</v>
      </c>
      <c r="F7" s="322">
        <v>204000</v>
      </c>
      <c r="G7" s="353">
        <v>10</v>
      </c>
      <c r="H7" s="322">
        <f t="shared" si="0"/>
        <v>2000000</v>
      </c>
      <c r="I7" s="122">
        <f t="shared" si="1"/>
        <v>2040000</v>
      </c>
      <c r="J7" s="331">
        <f t="shared" si="2"/>
        <v>40000</v>
      </c>
      <c r="K7" s="292">
        <f>'09-RESUMEN'!$F$43/1375</f>
        <v>81431.961035221175</v>
      </c>
      <c r="L7" s="122">
        <f>('ESTADO RESULTADOS'!$C$36+'ESTADO RESULTADOS'!$C$71)/1375</f>
        <v>24762.287272727273</v>
      </c>
      <c r="M7" s="122">
        <v>0</v>
      </c>
      <c r="N7" s="122">
        <f t="shared" si="3"/>
        <v>2106194.2483079485</v>
      </c>
      <c r="O7" s="122">
        <f t="shared" si="4"/>
        <v>210619.42483079486</v>
      </c>
      <c r="P7" s="336">
        <f t="shared" si="7"/>
        <v>-66194.248307948466</v>
      </c>
      <c r="Q7" s="336">
        <f t="shared" si="5"/>
        <v>10619.424830794858</v>
      </c>
      <c r="R7" s="303">
        <f t="shared" si="6"/>
        <v>5.3097124153974294E-2</v>
      </c>
      <c r="U7" s="332" t="s">
        <v>1182</v>
      </c>
      <c r="V7" s="2" t="s">
        <v>1964</v>
      </c>
    </row>
    <row r="8" spans="1:22" x14ac:dyDescent="0.3">
      <c r="A8" s="2">
        <v>5</v>
      </c>
      <c r="B8" s="41" t="s">
        <v>7</v>
      </c>
      <c r="C8" s="2">
        <v>1</v>
      </c>
      <c r="D8" s="2" t="s">
        <v>5</v>
      </c>
      <c r="E8" s="321">
        <v>4100</v>
      </c>
      <c r="F8" s="322">
        <v>5000</v>
      </c>
      <c r="G8" s="353">
        <v>287</v>
      </c>
      <c r="H8" s="322">
        <f t="shared" si="0"/>
        <v>1176700</v>
      </c>
      <c r="I8" s="122">
        <f t="shared" si="1"/>
        <v>1435000</v>
      </c>
      <c r="J8" s="331">
        <f t="shared" si="2"/>
        <v>258300</v>
      </c>
      <c r="K8" s="292">
        <f>'09-RESUMEN'!$F$43/1375+('09-RESUMEN'!$F$42/17)</f>
        <v>283519.42464527232</v>
      </c>
      <c r="L8" s="122">
        <f>('ESTADO RESULTADOS'!$C$36+'ESTADO RESULTADOS'!$C$71)/1375</f>
        <v>24762.287272727273</v>
      </c>
      <c r="M8" s="122">
        <f>'ESTADO RESULTADOS'!$C$37/17</f>
        <v>106174.11764705883</v>
      </c>
      <c r="N8" s="122">
        <f t="shared" si="3"/>
        <v>1591155.8295650585</v>
      </c>
      <c r="O8" s="122">
        <f t="shared" si="4"/>
        <v>5544.0969671256389</v>
      </c>
      <c r="P8" s="336">
        <f t="shared" si="7"/>
        <v>-156155.82956505846</v>
      </c>
      <c r="Q8" s="336">
        <f t="shared" si="5"/>
        <v>1444.0969671256389</v>
      </c>
      <c r="R8" s="303">
        <f t="shared" si="6"/>
        <v>0.35221877246966804</v>
      </c>
      <c r="U8" s="2">
        <v>1</v>
      </c>
      <c r="V8" s="3">
        <v>23835310.072077308</v>
      </c>
    </row>
    <row r="9" spans="1:22" x14ac:dyDescent="0.3">
      <c r="A9" s="2">
        <v>6</v>
      </c>
      <c r="B9" s="41" t="s">
        <v>8</v>
      </c>
      <c r="C9" s="2">
        <v>5</v>
      </c>
      <c r="D9" s="2" t="s">
        <v>5</v>
      </c>
      <c r="E9" s="294">
        <v>13400</v>
      </c>
      <c r="F9" s="296">
        <v>16200</v>
      </c>
      <c r="G9" s="352">
        <v>48</v>
      </c>
      <c r="H9" s="296">
        <f t="shared" si="0"/>
        <v>643200</v>
      </c>
      <c r="I9" s="122">
        <f t="shared" si="1"/>
        <v>777600</v>
      </c>
      <c r="J9" s="331">
        <f t="shared" si="2"/>
        <v>134400</v>
      </c>
      <c r="K9" s="292">
        <f>'09-RESUMEN'!$F$43/1375</f>
        <v>81431.961035221175</v>
      </c>
      <c r="L9" s="122">
        <f>('ESTADO RESULTADOS'!$C$36+'ESTADO RESULTADOS'!$C$71)/1375</f>
        <v>24762.287272727273</v>
      </c>
      <c r="M9" s="122">
        <v>0</v>
      </c>
      <c r="N9" s="122">
        <f t="shared" si="3"/>
        <v>749394.24830794835</v>
      </c>
      <c r="O9" s="122">
        <f t="shared" si="4"/>
        <v>15612.380173082258</v>
      </c>
      <c r="P9" s="336">
        <f t="shared" si="7"/>
        <v>28205.75169205165</v>
      </c>
      <c r="Q9" s="336">
        <f t="shared" si="5"/>
        <v>2212.3801730822579</v>
      </c>
      <c r="R9" s="303">
        <f t="shared" si="6"/>
        <v>0.16510299799121328</v>
      </c>
      <c r="U9" s="2">
        <v>2</v>
      </c>
      <c r="V9" s="3">
        <v>67866537.297520265</v>
      </c>
    </row>
    <row r="10" spans="1:22" x14ac:dyDescent="0.3">
      <c r="A10" s="2">
        <v>7</v>
      </c>
      <c r="B10" s="41" t="s">
        <v>9</v>
      </c>
      <c r="C10" s="2">
        <v>2</v>
      </c>
      <c r="D10" s="2" t="s">
        <v>10</v>
      </c>
      <c r="E10" s="294">
        <v>95440</v>
      </c>
      <c r="F10" s="296">
        <v>101000</v>
      </c>
      <c r="G10" s="352">
        <v>534.5</v>
      </c>
      <c r="H10" s="296">
        <f t="shared" si="0"/>
        <v>51012680</v>
      </c>
      <c r="I10" s="122">
        <f t="shared" si="1"/>
        <v>53984500</v>
      </c>
      <c r="J10" s="331">
        <f t="shared" si="2"/>
        <v>2971820</v>
      </c>
      <c r="K10" s="292">
        <f>'09-RESUMEN'!$F$43/1375</f>
        <v>81431.961035221175</v>
      </c>
      <c r="L10" s="122">
        <f>('ESTADO RESULTADOS'!$C$36+'ESTADO RESULTADOS'!$C$71)/1375</f>
        <v>24762.287272727273</v>
      </c>
      <c r="M10" s="122">
        <v>0</v>
      </c>
      <c r="N10" s="122">
        <f t="shared" si="3"/>
        <v>51118874.248307951</v>
      </c>
      <c r="O10" s="122">
        <f t="shared" si="4"/>
        <v>95638.679603943776</v>
      </c>
      <c r="P10" s="336">
        <f t="shared" si="7"/>
        <v>2865625.7516920492</v>
      </c>
      <c r="Q10" s="336">
        <f t="shared" si="5"/>
        <v>198.67960394377587</v>
      </c>
      <c r="R10" s="303">
        <f t="shared" si="6"/>
        <v>2.0817225895198646E-3</v>
      </c>
      <c r="U10" s="2">
        <v>4</v>
      </c>
      <c r="V10" s="3">
        <v>-150927.81981357009</v>
      </c>
    </row>
    <row r="11" spans="1:22" x14ac:dyDescent="0.3">
      <c r="A11" s="2">
        <v>8</v>
      </c>
      <c r="B11" s="41" t="s">
        <v>11</v>
      </c>
      <c r="C11" s="2">
        <v>12</v>
      </c>
      <c r="D11" s="2" t="s">
        <v>12</v>
      </c>
      <c r="E11" s="294">
        <v>13499.36</v>
      </c>
      <c r="F11" s="296">
        <v>16000</v>
      </c>
      <c r="G11" s="352">
        <v>11</v>
      </c>
      <c r="H11" s="296">
        <f t="shared" si="0"/>
        <v>148492.96000000002</v>
      </c>
      <c r="I11" s="122">
        <f t="shared" si="1"/>
        <v>176000</v>
      </c>
      <c r="J11" s="331">
        <f t="shared" si="2"/>
        <v>27507.039999999979</v>
      </c>
      <c r="K11" s="292">
        <f>'09-RESUMEN'!$F$43/1375</f>
        <v>81431.961035221175</v>
      </c>
      <c r="L11" s="122">
        <f>('ESTADO RESULTADOS'!$C$36+'ESTADO RESULTADOS'!$C$71)/1375</f>
        <v>24762.287272727273</v>
      </c>
      <c r="M11" s="122">
        <v>0</v>
      </c>
      <c r="N11" s="122">
        <f t="shared" si="3"/>
        <v>254687.20830794846</v>
      </c>
      <c r="O11" s="122">
        <f t="shared" si="4"/>
        <v>23153.382573449861</v>
      </c>
      <c r="P11" s="336">
        <f t="shared" si="7"/>
        <v>-78687.208307948458</v>
      </c>
      <c r="Q11" s="336">
        <f t="shared" si="5"/>
        <v>9654.0225734498599</v>
      </c>
      <c r="R11" s="303">
        <f t="shared" si="6"/>
        <v>0.71514668646882962</v>
      </c>
      <c r="U11" s="2">
        <v>5</v>
      </c>
      <c r="V11" s="3">
        <v>12465665.535306443</v>
      </c>
    </row>
    <row r="12" spans="1:22" x14ac:dyDescent="0.3">
      <c r="A12" s="2">
        <v>9</v>
      </c>
      <c r="B12" s="41" t="s">
        <v>13</v>
      </c>
      <c r="C12" s="2">
        <v>1</v>
      </c>
      <c r="D12" s="2" t="s">
        <v>5</v>
      </c>
      <c r="E12" s="321">
        <v>3310</v>
      </c>
      <c r="F12" s="322">
        <v>4683.333333333333</v>
      </c>
      <c r="G12" s="353">
        <v>609</v>
      </c>
      <c r="H12" s="322">
        <f t="shared" si="0"/>
        <v>2015790</v>
      </c>
      <c r="I12" s="122">
        <f t="shared" si="1"/>
        <v>2852150</v>
      </c>
      <c r="J12" s="331">
        <f t="shared" si="2"/>
        <v>836360</v>
      </c>
      <c r="K12" s="292">
        <f>'09-RESUMEN'!$F$43/1375+('09-RESUMEN'!$F$42/17)</f>
        <v>283519.42464527232</v>
      </c>
      <c r="L12" s="122">
        <f>('ESTADO RESULTADOS'!$C$36+'ESTADO RESULTADOS'!$C$71)/1375</f>
        <v>24762.287272727273</v>
      </c>
      <c r="M12" s="122">
        <f>'ESTADO RESULTADOS'!$C$37/17</f>
        <v>106174.11764705883</v>
      </c>
      <c r="N12" s="122">
        <f t="shared" si="3"/>
        <v>2430245.829565058</v>
      </c>
      <c r="O12" s="122">
        <f t="shared" si="4"/>
        <v>3990.5514442775993</v>
      </c>
      <c r="P12" s="336">
        <f>I12-N12</f>
        <v>421904.170434942</v>
      </c>
      <c r="Q12" s="336">
        <f t="shared" si="5"/>
        <v>680.55144427759933</v>
      </c>
      <c r="R12" s="303">
        <f t="shared" si="6"/>
        <v>0.20560466594489404</v>
      </c>
      <c r="U12" s="2">
        <v>6</v>
      </c>
      <c r="V12" s="3">
        <v>10951.004819515074</v>
      </c>
    </row>
    <row r="13" spans="1:22" x14ac:dyDescent="0.3">
      <c r="A13" s="2">
        <v>10</v>
      </c>
      <c r="B13" s="41" t="s">
        <v>14</v>
      </c>
      <c r="C13" s="2">
        <v>1</v>
      </c>
      <c r="D13" s="2" t="s">
        <v>3</v>
      </c>
      <c r="E13" s="321">
        <v>190000</v>
      </c>
      <c r="F13" s="322">
        <v>220500</v>
      </c>
      <c r="G13" s="353">
        <v>16</v>
      </c>
      <c r="H13" s="322">
        <f t="shared" si="0"/>
        <v>3040000</v>
      </c>
      <c r="I13" s="122">
        <f t="shared" si="1"/>
        <v>3528000</v>
      </c>
      <c r="J13" s="331">
        <f t="shared" si="2"/>
        <v>488000</v>
      </c>
      <c r="K13" s="292">
        <f>'09-RESUMEN'!$F$43/1375</f>
        <v>81431.961035221175</v>
      </c>
      <c r="L13" s="122">
        <f>('ESTADO RESULTADOS'!$C$36+'ESTADO RESULTADOS'!$C$71)/1375</f>
        <v>24762.287272727273</v>
      </c>
      <c r="M13" s="122">
        <v>0</v>
      </c>
      <c r="N13" s="122">
        <f t="shared" si="3"/>
        <v>3146194.2483079485</v>
      </c>
      <c r="O13" s="122">
        <f t="shared" si="4"/>
        <v>196637.14051924678</v>
      </c>
      <c r="P13" s="336">
        <f t="shared" si="7"/>
        <v>381805.75169205153</v>
      </c>
      <c r="Q13" s="336">
        <f t="shared" si="5"/>
        <v>6637.1405192467791</v>
      </c>
      <c r="R13" s="303">
        <f t="shared" si="6"/>
        <v>3.4932318522351472E-2</v>
      </c>
      <c r="U13" s="2">
        <v>7</v>
      </c>
      <c r="V13" s="3">
        <v>-10632543.330287142</v>
      </c>
    </row>
    <row r="14" spans="1:22" x14ac:dyDescent="0.3">
      <c r="A14" s="2">
        <v>12</v>
      </c>
      <c r="B14" s="41" t="s">
        <v>15</v>
      </c>
      <c r="C14" s="2">
        <v>6</v>
      </c>
      <c r="D14" s="2" t="s">
        <v>16</v>
      </c>
      <c r="E14" s="294">
        <v>37000</v>
      </c>
      <c r="F14" s="296">
        <v>45000</v>
      </c>
      <c r="G14" s="352">
        <v>71</v>
      </c>
      <c r="H14" s="296">
        <f t="shared" si="0"/>
        <v>2627000</v>
      </c>
      <c r="I14" s="122">
        <f t="shared" si="1"/>
        <v>3195000</v>
      </c>
      <c r="J14" s="331">
        <f t="shared" si="2"/>
        <v>568000</v>
      </c>
      <c r="K14" s="292">
        <f>'09-RESUMEN'!$F$43/1375</f>
        <v>81431.961035221175</v>
      </c>
      <c r="L14" s="122">
        <f>('ESTADO RESULTADOS'!$C$36+'ESTADO RESULTADOS'!$C$71)/1375</f>
        <v>24762.287272727273</v>
      </c>
      <c r="M14" s="122">
        <v>0</v>
      </c>
      <c r="N14" s="122">
        <f t="shared" si="3"/>
        <v>2733194.2483079485</v>
      </c>
      <c r="O14" s="122">
        <f t="shared" si="4"/>
        <v>38495.693638140117</v>
      </c>
      <c r="P14" s="336">
        <f t="shared" si="7"/>
        <v>461805.75169205153</v>
      </c>
      <c r="Q14" s="336">
        <f t="shared" si="5"/>
        <v>1495.6936381401174</v>
      </c>
      <c r="R14" s="303">
        <f t="shared" si="6"/>
        <v>4.0424152382165332E-2</v>
      </c>
      <c r="U14" s="2">
        <v>8</v>
      </c>
      <c r="V14" s="3">
        <v>4466080.8679359099</v>
      </c>
    </row>
    <row r="15" spans="1:22" x14ac:dyDescent="0.3">
      <c r="A15" s="2">
        <v>14</v>
      </c>
      <c r="B15" s="41" t="s">
        <v>17</v>
      </c>
      <c r="C15" s="2">
        <v>1</v>
      </c>
      <c r="D15" s="2" t="s">
        <v>3</v>
      </c>
      <c r="E15" s="321">
        <v>214000</v>
      </c>
      <c r="F15" s="322">
        <v>222000</v>
      </c>
      <c r="G15" s="353">
        <v>23</v>
      </c>
      <c r="H15" s="322">
        <f t="shared" si="0"/>
        <v>4922000</v>
      </c>
      <c r="I15" s="122">
        <f>F15*G15</f>
        <v>5106000</v>
      </c>
      <c r="J15" s="331">
        <f t="shared" si="2"/>
        <v>184000</v>
      </c>
      <c r="K15" s="292">
        <f>'09-RESUMEN'!$F$43/1375</f>
        <v>81431.961035221175</v>
      </c>
      <c r="L15" s="122">
        <f>('ESTADO RESULTADOS'!$C$36+'ESTADO RESULTADOS'!$C$71)/1375</f>
        <v>24762.287272727273</v>
      </c>
      <c r="M15" s="122">
        <v>0</v>
      </c>
      <c r="N15" s="122">
        <f t="shared" si="3"/>
        <v>5028194.248307948</v>
      </c>
      <c r="O15" s="122">
        <f t="shared" si="4"/>
        <v>218617.14123078034</v>
      </c>
      <c r="P15" s="336">
        <f>I15-N15</f>
        <v>77805.751692051999</v>
      </c>
      <c r="Q15" s="336">
        <f t="shared" si="5"/>
        <v>4617.1412307803403</v>
      </c>
      <c r="R15" s="303">
        <f t="shared" si="6"/>
        <v>2.1575426312057666E-2</v>
      </c>
      <c r="U15" s="2">
        <v>9</v>
      </c>
      <c r="V15" s="3">
        <v>-7938028.7759392019</v>
      </c>
    </row>
    <row r="16" spans="1:22" x14ac:dyDescent="0.3">
      <c r="A16" s="2">
        <v>15</v>
      </c>
      <c r="B16" s="41" t="s">
        <v>18</v>
      </c>
      <c r="C16" s="2">
        <v>14</v>
      </c>
      <c r="D16" s="2" t="s">
        <v>16</v>
      </c>
      <c r="E16" s="294">
        <v>4721</v>
      </c>
      <c r="F16" s="296">
        <v>6550</v>
      </c>
      <c r="G16" s="352">
        <v>14</v>
      </c>
      <c r="H16" s="296">
        <f t="shared" si="0"/>
        <v>66094</v>
      </c>
      <c r="I16" s="122">
        <f t="shared" si="1"/>
        <v>91700</v>
      </c>
      <c r="J16" s="331">
        <f t="shared" si="2"/>
        <v>25606</v>
      </c>
      <c r="K16" s="292">
        <f>'09-RESUMEN'!$F$43/1375</f>
        <v>81431.961035221175</v>
      </c>
      <c r="L16" s="122">
        <f>('ESTADO RESULTADOS'!$C$36+'ESTADO RESULTADOS'!$C$71)/1375</f>
        <v>24762.287272727273</v>
      </c>
      <c r="M16" s="122">
        <v>0</v>
      </c>
      <c r="N16" s="122">
        <f t="shared" si="3"/>
        <v>172288.24830794844</v>
      </c>
      <c r="O16" s="122">
        <f t="shared" si="4"/>
        <v>12306.303450567746</v>
      </c>
      <c r="P16" s="336">
        <f t="shared" si="7"/>
        <v>-80588.248307948437</v>
      </c>
      <c r="Q16" s="336">
        <f t="shared" si="5"/>
        <v>7585.303450567746</v>
      </c>
      <c r="R16" s="303">
        <f t="shared" si="6"/>
        <v>1.6067154099910499</v>
      </c>
      <c r="U16" s="2">
        <v>10</v>
      </c>
      <c r="V16" s="3">
        <v>-1940728.0687320447</v>
      </c>
    </row>
    <row r="17" spans="1:24" x14ac:dyDescent="0.3">
      <c r="A17" s="2">
        <v>16</v>
      </c>
      <c r="B17" s="41" t="s">
        <v>19</v>
      </c>
      <c r="C17" s="2">
        <v>6</v>
      </c>
      <c r="D17" s="2" t="s">
        <v>16</v>
      </c>
      <c r="E17" s="294">
        <v>12500</v>
      </c>
      <c r="F17" s="296">
        <v>16500</v>
      </c>
      <c r="G17" s="352">
        <v>3</v>
      </c>
      <c r="H17" s="296">
        <f t="shared" si="0"/>
        <v>37500</v>
      </c>
      <c r="I17" s="122">
        <f t="shared" si="1"/>
        <v>49500</v>
      </c>
      <c r="J17" s="331">
        <f t="shared" si="2"/>
        <v>12000</v>
      </c>
      <c r="K17" s="292">
        <f>'09-RESUMEN'!$F$43/1375</f>
        <v>81431.961035221175</v>
      </c>
      <c r="L17" s="122">
        <f>('ESTADO RESULTADOS'!$C$36+'ESTADO RESULTADOS'!$C$71)/1375</f>
        <v>24762.287272727273</v>
      </c>
      <c r="M17" s="122">
        <v>0</v>
      </c>
      <c r="N17" s="122">
        <f t="shared" si="3"/>
        <v>143694.24830794844</v>
      </c>
      <c r="O17" s="122">
        <f t="shared" si="4"/>
        <v>47898.082769316148</v>
      </c>
      <c r="P17" s="336">
        <f t="shared" si="7"/>
        <v>-94194.248307948437</v>
      </c>
      <c r="Q17" s="336">
        <f t="shared" si="5"/>
        <v>35398.082769316148</v>
      </c>
      <c r="R17" s="303">
        <f t="shared" si="6"/>
        <v>2.8318466215452918</v>
      </c>
      <c r="U17" s="2">
        <v>11</v>
      </c>
      <c r="V17" s="3">
        <v>5755143.0067682043</v>
      </c>
    </row>
    <row r="18" spans="1:24" x14ac:dyDescent="0.3">
      <c r="A18" s="2">
        <v>18</v>
      </c>
      <c r="B18" s="41" t="s">
        <v>20</v>
      </c>
      <c r="C18" s="2">
        <v>14</v>
      </c>
      <c r="D18" s="2" t="s">
        <v>21</v>
      </c>
      <c r="E18" s="294">
        <v>5619</v>
      </c>
      <c r="F18" s="296">
        <v>6950</v>
      </c>
      <c r="G18" s="352">
        <v>53</v>
      </c>
      <c r="H18" s="296">
        <f t="shared" si="0"/>
        <v>297807</v>
      </c>
      <c r="I18" s="122">
        <f t="shared" si="1"/>
        <v>368350</v>
      </c>
      <c r="J18" s="331">
        <f t="shared" si="2"/>
        <v>70543</v>
      </c>
      <c r="K18" s="292">
        <f>'09-RESUMEN'!$F$43/1375</f>
        <v>81431.961035221175</v>
      </c>
      <c r="L18" s="122">
        <f>('ESTADO RESULTADOS'!$C$36+'ESTADO RESULTADOS'!$C$71)/1375</f>
        <v>24762.287272727273</v>
      </c>
      <c r="M18" s="122">
        <v>0</v>
      </c>
      <c r="N18" s="122">
        <f t="shared" si="3"/>
        <v>404001.24830794847</v>
      </c>
      <c r="O18" s="122">
        <f t="shared" si="4"/>
        <v>7622.6650624141221</v>
      </c>
      <c r="P18" s="336">
        <f t="shared" si="7"/>
        <v>-35651.248307948466</v>
      </c>
      <c r="Q18" s="336">
        <f t="shared" si="5"/>
        <v>2003.6650624141221</v>
      </c>
      <c r="R18" s="303">
        <f t="shared" si="6"/>
        <v>0.3565874821879555</v>
      </c>
      <c r="U18" s="2">
        <v>12</v>
      </c>
      <c r="V18" s="3">
        <v>-16385476.860152535</v>
      </c>
    </row>
    <row r="19" spans="1:24" x14ac:dyDescent="0.3">
      <c r="A19" s="2">
        <v>21</v>
      </c>
      <c r="B19" s="41" t="s">
        <v>1587</v>
      </c>
      <c r="C19" s="2">
        <v>4</v>
      </c>
      <c r="D19" s="2" t="s">
        <v>16</v>
      </c>
      <c r="E19" s="294">
        <v>42900</v>
      </c>
      <c r="F19" s="296">
        <v>57683.333333333336</v>
      </c>
      <c r="G19" s="352">
        <v>6</v>
      </c>
      <c r="H19" s="296">
        <f t="shared" si="0"/>
        <v>257400</v>
      </c>
      <c r="I19" s="122">
        <f t="shared" si="1"/>
        <v>346100</v>
      </c>
      <c r="J19" s="331">
        <f t="shared" si="2"/>
        <v>88700</v>
      </c>
      <c r="K19" s="292">
        <f>'09-RESUMEN'!$F$43/1375</f>
        <v>81431.961035221175</v>
      </c>
      <c r="L19" s="122">
        <f>('ESTADO RESULTADOS'!$C$36+'ESTADO RESULTADOS'!$C$71)/1375</f>
        <v>24762.287272727273</v>
      </c>
      <c r="M19" s="122">
        <v>0</v>
      </c>
      <c r="N19" s="122">
        <f t="shared" si="3"/>
        <v>363594.24830794847</v>
      </c>
      <c r="O19" s="122">
        <f t="shared" si="4"/>
        <v>60599.041384658078</v>
      </c>
      <c r="P19" s="336">
        <f t="shared" si="7"/>
        <v>-17494.248307948466</v>
      </c>
      <c r="Q19" s="336">
        <f t="shared" si="5"/>
        <v>17699.041384658078</v>
      </c>
      <c r="R19" s="303">
        <f t="shared" si="6"/>
        <v>0.41256506724144704</v>
      </c>
      <c r="U19" s="2">
        <v>13</v>
      </c>
      <c r="V19" s="3">
        <v>-1302429.0239748659</v>
      </c>
    </row>
    <row r="20" spans="1:24" x14ac:dyDescent="0.3">
      <c r="A20" s="2">
        <v>22</v>
      </c>
      <c r="B20" s="41" t="s">
        <v>22</v>
      </c>
      <c r="C20" s="2">
        <v>14</v>
      </c>
      <c r="D20" s="2" t="s">
        <v>23</v>
      </c>
      <c r="E20" s="294">
        <v>5767.2713999999996</v>
      </c>
      <c r="F20" s="296">
        <v>8200</v>
      </c>
      <c r="G20" s="352">
        <v>56</v>
      </c>
      <c r="H20" s="296">
        <f t="shared" si="0"/>
        <v>322967.19839999999</v>
      </c>
      <c r="I20" s="122">
        <f t="shared" si="1"/>
        <v>459200</v>
      </c>
      <c r="J20" s="331">
        <f t="shared" si="2"/>
        <v>136232.80160000001</v>
      </c>
      <c r="K20" s="292">
        <f>'09-RESUMEN'!$F$43/1375</f>
        <v>81431.961035221175</v>
      </c>
      <c r="L20" s="122">
        <f>('ESTADO RESULTADOS'!$C$36+'ESTADO RESULTADOS'!$C$71)/1375</f>
        <v>24762.287272727273</v>
      </c>
      <c r="M20" s="122">
        <v>0</v>
      </c>
      <c r="N20" s="122">
        <f t="shared" si="3"/>
        <v>429161.44670794846</v>
      </c>
      <c r="O20" s="122">
        <f t="shared" si="4"/>
        <v>7663.597262641937</v>
      </c>
      <c r="P20" s="336">
        <f t="shared" si="7"/>
        <v>30038.55329205154</v>
      </c>
      <c r="Q20" s="336">
        <f t="shared" si="5"/>
        <v>1896.3258626419374</v>
      </c>
      <c r="R20" s="303">
        <f t="shared" si="6"/>
        <v>0.32880815399842939</v>
      </c>
      <c r="U20" s="2">
        <v>14</v>
      </c>
      <c r="V20" s="3">
        <v>-29762551.656910304</v>
      </c>
    </row>
    <row r="21" spans="1:24" x14ac:dyDescent="0.3">
      <c r="A21" s="2">
        <v>23</v>
      </c>
      <c r="B21" s="41" t="s">
        <v>24</v>
      </c>
      <c r="C21" s="2">
        <v>10</v>
      </c>
      <c r="D21" s="2" t="s">
        <v>12</v>
      </c>
      <c r="E21" s="294">
        <v>7973</v>
      </c>
      <c r="F21" s="296">
        <v>8900</v>
      </c>
      <c r="G21" s="352">
        <v>1</v>
      </c>
      <c r="H21" s="296">
        <f t="shared" si="0"/>
        <v>7973</v>
      </c>
      <c r="I21" s="122">
        <f t="shared" si="1"/>
        <v>8900</v>
      </c>
      <c r="J21" s="331">
        <f t="shared" si="2"/>
        <v>927</v>
      </c>
      <c r="K21" s="292">
        <f>'09-RESUMEN'!$F$43/1375</f>
        <v>81431.961035221175</v>
      </c>
      <c r="L21" s="122">
        <f>('ESTADO RESULTADOS'!$C$36+'ESTADO RESULTADOS'!$C$71)/1375</f>
        <v>24762.287272727273</v>
      </c>
      <c r="M21" s="122">
        <v>0</v>
      </c>
      <c r="N21" s="122">
        <f t="shared" si="3"/>
        <v>114167.24830794845</v>
      </c>
      <c r="O21" s="122">
        <f t="shared" si="4"/>
        <v>114167.24830794845</v>
      </c>
      <c r="P21" s="336">
        <f t="shared" si="7"/>
        <v>-105267.24830794845</v>
      </c>
      <c r="Q21" s="336">
        <f t="shared" si="5"/>
        <v>106194.24830794845</v>
      </c>
      <c r="R21" s="303">
        <f t="shared" si="6"/>
        <v>13.319233451392005</v>
      </c>
      <c r="U21" s="2">
        <v>16</v>
      </c>
      <c r="V21" s="3">
        <v>-1791062.5520351238</v>
      </c>
      <c r="X21" s="348"/>
    </row>
    <row r="22" spans="1:24" x14ac:dyDescent="0.3">
      <c r="A22" s="2">
        <v>28</v>
      </c>
      <c r="B22" s="41" t="s">
        <v>1588</v>
      </c>
      <c r="C22" s="2">
        <v>16</v>
      </c>
      <c r="D22" s="2" t="s">
        <v>12</v>
      </c>
      <c r="E22" s="294">
        <v>99</v>
      </c>
      <c r="F22" s="296">
        <v>300</v>
      </c>
      <c r="G22" s="352">
        <v>1</v>
      </c>
      <c r="H22" s="296">
        <f t="shared" si="0"/>
        <v>99</v>
      </c>
      <c r="I22" s="122">
        <f t="shared" si="1"/>
        <v>300</v>
      </c>
      <c r="J22" s="331">
        <f t="shared" si="2"/>
        <v>201</v>
      </c>
      <c r="K22" s="292">
        <f>'09-RESUMEN'!$F$43/1375</f>
        <v>81431.961035221175</v>
      </c>
      <c r="L22" s="122">
        <f>('ESTADO RESULTADOS'!$C$36+'ESTADO RESULTADOS'!$C$71)/1375</f>
        <v>24762.287272727273</v>
      </c>
      <c r="M22" s="122">
        <v>0</v>
      </c>
      <c r="N22" s="122">
        <f t="shared" si="3"/>
        <v>106293.24830794845</v>
      </c>
      <c r="O22" s="122">
        <f t="shared" si="4"/>
        <v>106293.24830794845</v>
      </c>
      <c r="P22" s="336">
        <f t="shared" si="7"/>
        <v>-105993.24830794845</v>
      </c>
      <c r="Q22" s="336">
        <f t="shared" si="5"/>
        <v>106194.24830794845</v>
      </c>
      <c r="R22" s="303">
        <f>Q22/E22</f>
        <v>1072.6691748277622</v>
      </c>
      <c r="U22" s="52" t="s">
        <v>1935</v>
      </c>
      <c r="V22" s="3">
        <v>44495939.696582854</v>
      </c>
      <c r="X22" s="349"/>
    </row>
    <row r="23" spans="1:24" x14ac:dyDescent="0.3">
      <c r="A23" s="2">
        <v>30</v>
      </c>
      <c r="B23" s="41" t="s">
        <v>25</v>
      </c>
      <c r="C23" s="2">
        <v>16</v>
      </c>
      <c r="D23" s="2" t="s">
        <v>12</v>
      </c>
      <c r="E23" s="294">
        <v>99</v>
      </c>
      <c r="F23" s="296">
        <v>200</v>
      </c>
      <c r="G23" s="352">
        <v>3</v>
      </c>
      <c r="H23" s="296">
        <f t="shared" si="0"/>
        <v>297</v>
      </c>
      <c r="I23" s="122">
        <f t="shared" si="1"/>
        <v>600</v>
      </c>
      <c r="J23" s="331">
        <f t="shared" si="2"/>
        <v>303</v>
      </c>
      <c r="K23" s="292">
        <f>'09-RESUMEN'!$F$43/1375</f>
        <v>81431.961035221175</v>
      </c>
      <c r="L23" s="122">
        <f>('ESTADO RESULTADOS'!$C$36+'ESTADO RESULTADOS'!$C$71)/1375</f>
        <v>24762.287272727273</v>
      </c>
      <c r="M23" s="122">
        <v>0</v>
      </c>
      <c r="N23" s="122">
        <f t="shared" si="3"/>
        <v>106491.24830794845</v>
      </c>
      <c r="O23" s="122">
        <f t="shared" si="4"/>
        <v>35497.082769316148</v>
      </c>
      <c r="P23" s="336">
        <f t="shared" si="7"/>
        <v>-105891.24830794845</v>
      </c>
      <c r="Q23" s="336">
        <f t="shared" si="5"/>
        <v>35398.082769316148</v>
      </c>
      <c r="R23" s="303">
        <f t="shared" si="6"/>
        <v>357.55639160925404</v>
      </c>
      <c r="X23" s="349"/>
    </row>
    <row r="24" spans="1:24" x14ac:dyDescent="0.3">
      <c r="A24" s="2">
        <v>31</v>
      </c>
      <c r="B24" s="41" t="s">
        <v>26</v>
      </c>
      <c r="C24" s="2">
        <v>5</v>
      </c>
      <c r="D24" s="2" t="s">
        <v>27</v>
      </c>
      <c r="E24" s="294">
        <v>510000</v>
      </c>
      <c r="F24" s="296">
        <v>568000</v>
      </c>
      <c r="G24" s="352">
        <v>6</v>
      </c>
      <c r="H24" s="296">
        <f t="shared" si="0"/>
        <v>3060000</v>
      </c>
      <c r="I24" s="122">
        <f t="shared" si="1"/>
        <v>3408000</v>
      </c>
      <c r="J24" s="331">
        <f t="shared" si="2"/>
        <v>348000</v>
      </c>
      <c r="K24" s="292">
        <f>'09-RESUMEN'!$F$43/1375</f>
        <v>81431.961035221175</v>
      </c>
      <c r="L24" s="122">
        <f>('ESTADO RESULTADOS'!$C$36+'ESTADO RESULTADOS'!$C$71)/1375</f>
        <v>24762.287272727273</v>
      </c>
      <c r="M24" s="122">
        <v>0</v>
      </c>
      <c r="N24" s="122">
        <f t="shared" si="3"/>
        <v>3166194.2483079485</v>
      </c>
      <c r="O24" s="122">
        <f t="shared" si="4"/>
        <v>527699.04138465808</v>
      </c>
      <c r="P24" s="336">
        <f t="shared" si="7"/>
        <v>241805.75169205153</v>
      </c>
      <c r="Q24" s="336">
        <f t="shared" si="5"/>
        <v>17699.041384658078</v>
      </c>
      <c r="R24" s="303">
        <f t="shared" si="6"/>
        <v>3.4704002715015836E-2</v>
      </c>
      <c r="X24" s="349"/>
    </row>
    <row r="25" spans="1:24" x14ac:dyDescent="0.3">
      <c r="A25" s="2">
        <v>33</v>
      </c>
      <c r="B25" s="41" t="s">
        <v>28</v>
      </c>
      <c r="C25" s="2">
        <v>9</v>
      </c>
      <c r="D25" s="2" t="s">
        <v>12</v>
      </c>
      <c r="E25" s="294">
        <v>308500</v>
      </c>
      <c r="F25" s="296">
        <v>349166.66666666669</v>
      </c>
      <c r="G25" s="352">
        <v>6</v>
      </c>
      <c r="H25" s="296">
        <f t="shared" si="0"/>
        <v>1851000</v>
      </c>
      <c r="I25" s="122">
        <f t="shared" si="1"/>
        <v>2095000</v>
      </c>
      <c r="J25" s="331">
        <f t="shared" si="2"/>
        <v>244000</v>
      </c>
      <c r="K25" s="292">
        <f>'09-RESUMEN'!$F$43/1375</f>
        <v>81431.961035221175</v>
      </c>
      <c r="L25" s="122">
        <f>('ESTADO RESULTADOS'!$C$36+'ESTADO RESULTADOS'!$C$71)/1375</f>
        <v>24762.287272727273</v>
      </c>
      <c r="M25" s="122">
        <v>0</v>
      </c>
      <c r="N25" s="122">
        <f t="shared" si="3"/>
        <v>1957194.2483079485</v>
      </c>
      <c r="O25" s="122">
        <f t="shared" si="4"/>
        <v>326199.04138465808</v>
      </c>
      <c r="P25" s="336">
        <f t="shared" si="7"/>
        <v>137805.75169205153</v>
      </c>
      <c r="Q25" s="336">
        <f t="shared" si="5"/>
        <v>17699.041384658078</v>
      </c>
      <c r="R25" s="303">
        <f t="shared" si="6"/>
        <v>5.7371284877335747E-2</v>
      </c>
      <c r="U25" s="1"/>
      <c r="V25" s="334"/>
      <c r="X25" s="350"/>
    </row>
    <row r="26" spans="1:24" x14ac:dyDescent="0.3">
      <c r="A26" s="2">
        <v>34</v>
      </c>
      <c r="B26" s="41" t="s">
        <v>29</v>
      </c>
      <c r="C26" s="2">
        <v>9</v>
      </c>
      <c r="D26" s="2" t="s">
        <v>30</v>
      </c>
      <c r="E26" s="294">
        <v>274161.71999999997</v>
      </c>
      <c r="F26" s="296">
        <v>303166.66666666669</v>
      </c>
      <c r="G26" s="352">
        <v>2</v>
      </c>
      <c r="H26" s="296">
        <f t="shared" si="0"/>
        <v>548323.43999999994</v>
      </c>
      <c r="I26" s="122">
        <f t="shared" si="1"/>
        <v>606333.33333333337</v>
      </c>
      <c r="J26" s="331">
        <f t="shared" si="2"/>
        <v>58009.893333333428</v>
      </c>
      <c r="K26" s="292">
        <f>'09-RESUMEN'!$F$43/1375</f>
        <v>81431.961035221175</v>
      </c>
      <c r="L26" s="122">
        <f>('ESTADO RESULTADOS'!$C$36+'ESTADO RESULTADOS'!$C$71)/1375</f>
        <v>24762.287272727273</v>
      </c>
      <c r="M26" s="122">
        <v>0</v>
      </c>
      <c r="N26" s="122">
        <f t="shared" si="3"/>
        <v>654517.68830794829</v>
      </c>
      <c r="O26" s="122">
        <f t="shared" si="4"/>
        <v>327258.84415397415</v>
      </c>
      <c r="P26" s="336">
        <f t="shared" si="7"/>
        <v>-48184.354974614922</v>
      </c>
      <c r="Q26" s="336">
        <f t="shared" si="5"/>
        <v>53097.124153974175</v>
      </c>
      <c r="R26" s="303">
        <f t="shared" si="6"/>
        <v>0.19367081645816264</v>
      </c>
      <c r="U26" s="487" t="s">
        <v>1941</v>
      </c>
      <c r="V26" s="487"/>
      <c r="X26" s="350"/>
    </row>
    <row r="27" spans="1:24" x14ac:dyDescent="0.3">
      <c r="A27" s="2">
        <v>35</v>
      </c>
      <c r="B27" s="41" t="s">
        <v>31</v>
      </c>
      <c r="C27" s="2">
        <v>14</v>
      </c>
      <c r="D27" s="2" t="s">
        <v>32</v>
      </c>
      <c r="E27" s="294">
        <v>21766</v>
      </c>
      <c r="F27" s="296">
        <v>25000</v>
      </c>
      <c r="G27" s="352">
        <v>6</v>
      </c>
      <c r="H27" s="296">
        <f t="shared" si="0"/>
        <v>130596</v>
      </c>
      <c r="I27" s="122">
        <f t="shared" si="1"/>
        <v>150000</v>
      </c>
      <c r="J27" s="331">
        <f t="shared" si="2"/>
        <v>19404</v>
      </c>
      <c r="K27" s="292">
        <f>'09-RESUMEN'!$F$43/1375</f>
        <v>81431.961035221175</v>
      </c>
      <c r="L27" s="122">
        <f>('ESTADO RESULTADOS'!$C$36+'ESTADO RESULTADOS'!$C$71)/1375</f>
        <v>24762.287272727273</v>
      </c>
      <c r="M27" s="122">
        <v>0</v>
      </c>
      <c r="N27" s="122">
        <f t="shared" si="3"/>
        <v>236790.24830794844</v>
      </c>
      <c r="O27" s="122">
        <f t="shared" si="4"/>
        <v>39465.04138465807</v>
      </c>
      <c r="P27" s="336">
        <f t="shared" si="7"/>
        <v>-86790.248307948437</v>
      </c>
      <c r="Q27" s="336">
        <f t="shared" si="5"/>
        <v>17699.04138465807</v>
      </c>
      <c r="R27" s="303">
        <f t="shared" si="6"/>
        <v>0.8131508492446049</v>
      </c>
      <c r="U27" s="332" t="s">
        <v>1182</v>
      </c>
      <c r="V27" s="2" t="s">
        <v>1942</v>
      </c>
      <c r="X27" s="350"/>
    </row>
    <row r="28" spans="1:24" x14ac:dyDescent="0.3">
      <c r="A28" s="2">
        <v>38</v>
      </c>
      <c r="B28" s="41" t="s">
        <v>33</v>
      </c>
      <c r="C28" s="2">
        <v>10</v>
      </c>
      <c r="D28" s="2" t="s">
        <v>12</v>
      </c>
      <c r="E28" s="294">
        <v>259</v>
      </c>
      <c r="F28" s="296">
        <v>500</v>
      </c>
      <c r="G28" s="352">
        <v>28</v>
      </c>
      <c r="H28" s="296">
        <f t="shared" si="0"/>
        <v>7252</v>
      </c>
      <c r="I28" s="122">
        <f t="shared" si="1"/>
        <v>14000</v>
      </c>
      <c r="J28" s="331">
        <f t="shared" si="2"/>
        <v>6748</v>
      </c>
      <c r="K28" s="292">
        <f>'09-RESUMEN'!$F$43/1375</f>
        <v>81431.961035221175</v>
      </c>
      <c r="L28" s="122">
        <f>('ESTADO RESULTADOS'!$C$36+'ESTADO RESULTADOS'!$C$71)/1375</f>
        <v>24762.287272727273</v>
      </c>
      <c r="M28" s="122">
        <v>0</v>
      </c>
      <c r="N28" s="122">
        <f t="shared" si="3"/>
        <v>113446.24830794845</v>
      </c>
      <c r="O28" s="122">
        <f t="shared" si="4"/>
        <v>4051.6517252838735</v>
      </c>
      <c r="P28" s="336">
        <f t="shared" si="7"/>
        <v>-99446.248307948452</v>
      </c>
      <c r="Q28" s="336">
        <f t="shared" si="5"/>
        <v>3792.6517252838735</v>
      </c>
      <c r="R28" s="303">
        <f t="shared" si="6"/>
        <v>14.643442954763991</v>
      </c>
      <c r="U28" s="2">
        <v>1</v>
      </c>
      <c r="V28" s="2">
        <v>5797.9999999701977</v>
      </c>
    </row>
    <row r="29" spans="1:24" x14ac:dyDescent="0.3">
      <c r="A29" s="2">
        <v>39</v>
      </c>
      <c r="B29" s="41" t="s">
        <v>34</v>
      </c>
      <c r="C29" s="2">
        <v>2</v>
      </c>
      <c r="D29" s="2" t="s">
        <v>35</v>
      </c>
      <c r="E29" s="294">
        <v>2880</v>
      </c>
      <c r="F29" s="296">
        <v>3000</v>
      </c>
      <c r="G29" s="352">
        <v>47</v>
      </c>
      <c r="H29" s="296">
        <f t="shared" si="0"/>
        <v>135360</v>
      </c>
      <c r="I29" s="122">
        <f t="shared" si="1"/>
        <v>141000</v>
      </c>
      <c r="J29" s="331">
        <f t="shared" si="2"/>
        <v>5640</v>
      </c>
      <c r="K29" s="292">
        <f>'09-RESUMEN'!$F$43/1375</f>
        <v>81431.961035221175</v>
      </c>
      <c r="L29" s="122">
        <f>('ESTADO RESULTADOS'!$C$36+'ESTADO RESULTADOS'!$C$71)/1375</f>
        <v>24762.287272727273</v>
      </c>
      <c r="M29" s="122">
        <v>0</v>
      </c>
      <c r="N29" s="122">
        <f t="shared" si="3"/>
        <v>241554.24830794844</v>
      </c>
      <c r="O29" s="122">
        <f t="shared" si="4"/>
        <v>5139.452091658477</v>
      </c>
      <c r="P29" s="336">
        <f t="shared" si="7"/>
        <v>-100554.24830794844</v>
      </c>
      <c r="Q29" s="336">
        <f t="shared" si="5"/>
        <v>2259.452091658477</v>
      </c>
      <c r="R29" s="303">
        <f t="shared" si="6"/>
        <v>0.78453197627030447</v>
      </c>
      <c r="U29" s="2">
        <v>2</v>
      </c>
      <c r="V29" s="2">
        <v>32200</v>
      </c>
    </row>
    <row r="30" spans="1:24" x14ac:dyDescent="0.3">
      <c r="A30" s="2">
        <v>40</v>
      </c>
      <c r="B30" s="41" t="s">
        <v>36</v>
      </c>
      <c r="C30" s="2">
        <v>4</v>
      </c>
      <c r="D30" s="2" t="s">
        <v>32</v>
      </c>
      <c r="E30" s="294">
        <v>26645</v>
      </c>
      <c r="F30" s="296">
        <v>32166.666666666668</v>
      </c>
      <c r="G30" s="352">
        <v>12</v>
      </c>
      <c r="H30" s="296">
        <f t="shared" si="0"/>
        <v>319740</v>
      </c>
      <c r="I30" s="122">
        <f t="shared" si="1"/>
        <v>386000</v>
      </c>
      <c r="J30" s="331">
        <f t="shared" si="2"/>
        <v>66260</v>
      </c>
      <c r="K30" s="292">
        <f>'09-RESUMEN'!$F$43/1375</f>
        <v>81431.961035221175</v>
      </c>
      <c r="L30" s="122">
        <f>('ESTADO RESULTADOS'!$C$36+'ESTADO RESULTADOS'!$C$71)/1375</f>
        <v>24762.287272727273</v>
      </c>
      <c r="M30" s="122">
        <v>0</v>
      </c>
      <c r="N30" s="122">
        <f t="shared" si="3"/>
        <v>425934.24830794847</v>
      </c>
      <c r="O30" s="122">
        <f t="shared" si="4"/>
        <v>35494.520692329039</v>
      </c>
      <c r="P30" s="336">
        <f t="shared" si="7"/>
        <v>-39934.248307948466</v>
      </c>
      <c r="Q30" s="336">
        <f t="shared" si="5"/>
        <v>8849.5206923290389</v>
      </c>
      <c r="R30" s="303">
        <f t="shared" si="6"/>
        <v>0.33212687905156835</v>
      </c>
      <c r="U30" s="2">
        <v>4</v>
      </c>
      <c r="V30" s="2">
        <v>903</v>
      </c>
    </row>
    <row r="31" spans="1:24" x14ac:dyDescent="0.3">
      <c r="A31" s="2">
        <v>41</v>
      </c>
      <c r="B31" s="41" t="s">
        <v>37</v>
      </c>
      <c r="C31" s="2">
        <v>8</v>
      </c>
      <c r="D31" s="2" t="s">
        <v>16</v>
      </c>
      <c r="E31" s="294">
        <v>24000</v>
      </c>
      <c r="F31" s="296">
        <v>29000</v>
      </c>
      <c r="G31" s="352">
        <v>43</v>
      </c>
      <c r="H31" s="296">
        <f t="shared" si="0"/>
        <v>1032000</v>
      </c>
      <c r="I31" s="122">
        <f t="shared" si="1"/>
        <v>1247000</v>
      </c>
      <c r="J31" s="331">
        <f t="shared" si="2"/>
        <v>215000</v>
      </c>
      <c r="K31" s="292">
        <f>'09-RESUMEN'!$F$43/1375</f>
        <v>81431.961035221175</v>
      </c>
      <c r="L31" s="122">
        <f>('ESTADO RESULTADOS'!$C$36+'ESTADO RESULTADOS'!$C$71)/1375</f>
        <v>24762.287272727273</v>
      </c>
      <c r="M31" s="122">
        <v>0</v>
      </c>
      <c r="N31" s="122">
        <f t="shared" si="3"/>
        <v>1138194.2483079485</v>
      </c>
      <c r="O31" s="122">
        <f t="shared" si="4"/>
        <v>26469.633681580195</v>
      </c>
      <c r="P31" s="336">
        <f t="shared" si="7"/>
        <v>108805.75169205153</v>
      </c>
      <c r="Q31" s="336">
        <f t="shared" si="5"/>
        <v>2469.6336815801951</v>
      </c>
      <c r="R31" s="303">
        <f t="shared" si="6"/>
        <v>0.10290140339917479</v>
      </c>
      <c r="U31" s="2">
        <v>5</v>
      </c>
      <c r="V31" s="2">
        <v>3326</v>
      </c>
    </row>
    <row r="32" spans="1:24" x14ac:dyDescent="0.3">
      <c r="A32" s="2">
        <v>42</v>
      </c>
      <c r="B32" s="41" t="s">
        <v>38</v>
      </c>
      <c r="C32" s="2">
        <v>8</v>
      </c>
      <c r="D32" s="2" t="s">
        <v>39</v>
      </c>
      <c r="E32" s="294">
        <v>410576</v>
      </c>
      <c r="F32" s="296">
        <v>459600</v>
      </c>
      <c r="G32" s="352">
        <v>1</v>
      </c>
      <c r="H32" s="296">
        <f t="shared" si="0"/>
        <v>410576</v>
      </c>
      <c r="I32" s="122">
        <f t="shared" si="1"/>
        <v>459600</v>
      </c>
      <c r="J32" s="331">
        <f t="shared" si="2"/>
        <v>49024</v>
      </c>
      <c r="K32" s="292">
        <f>'09-RESUMEN'!$F$43/1375</f>
        <v>81431.961035221175</v>
      </c>
      <c r="L32" s="122">
        <f>('ESTADO RESULTADOS'!$C$36+'ESTADO RESULTADOS'!$C$71)/1375</f>
        <v>24762.287272727273</v>
      </c>
      <c r="M32" s="122">
        <v>0</v>
      </c>
      <c r="N32" s="122">
        <f t="shared" si="3"/>
        <v>516770.24830794847</v>
      </c>
      <c r="O32" s="122">
        <f t="shared" si="4"/>
        <v>516770.24830794847</v>
      </c>
      <c r="P32" s="336">
        <f t="shared" si="7"/>
        <v>-57170.248307948466</v>
      </c>
      <c r="Q32" s="336">
        <f t="shared" si="5"/>
        <v>106194.24830794847</v>
      </c>
      <c r="R32" s="303">
        <f t="shared" si="6"/>
        <v>0.2586469942421098</v>
      </c>
      <c r="U32" s="2">
        <v>6</v>
      </c>
      <c r="V32" s="2">
        <v>1910</v>
      </c>
    </row>
    <row r="33" spans="1:22" x14ac:dyDescent="0.3">
      <c r="A33" s="2">
        <v>43</v>
      </c>
      <c r="B33" s="41" t="s">
        <v>40</v>
      </c>
      <c r="C33" s="2">
        <v>8</v>
      </c>
      <c r="D33" s="2" t="s">
        <v>41</v>
      </c>
      <c r="E33" s="294">
        <v>90000</v>
      </c>
      <c r="F33" s="296">
        <v>103800</v>
      </c>
      <c r="G33" s="352">
        <v>22</v>
      </c>
      <c r="H33" s="296">
        <f t="shared" si="0"/>
        <v>1980000</v>
      </c>
      <c r="I33" s="122">
        <f t="shared" si="1"/>
        <v>2283600</v>
      </c>
      <c r="J33" s="331">
        <f t="shared" si="2"/>
        <v>303600</v>
      </c>
      <c r="K33" s="292">
        <f>'09-RESUMEN'!$F$43/1375</f>
        <v>81431.961035221175</v>
      </c>
      <c r="L33" s="122">
        <f>('ESTADO RESULTADOS'!$C$36+'ESTADO RESULTADOS'!$C$71)/1375</f>
        <v>24762.287272727273</v>
      </c>
      <c r="M33" s="122">
        <v>0</v>
      </c>
      <c r="N33" s="122">
        <f t="shared" si="3"/>
        <v>2086194.2483079485</v>
      </c>
      <c r="O33" s="122">
        <f t="shared" si="4"/>
        <v>94827.011286724926</v>
      </c>
      <c r="P33" s="336">
        <f t="shared" si="7"/>
        <v>197405.75169205153</v>
      </c>
      <c r="Q33" s="336">
        <f t="shared" si="5"/>
        <v>4827.0112867249263</v>
      </c>
      <c r="R33" s="303">
        <f t="shared" si="6"/>
        <v>5.3633458741388071E-2</v>
      </c>
      <c r="U33" s="2">
        <v>7</v>
      </c>
      <c r="V33" s="2">
        <v>1612</v>
      </c>
    </row>
    <row r="34" spans="1:22" x14ac:dyDescent="0.3">
      <c r="A34" s="2">
        <v>44</v>
      </c>
      <c r="B34" s="41" t="s">
        <v>42</v>
      </c>
      <c r="C34" s="2">
        <v>5</v>
      </c>
      <c r="D34" s="2" t="s">
        <v>16</v>
      </c>
      <c r="E34" s="294">
        <v>42000</v>
      </c>
      <c r="F34" s="296">
        <v>56833.333333333336</v>
      </c>
      <c r="G34" s="352">
        <v>26</v>
      </c>
      <c r="H34" s="296">
        <f t="shared" si="0"/>
        <v>1092000</v>
      </c>
      <c r="I34" s="122">
        <f t="shared" si="1"/>
        <v>1477666.6666666667</v>
      </c>
      <c r="J34" s="331">
        <f t="shared" si="2"/>
        <v>385666.66666666674</v>
      </c>
      <c r="K34" s="292">
        <f>'09-RESUMEN'!$F$43/1375</f>
        <v>81431.961035221175</v>
      </c>
      <c r="L34" s="122">
        <f>('ESTADO RESULTADOS'!$C$36+'ESTADO RESULTADOS'!$C$71)/1375</f>
        <v>24762.287272727273</v>
      </c>
      <c r="M34" s="122">
        <v>0</v>
      </c>
      <c r="N34" s="122">
        <f t="shared" si="3"/>
        <v>1198194.2483079485</v>
      </c>
      <c r="O34" s="122">
        <f t="shared" si="4"/>
        <v>46084.394165690326</v>
      </c>
      <c r="P34" s="336">
        <f t="shared" si="7"/>
        <v>279472.41835871828</v>
      </c>
      <c r="Q34" s="336">
        <f t="shared" si="5"/>
        <v>4084.3941656903262</v>
      </c>
      <c r="R34" s="303">
        <f t="shared" si="6"/>
        <v>9.7247480135483955E-2</v>
      </c>
      <c r="U34" s="2">
        <v>8</v>
      </c>
      <c r="V34" s="2">
        <v>1265</v>
      </c>
    </row>
    <row r="35" spans="1:22" x14ac:dyDescent="0.3">
      <c r="A35" s="2">
        <v>45</v>
      </c>
      <c r="B35" s="41" t="s">
        <v>43</v>
      </c>
      <c r="C35" s="2">
        <v>4</v>
      </c>
      <c r="D35" s="2" t="s">
        <v>21</v>
      </c>
      <c r="E35" s="294">
        <v>23138</v>
      </c>
      <c r="F35" s="296">
        <v>26883.333333333332</v>
      </c>
      <c r="G35" s="352">
        <v>21</v>
      </c>
      <c r="H35" s="296">
        <f t="shared" si="0"/>
        <v>485898</v>
      </c>
      <c r="I35" s="122">
        <f t="shared" si="1"/>
        <v>564550</v>
      </c>
      <c r="J35" s="331">
        <f t="shared" si="2"/>
        <v>78652</v>
      </c>
      <c r="K35" s="292">
        <f>'09-RESUMEN'!$F$43/1375</f>
        <v>81431.961035221175</v>
      </c>
      <c r="L35" s="122">
        <f>('ESTADO RESULTADOS'!$C$36+'ESTADO RESULTADOS'!$C$71)/1375</f>
        <v>24762.287272727273</v>
      </c>
      <c r="M35" s="122">
        <v>0</v>
      </c>
      <c r="N35" s="122">
        <f t="shared" si="3"/>
        <v>592092.24830794835</v>
      </c>
      <c r="O35" s="122">
        <f t="shared" si="4"/>
        <v>28194.86896704516</v>
      </c>
      <c r="P35" s="336">
        <f t="shared" si="7"/>
        <v>-27542.24830794835</v>
      </c>
      <c r="Q35" s="336">
        <f t="shared" si="5"/>
        <v>5056.8689670451604</v>
      </c>
      <c r="R35" s="303">
        <f t="shared" si="6"/>
        <v>0.21855255281550526</v>
      </c>
      <c r="U35" s="2">
        <v>9</v>
      </c>
      <c r="V35" s="2">
        <v>3731</v>
      </c>
    </row>
    <row r="36" spans="1:22" x14ac:dyDescent="0.3">
      <c r="A36" s="2">
        <v>46</v>
      </c>
      <c r="B36" s="41" t="s">
        <v>44</v>
      </c>
      <c r="C36" s="2">
        <v>4</v>
      </c>
      <c r="D36" s="2" t="s">
        <v>32</v>
      </c>
      <c r="E36" s="294">
        <v>68939</v>
      </c>
      <c r="F36" s="296">
        <v>78600</v>
      </c>
      <c r="G36" s="352">
        <v>6</v>
      </c>
      <c r="H36" s="296">
        <f t="shared" si="0"/>
        <v>413634</v>
      </c>
      <c r="I36" s="122">
        <f t="shared" si="1"/>
        <v>471600</v>
      </c>
      <c r="J36" s="331">
        <f t="shared" si="2"/>
        <v>57966</v>
      </c>
      <c r="K36" s="292">
        <f>'09-RESUMEN'!$F$43/1375</f>
        <v>81431.961035221175</v>
      </c>
      <c r="L36" s="122">
        <f>('ESTADO RESULTADOS'!$C$36+'ESTADO RESULTADOS'!$C$71)/1375</f>
        <v>24762.287272727273</v>
      </c>
      <c r="M36" s="122">
        <v>0</v>
      </c>
      <c r="N36" s="122">
        <f t="shared" si="3"/>
        <v>519828.24830794847</v>
      </c>
      <c r="O36" s="122">
        <f t="shared" si="4"/>
        <v>86638.041384658078</v>
      </c>
      <c r="P36" s="336">
        <f t="shared" si="7"/>
        <v>-48228.248307948466</v>
      </c>
      <c r="Q36" s="336">
        <f t="shared" si="5"/>
        <v>17699.041384658078</v>
      </c>
      <c r="R36" s="303">
        <f t="shared" si="6"/>
        <v>0.25673481461376113</v>
      </c>
      <c r="U36" s="2">
        <v>10</v>
      </c>
      <c r="V36" s="2">
        <v>794</v>
      </c>
    </row>
    <row r="37" spans="1:22" x14ac:dyDescent="0.3">
      <c r="A37" s="2">
        <v>47</v>
      </c>
      <c r="B37" s="41" t="s">
        <v>45</v>
      </c>
      <c r="C37" s="2">
        <v>4</v>
      </c>
      <c r="D37" s="2" t="s">
        <v>32</v>
      </c>
      <c r="E37" s="294">
        <v>73173</v>
      </c>
      <c r="F37" s="296">
        <v>84183.333333333328</v>
      </c>
      <c r="G37" s="352">
        <v>12</v>
      </c>
      <c r="H37" s="296">
        <f t="shared" si="0"/>
        <v>878076</v>
      </c>
      <c r="I37" s="122">
        <f t="shared" si="1"/>
        <v>1010200</v>
      </c>
      <c r="J37" s="331">
        <f t="shared" si="2"/>
        <v>132124</v>
      </c>
      <c r="K37" s="292">
        <f>'09-RESUMEN'!$F$43/1375</f>
        <v>81431.961035221175</v>
      </c>
      <c r="L37" s="122">
        <f>('ESTADO RESULTADOS'!$C$36+'ESTADO RESULTADOS'!$C$71)/1375</f>
        <v>24762.287272727273</v>
      </c>
      <c r="M37" s="122">
        <v>0</v>
      </c>
      <c r="N37" s="122">
        <f t="shared" si="3"/>
        <v>984270.24830794835</v>
      </c>
      <c r="O37" s="122">
        <f t="shared" si="4"/>
        <v>82022.520692329024</v>
      </c>
      <c r="P37" s="336">
        <f t="shared" si="7"/>
        <v>25929.75169205165</v>
      </c>
      <c r="Q37" s="336">
        <f t="shared" si="5"/>
        <v>8849.5206923290243</v>
      </c>
      <c r="R37" s="303">
        <f t="shared" si="6"/>
        <v>0.12093970033111974</v>
      </c>
      <c r="U37" s="2">
        <v>11</v>
      </c>
      <c r="V37" s="2">
        <v>5250</v>
      </c>
    </row>
    <row r="38" spans="1:22" x14ac:dyDescent="0.3">
      <c r="A38" s="2">
        <v>48</v>
      </c>
      <c r="B38" s="41" t="s">
        <v>46</v>
      </c>
      <c r="C38" s="2">
        <v>4</v>
      </c>
      <c r="D38" s="2" t="s">
        <v>16</v>
      </c>
      <c r="E38" s="294">
        <v>265625</v>
      </c>
      <c r="F38" s="296">
        <v>291666.66666666669</v>
      </c>
      <c r="G38" s="352">
        <v>2</v>
      </c>
      <c r="H38" s="296">
        <f t="shared" si="0"/>
        <v>531250</v>
      </c>
      <c r="I38" s="122">
        <f t="shared" si="1"/>
        <v>583333.33333333337</v>
      </c>
      <c r="J38" s="331">
        <f t="shared" si="2"/>
        <v>52083.333333333372</v>
      </c>
      <c r="K38" s="292">
        <f>'09-RESUMEN'!$F$43/1375</f>
        <v>81431.961035221175</v>
      </c>
      <c r="L38" s="122">
        <f>('ESTADO RESULTADOS'!$C$36+'ESTADO RESULTADOS'!$C$71)/1375</f>
        <v>24762.287272727273</v>
      </c>
      <c r="M38" s="122">
        <v>0</v>
      </c>
      <c r="N38" s="122">
        <f t="shared" si="3"/>
        <v>637444.24830794835</v>
      </c>
      <c r="O38" s="122">
        <f t="shared" si="4"/>
        <v>318722.12415397417</v>
      </c>
      <c r="P38" s="336">
        <f t="shared" si="7"/>
        <v>-54110.914974614978</v>
      </c>
      <c r="Q38" s="336">
        <f t="shared" si="5"/>
        <v>53097.124153974175</v>
      </c>
      <c r="R38" s="303">
        <f t="shared" si="6"/>
        <v>0.199895055638491</v>
      </c>
      <c r="U38" s="2">
        <v>12</v>
      </c>
      <c r="V38" s="2">
        <v>722</v>
      </c>
    </row>
    <row r="39" spans="1:22" x14ac:dyDescent="0.3">
      <c r="A39" s="2">
        <v>49</v>
      </c>
      <c r="B39" s="41" t="s">
        <v>47</v>
      </c>
      <c r="C39" s="2">
        <v>14</v>
      </c>
      <c r="D39" s="2" t="s">
        <v>32</v>
      </c>
      <c r="E39" s="294">
        <v>4943</v>
      </c>
      <c r="F39" s="296">
        <v>6200</v>
      </c>
      <c r="G39" s="352">
        <v>5</v>
      </c>
      <c r="H39" s="296">
        <f t="shared" si="0"/>
        <v>24715</v>
      </c>
      <c r="I39" s="122">
        <f t="shared" si="1"/>
        <v>31000</v>
      </c>
      <c r="J39" s="331">
        <f t="shared" si="2"/>
        <v>6285</v>
      </c>
      <c r="K39" s="292">
        <f>'09-RESUMEN'!$F$43/1375</f>
        <v>81431.961035221175</v>
      </c>
      <c r="L39" s="122">
        <f>('ESTADO RESULTADOS'!$C$36+'ESTADO RESULTADOS'!$C$71)/1375</f>
        <v>24762.287272727273</v>
      </c>
      <c r="M39" s="122">
        <v>0</v>
      </c>
      <c r="N39" s="122">
        <f t="shared" si="3"/>
        <v>130909.24830794845</v>
      </c>
      <c r="O39" s="122">
        <f t="shared" si="4"/>
        <v>26181.849661589691</v>
      </c>
      <c r="P39" s="336">
        <f t="shared" si="7"/>
        <v>-99909.248307948452</v>
      </c>
      <c r="Q39" s="336">
        <f t="shared" si="5"/>
        <v>21238.849661589691</v>
      </c>
      <c r="R39" s="303">
        <f t="shared" si="6"/>
        <v>4.2967529155552686</v>
      </c>
      <c r="U39" s="2">
        <v>13</v>
      </c>
      <c r="V39" s="2">
        <v>2351</v>
      </c>
    </row>
    <row r="40" spans="1:22" x14ac:dyDescent="0.3">
      <c r="A40" s="2">
        <v>50</v>
      </c>
      <c r="B40" s="41" t="s">
        <v>1589</v>
      </c>
      <c r="C40" s="2">
        <v>14</v>
      </c>
      <c r="D40" s="2" t="s">
        <v>32</v>
      </c>
      <c r="E40" s="294">
        <v>11156</v>
      </c>
      <c r="F40" s="296">
        <v>15400</v>
      </c>
      <c r="G40" s="352">
        <v>2</v>
      </c>
      <c r="H40" s="296">
        <f t="shared" si="0"/>
        <v>22312</v>
      </c>
      <c r="I40" s="122">
        <f t="shared" si="1"/>
        <v>30800</v>
      </c>
      <c r="J40" s="331">
        <f t="shared" si="2"/>
        <v>8488</v>
      </c>
      <c r="K40" s="292">
        <f>'09-RESUMEN'!$F$43/1375</f>
        <v>81431.961035221175</v>
      </c>
      <c r="L40" s="122">
        <f>('ESTADO RESULTADOS'!$C$36+'ESTADO RESULTADOS'!$C$71)/1375</f>
        <v>24762.287272727273</v>
      </c>
      <c r="M40" s="122">
        <v>0</v>
      </c>
      <c r="N40" s="122">
        <f t="shared" si="3"/>
        <v>128506.24830794845</v>
      </c>
      <c r="O40" s="122">
        <f t="shared" si="4"/>
        <v>64253.124153974226</v>
      </c>
      <c r="P40" s="336">
        <f t="shared" si="7"/>
        <v>-97706.248307948452</v>
      </c>
      <c r="Q40" s="336">
        <f t="shared" si="5"/>
        <v>53097.124153974226</v>
      </c>
      <c r="R40" s="303">
        <f t="shared" si="6"/>
        <v>4.7595127423784716</v>
      </c>
      <c r="U40" s="2">
        <v>14</v>
      </c>
      <c r="V40" s="2">
        <v>3895</v>
      </c>
    </row>
    <row r="41" spans="1:22" x14ac:dyDescent="0.3">
      <c r="A41" s="2">
        <v>55</v>
      </c>
      <c r="B41" s="41" t="s">
        <v>48</v>
      </c>
      <c r="C41" s="2">
        <v>6</v>
      </c>
      <c r="D41" s="2" t="s">
        <v>32</v>
      </c>
      <c r="E41" s="294">
        <v>28950</v>
      </c>
      <c r="F41" s="296">
        <v>34500</v>
      </c>
      <c r="G41" s="352">
        <v>2</v>
      </c>
      <c r="H41" s="296">
        <f t="shared" si="0"/>
        <v>57900</v>
      </c>
      <c r="I41" s="122">
        <f t="shared" si="1"/>
        <v>69000</v>
      </c>
      <c r="J41" s="331">
        <f t="shared" si="2"/>
        <v>11100</v>
      </c>
      <c r="K41" s="292">
        <f>'09-RESUMEN'!$F$43/1375</f>
        <v>81431.961035221175</v>
      </c>
      <c r="L41" s="122">
        <f>('ESTADO RESULTADOS'!$C$36+'ESTADO RESULTADOS'!$C$71)/1375</f>
        <v>24762.287272727273</v>
      </c>
      <c r="M41" s="122">
        <v>0</v>
      </c>
      <c r="N41" s="122">
        <f t="shared" si="3"/>
        <v>164094.24830794844</v>
      </c>
      <c r="O41" s="122">
        <f t="shared" si="4"/>
        <v>82047.124153974219</v>
      </c>
      <c r="P41" s="336">
        <f t="shared" si="7"/>
        <v>-95094.248307948437</v>
      </c>
      <c r="Q41" s="336">
        <f t="shared" si="5"/>
        <v>53097.124153974219</v>
      </c>
      <c r="R41" s="303">
        <f t="shared" si="6"/>
        <v>1.834097552814308</v>
      </c>
      <c r="U41" s="2">
        <v>16</v>
      </c>
      <c r="V41" s="2">
        <v>245</v>
      </c>
    </row>
    <row r="42" spans="1:22" x14ac:dyDescent="0.3">
      <c r="A42" s="2">
        <v>59</v>
      </c>
      <c r="B42" s="41" t="s">
        <v>49</v>
      </c>
      <c r="C42" s="2">
        <v>14</v>
      </c>
      <c r="D42" s="2" t="s">
        <v>50</v>
      </c>
      <c r="E42" s="294">
        <v>167.5384</v>
      </c>
      <c r="F42" s="296">
        <v>300</v>
      </c>
      <c r="G42" s="352">
        <v>174</v>
      </c>
      <c r="H42" s="296">
        <f t="shared" si="0"/>
        <v>29151.6816</v>
      </c>
      <c r="I42" s="122">
        <f t="shared" si="1"/>
        <v>52200</v>
      </c>
      <c r="J42" s="331">
        <f t="shared" si="2"/>
        <v>23048.3184</v>
      </c>
      <c r="K42" s="292">
        <f>'09-RESUMEN'!$F$43/1375</f>
        <v>81431.961035221175</v>
      </c>
      <c r="L42" s="122">
        <f>('ESTADO RESULTADOS'!$C$36+'ESTADO RESULTADOS'!$C$71)/1375</f>
        <v>24762.287272727273</v>
      </c>
      <c r="M42" s="122">
        <v>0</v>
      </c>
      <c r="N42" s="122">
        <f t="shared" si="3"/>
        <v>135345.92990794845</v>
      </c>
      <c r="O42" s="122">
        <f t="shared" si="4"/>
        <v>777.85017188476115</v>
      </c>
      <c r="P42" s="336">
        <f t="shared" si="7"/>
        <v>-83145.929907948448</v>
      </c>
      <c r="Q42" s="336">
        <f t="shared" si="5"/>
        <v>610.31177188476113</v>
      </c>
      <c r="R42" s="303">
        <f t="shared" si="6"/>
        <v>3.642817240016385</v>
      </c>
      <c r="U42" s="52" t="s">
        <v>1935</v>
      </c>
      <c r="V42" s="2">
        <v>64001.999999970198</v>
      </c>
    </row>
    <row r="43" spans="1:22" x14ac:dyDescent="0.3">
      <c r="A43" s="2">
        <v>61</v>
      </c>
      <c r="B43" s="41" t="s">
        <v>1590</v>
      </c>
      <c r="C43" s="2">
        <v>6</v>
      </c>
      <c r="D43" s="2" t="s">
        <v>32</v>
      </c>
      <c r="E43" s="294">
        <v>7300</v>
      </c>
      <c r="F43" s="296">
        <v>9500</v>
      </c>
      <c r="G43" s="352">
        <v>0</v>
      </c>
      <c r="H43" s="296">
        <f t="shared" si="0"/>
        <v>0</v>
      </c>
      <c r="I43" s="122">
        <f t="shared" si="1"/>
        <v>0</v>
      </c>
      <c r="J43" s="331">
        <f t="shared" si="2"/>
        <v>0</v>
      </c>
      <c r="K43" s="292">
        <f>'09-RESUMEN'!$F$43/1375</f>
        <v>81431.961035221175</v>
      </c>
      <c r="L43" s="122">
        <f>('ESTADO RESULTADOS'!$C$36+'ESTADO RESULTADOS'!$C$71)/1375</f>
        <v>24762.287272727273</v>
      </c>
      <c r="M43" s="122">
        <v>0</v>
      </c>
      <c r="N43" s="122">
        <f>SUM(E43+K43+L43+M43)</f>
        <v>113494.24830794845</v>
      </c>
      <c r="O43" s="122">
        <f>N43</f>
        <v>113494.24830794845</v>
      </c>
      <c r="P43" s="336">
        <f t="shared" si="7"/>
        <v>-113494.24830794845</v>
      </c>
      <c r="Q43" s="336">
        <f t="shared" si="5"/>
        <v>106194.24830794845</v>
      </c>
      <c r="R43" s="303">
        <f t="shared" si="6"/>
        <v>14.547157302458691</v>
      </c>
    </row>
    <row r="44" spans="1:22" x14ac:dyDescent="0.3">
      <c r="A44" s="2">
        <v>63</v>
      </c>
      <c r="B44" s="41" t="s">
        <v>51</v>
      </c>
      <c r="C44" s="2">
        <v>9</v>
      </c>
      <c r="D44" s="2" t="s">
        <v>12</v>
      </c>
      <c r="E44" s="294">
        <v>12000</v>
      </c>
      <c r="F44" s="296">
        <v>25000</v>
      </c>
      <c r="G44" s="352">
        <v>1</v>
      </c>
      <c r="H44" s="296">
        <f t="shared" si="0"/>
        <v>12000</v>
      </c>
      <c r="I44" s="122">
        <f t="shared" si="1"/>
        <v>25000</v>
      </c>
      <c r="J44" s="331">
        <f t="shared" si="2"/>
        <v>13000</v>
      </c>
      <c r="K44" s="292">
        <f>'09-RESUMEN'!$F$43/1375</f>
        <v>81431.961035221175</v>
      </c>
      <c r="L44" s="122">
        <f>('ESTADO RESULTADOS'!$C$36+'ESTADO RESULTADOS'!$C$71)/1375</f>
        <v>24762.287272727273</v>
      </c>
      <c r="M44" s="122">
        <v>0</v>
      </c>
      <c r="N44" s="122">
        <f t="shared" ref="N44:N50" si="8">SUM(H44+K44+L44+M44)</f>
        <v>118194.24830794845</v>
      </c>
      <c r="O44" s="122">
        <f t="shared" ref="O44:O50" si="9">N44/G44</f>
        <v>118194.24830794845</v>
      </c>
      <c r="P44" s="336">
        <f t="shared" si="7"/>
        <v>-93194.248307948452</v>
      </c>
      <c r="Q44" s="336">
        <f t="shared" si="5"/>
        <v>106194.24830794845</v>
      </c>
      <c r="R44" s="303">
        <f t="shared" si="6"/>
        <v>8.8495206923290368</v>
      </c>
    </row>
    <row r="45" spans="1:22" x14ac:dyDescent="0.3">
      <c r="A45" s="2">
        <v>64</v>
      </c>
      <c r="B45" s="41" t="s">
        <v>52</v>
      </c>
      <c r="C45" s="2">
        <v>14</v>
      </c>
      <c r="D45" s="2" t="s">
        <v>21</v>
      </c>
      <c r="E45" s="294">
        <v>4500</v>
      </c>
      <c r="F45" s="296">
        <v>5133.333333333333</v>
      </c>
      <c r="G45" s="352">
        <v>7</v>
      </c>
      <c r="H45" s="296">
        <f t="shared" si="0"/>
        <v>31500</v>
      </c>
      <c r="I45" s="122">
        <f t="shared" si="1"/>
        <v>35933.333333333328</v>
      </c>
      <c r="J45" s="331">
        <f t="shared" si="2"/>
        <v>4433.3333333333285</v>
      </c>
      <c r="K45" s="292">
        <f>'09-RESUMEN'!$F$43/1375</f>
        <v>81431.961035221175</v>
      </c>
      <c r="L45" s="122">
        <f>('ESTADO RESULTADOS'!$C$36+'ESTADO RESULTADOS'!$C$71)/1375</f>
        <v>24762.287272727273</v>
      </c>
      <c r="M45" s="122">
        <v>0</v>
      </c>
      <c r="N45" s="122">
        <f t="shared" si="8"/>
        <v>137694.24830794844</v>
      </c>
      <c r="O45" s="122">
        <f t="shared" si="9"/>
        <v>19670.606901135492</v>
      </c>
      <c r="P45" s="336">
        <f t="shared" si="7"/>
        <v>-101760.91497461511</v>
      </c>
      <c r="Q45" s="336">
        <f t="shared" si="5"/>
        <v>15170.606901135492</v>
      </c>
      <c r="R45" s="303">
        <f t="shared" si="6"/>
        <v>3.3712459780301094</v>
      </c>
      <c r="U45" s="487" t="s">
        <v>1943</v>
      </c>
      <c r="V45" s="487"/>
    </row>
    <row r="46" spans="1:22" x14ac:dyDescent="0.3">
      <c r="A46" s="2">
        <v>65</v>
      </c>
      <c r="B46" s="41" t="s">
        <v>53</v>
      </c>
      <c r="C46" s="2">
        <v>4</v>
      </c>
      <c r="D46" s="2" t="s">
        <v>32</v>
      </c>
      <c r="E46" s="294">
        <v>98000</v>
      </c>
      <c r="F46" s="296">
        <v>117000</v>
      </c>
      <c r="G46" s="352">
        <v>98</v>
      </c>
      <c r="H46" s="296">
        <f t="shared" si="0"/>
        <v>9604000</v>
      </c>
      <c r="I46" s="122">
        <f t="shared" si="1"/>
        <v>11466000</v>
      </c>
      <c r="J46" s="331">
        <f t="shared" si="2"/>
        <v>1862000</v>
      </c>
      <c r="K46" s="292">
        <f>'09-RESUMEN'!$F$43/1375</f>
        <v>81431.961035221175</v>
      </c>
      <c r="L46" s="122">
        <f>('ESTADO RESULTADOS'!$C$36+'ESTADO RESULTADOS'!$C$71)/1375</f>
        <v>24762.287272727273</v>
      </c>
      <c r="M46" s="122">
        <v>0</v>
      </c>
      <c r="N46" s="122">
        <f t="shared" si="8"/>
        <v>9710194.2483079489</v>
      </c>
      <c r="O46" s="122">
        <f t="shared" si="9"/>
        <v>99083.61477865254</v>
      </c>
      <c r="P46" s="336">
        <f t="shared" si="7"/>
        <v>1755805.7516920511</v>
      </c>
      <c r="Q46" s="336">
        <f t="shared" si="5"/>
        <v>1083.6147786525398</v>
      </c>
      <c r="R46" s="303">
        <f t="shared" si="6"/>
        <v>1.1057293659719794E-2</v>
      </c>
      <c r="U46" s="333" t="s">
        <v>1959</v>
      </c>
      <c r="V46" s="2" t="s">
        <v>1566</v>
      </c>
    </row>
    <row r="47" spans="1:22" x14ac:dyDescent="0.3">
      <c r="A47" s="2">
        <v>66</v>
      </c>
      <c r="B47" s="41" t="s">
        <v>54</v>
      </c>
      <c r="C47" s="2">
        <v>9</v>
      </c>
      <c r="D47" s="2" t="s">
        <v>12</v>
      </c>
      <c r="E47" s="294">
        <v>28717.5</v>
      </c>
      <c r="F47" s="296">
        <v>32716.666666666668</v>
      </c>
      <c r="G47" s="352">
        <v>1</v>
      </c>
      <c r="H47" s="296">
        <f t="shared" si="0"/>
        <v>28717.5</v>
      </c>
      <c r="I47" s="122">
        <f t="shared" si="1"/>
        <v>32716.666666666668</v>
      </c>
      <c r="J47" s="331">
        <f t="shared" si="2"/>
        <v>3999.1666666666679</v>
      </c>
      <c r="K47" s="292">
        <f>'09-RESUMEN'!$F$43/1375</f>
        <v>81431.961035221175</v>
      </c>
      <c r="L47" s="122">
        <f>('ESTADO RESULTADOS'!$C$36+'ESTADO RESULTADOS'!$C$71)/1375</f>
        <v>24762.287272727273</v>
      </c>
      <c r="M47" s="122">
        <v>0</v>
      </c>
      <c r="N47" s="122">
        <f t="shared" si="8"/>
        <v>134911.74830794844</v>
      </c>
      <c r="O47" s="122">
        <f t="shared" si="9"/>
        <v>134911.74830794844</v>
      </c>
      <c r="P47" s="336">
        <f t="shared" si="7"/>
        <v>-102195.08164128177</v>
      </c>
      <c r="Q47" s="336">
        <f t="shared" si="5"/>
        <v>106194.24830794844</v>
      </c>
      <c r="R47" s="303">
        <f t="shared" si="6"/>
        <v>3.6978932117332093</v>
      </c>
      <c r="U47" s="2">
        <v>207</v>
      </c>
      <c r="V47" s="3">
        <v>5325305.7516920567</v>
      </c>
    </row>
    <row r="48" spans="1:22" x14ac:dyDescent="0.3">
      <c r="A48" s="2">
        <v>69</v>
      </c>
      <c r="B48" s="41" t="s">
        <v>55</v>
      </c>
      <c r="C48" s="2">
        <v>10</v>
      </c>
      <c r="D48" s="2" t="s">
        <v>12</v>
      </c>
      <c r="E48" s="294">
        <v>11300.1</v>
      </c>
      <c r="F48" s="296">
        <v>13833.333333333334</v>
      </c>
      <c r="G48" s="352">
        <v>30</v>
      </c>
      <c r="H48" s="296">
        <f t="shared" si="0"/>
        <v>339003</v>
      </c>
      <c r="I48" s="122">
        <f t="shared" si="1"/>
        <v>415000</v>
      </c>
      <c r="J48" s="331">
        <f t="shared" si="2"/>
        <v>75997</v>
      </c>
      <c r="K48" s="292">
        <f>'09-RESUMEN'!$F$43/1375</f>
        <v>81431.961035221175</v>
      </c>
      <c r="L48" s="122">
        <f>('ESTADO RESULTADOS'!$C$36+'ESTADO RESULTADOS'!$C$71)/1375</f>
        <v>24762.287272727273</v>
      </c>
      <c r="M48" s="122">
        <v>0</v>
      </c>
      <c r="N48" s="122">
        <f t="shared" si="8"/>
        <v>445197.24830794847</v>
      </c>
      <c r="O48" s="122">
        <f t="shared" si="9"/>
        <v>14839.908276931616</v>
      </c>
      <c r="P48" s="336">
        <f t="shared" si="7"/>
        <v>-30197.248307948466</v>
      </c>
      <c r="Q48" s="336">
        <f t="shared" si="5"/>
        <v>3539.8082769316152</v>
      </c>
      <c r="R48" s="303">
        <f t="shared" si="6"/>
        <v>0.31325459747538653</v>
      </c>
      <c r="U48" s="2">
        <v>226</v>
      </c>
      <c r="V48" s="3">
        <v>5675303.7516920567</v>
      </c>
    </row>
    <row r="49" spans="1:22" x14ac:dyDescent="0.3">
      <c r="A49" s="2">
        <v>76</v>
      </c>
      <c r="B49" s="41" t="s">
        <v>57</v>
      </c>
      <c r="C49" s="2">
        <v>5</v>
      </c>
      <c r="D49" s="2" t="s">
        <v>16</v>
      </c>
      <c r="E49" s="294">
        <v>112065</v>
      </c>
      <c r="F49" s="296">
        <v>135000</v>
      </c>
      <c r="G49" s="352">
        <v>7</v>
      </c>
      <c r="H49" s="296">
        <f t="shared" si="0"/>
        <v>784455</v>
      </c>
      <c r="I49" s="122">
        <f t="shared" si="1"/>
        <v>945000</v>
      </c>
      <c r="J49" s="331">
        <f t="shared" si="2"/>
        <v>160545</v>
      </c>
      <c r="K49" s="292">
        <f>'09-RESUMEN'!$F$43/1375</f>
        <v>81431.961035221175</v>
      </c>
      <c r="L49" s="122">
        <f>('ESTADO RESULTADOS'!$C$36+'ESTADO RESULTADOS'!$C$71)/1375</f>
        <v>24762.287272727273</v>
      </c>
      <c r="M49" s="122">
        <v>0</v>
      </c>
      <c r="N49" s="122">
        <f t="shared" si="8"/>
        <v>890649.24830794835</v>
      </c>
      <c r="O49" s="122">
        <f t="shared" si="9"/>
        <v>127235.60690113548</v>
      </c>
      <c r="P49" s="336">
        <f t="shared" si="7"/>
        <v>54350.75169205165</v>
      </c>
      <c r="Q49" s="336">
        <f t="shared" si="5"/>
        <v>15170.606901135485</v>
      </c>
      <c r="R49" s="303">
        <f t="shared" si="6"/>
        <v>0.13537328248012748</v>
      </c>
      <c r="U49" s="2">
        <v>1474</v>
      </c>
      <c r="V49" s="3">
        <v>4872910.7516920492</v>
      </c>
    </row>
    <row r="50" spans="1:22" x14ac:dyDescent="0.3">
      <c r="A50" s="2">
        <v>77</v>
      </c>
      <c r="B50" s="41" t="s">
        <v>1591</v>
      </c>
      <c r="C50" s="2">
        <v>5</v>
      </c>
      <c r="D50" s="2" t="s">
        <v>32</v>
      </c>
      <c r="E50" s="294">
        <v>30182</v>
      </c>
      <c r="F50" s="296">
        <v>35000</v>
      </c>
      <c r="G50" s="352">
        <v>14</v>
      </c>
      <c r="H50" s="296">
        <f t="shared" si="0"/>
        <v>422548</v>
      </c>
      <c r="I50" s="122">
        <f t="shared" si="1"/>
        <v>490000</v>
      </c>
      <c r="J50" s="331">
        <f t="shared" si="2"/>
        <v>67452</v>
      </c>
      <c r="K50" s="292">
        <f>'09-RESUMEN'!$F$43/1375</f>
        <v>81431.961035221175</v>
      </c>
      <c r="L50" s="122">
        <f>('ESTADO RESULTADOS'!$C$36+'ESTADO RESULTADOS'!$C$71)/1375</f>
        <v>24762.287272727273</v>
      </c>
      <c r="M50" s="122">
        <v>0</v>
      </c>
      <c r="N50" s="122">
        <f t="shared" si="8"/>
        <v>528742.24830794847</v>
      </c>
      <c r="O50" s="122">
        <f t="shared" si="9"/>
        <v>37767.30345056775</v>
      </c>
      <c r="P50" s="336">
        <f t="shared" si="7"/>
        <v>-38742.248307948466</v>
      </c>
      <c r="Q50" s="336">
        <f t="shared" si="5"/>
        <v>7585.3034505677497</v>
      </c>
      <c r="R50" s="303">
        <f t="shared" si="6"/>
        <v>0.25131878108037076</v>
      </c>
      <c r="U50" s="2">
        <v>1611</v>
      </c>
      <c r="V50" s="3">
        <v>4875111.7516920492</v>
      </c>
    </row>
    <row r="51" spans="1:22" x14ac:dyDescent="0.3">
      <c r="A51" s="2">
        <v>80</v>
      </c>
      <c r="B51" s="41" t="s">
        <v>1592</v>
      </c>
      <c r="C51" s="2">
        <v>14</v>
      </c>
      <c r="D51" s="2" t="s">
        <v>32</v>
      </c>
      <c r="E51" s="294">
        <v>12811.54</v>
      </c>
      <c r="F51" s="296">
        <v>14700</v>
      </c>
      <c r="G51" s="352">
        <v>0</v>
      </c>
      <c r="H51" s="296">
        <f t="shared" si="0"/>
        <v>0</v>
      </c>
      <c r="I51" s="122">
        <f t="shared" si="1"/>
        <v>0</v>
      </c>
      <c r="J51" s="331">
        <f t="shared" si="2"/>
        <v>0</v>
      </c>
      <c r="K51" s="292">
        <f>'09-RESUMEN'!$F$43/1375</f>
        <v>81431.961035221175</v>
      </c>
      <c r="L51" s="122">
        <f>('ESTADO RESULTADOS'!$C$36+'ESTADO RESULTADOS'!$C$71)/1375</f>
        <v>24762.287272727273</v>
      </c>
      <c r="M51" s="122">
        <v>0</v>
      </c>
      <c r="N51" s="122">
        <f>SUM(E51+K51+L51+M51)</f>
        <v>119005.78830794846</v>
      </c>
      <c r="O51" s="122">
        <f>N51</f>
        <v>119005.78830794846</v>
      </c>
      <c r="P51" s="336">
        <f t="shared" si="7"/>
        <v>-119005.78830794846</v>
      </c>
      <c r="Q51" s="336">
        <f t="shared" si="5"/>
        <v>106194.24830794847</v>
      </c>
      <c r="R51" s="303">
        <f t="shared" si="6"/>
        <v>8.2889526401937985</v>
      </c>
      <c r="U51" s="2">
        <v>2015</v>
      </c>
      <c r="V51" s="3">
        <v>10004597.226692051</v>
      </c>
    </row>
    <row r="52" spans="1:22" x14ac:dyDescent="0.3">
      <c r="A52" s="2">
        <v>81</v>
      </c>
      <c r="B52" s="41" t="s">
        <v>58</v>
      </c>
      <c r="C52" s="2">
        <v>14</v>
      </c>
      <c r="D52" s="2" t="s">
        <v>59</v>
      </c>
      <c r="E52" s="294">
        <v>16145</v>
      </c>
      <c r="F52" s="296">
        <v>18266.666666666668</v>
      </c>
      <c r="G52" s="352">
        <v>9</v>
      </c>
      <c r="H52" s="296">
        <f t="shared" si="0"/>
        <v>145305</v>
      </c>
      <c r="I52" s="122">
        <f t="shared" si="1"/>
        <v>164400</v>
      </c>
      <c r="J52" s="331">
        <f t="shared" si="2"/>
        <v>19095</v>
      </c>
      <c r="K52" s="292">
        <f>'09-RESUMEN'!$F$43/1375</f>
        <v>81431.961035221175</v>
      </c>
      <c r="L52" s="122">
        <f>('ESTADO RESULTADOS'!$C$36+'ESTADO RESULTADOS'!$C$71)/1375</f>
        <v>24762.287272727273</v>
      </c>
      <c r="M52" s="122">
        <v>0</v>
      </c>
      <c r="N52" s="122">
        <f>SUM(H52+K52+L52+M52)</f>
        <v>251499.24830794844</v>
      </c>
      <c r="O52" s="122">
        <f>N52/G52</f>
        <v>27944.360923105382</v>
      </c>
      <c r="P52" s="336">
        <f t="shared" si="7"/>
        <v>-87099.248307948437</v>
      </c>
      <c r="Q52" s="336">
        <f t="shared" si="5"/>
        <v>11799.360923105382</v>
      </c>
      <c r="R52" s="303">
        <f t="shared" si="6"/>
        <v>0.73083684875226895</v>
      </c>
      <c r="U52" s="2" t="s">
        <v>1935</v>
      </c>
      <c r="V52" s="3">
        <v>30753229.233460262</v>
      </c>
    </row>
    <row r="53" spans="1:22" x14ac:dyDescent="0.3">
      <c r="A53" s="2">
        <v>83</v>
      </c>
      <c r="B53" s="41" t="s">
        <v>60</v>
      </c>
      <c r="C53" s="2">
        <v>12</v>
      </c>
      <c r="D53" s="2" t="s">
        <v>12</v>
      </c>
      <c r="E53" s="294">
        <v>5400</v>
      </c>
      <c r="F53" s="296">
        <v>6200</v>
      </c>
      <c r="G53" s="352">
        <v>41</v>
      </c>
      <c r="H53" s="296">
        <f t="shared" si="0"/>
        <v>221400</v>
      </c>
      <c r="I53" s="122">
        <f t="shared" si="1"/>
        <v>254200</v>
      </c>
      <c r="J53" s="331">
        <f t="shared" si="2"/>
        <v>32800</v>
      </c>
      <c r="K53" s="292">
        <f>'09-RESUMEN'!$F$43/1375</f>
        <v>81431.961035221175</v>
      </c>
      <c r="L53" s="122">
        <f>('ESTADO RESULTADOS'!$C$36+'ESTADO RESULTADOS'!$C$71)/1375</f>
        <v>24762.287272727273</v>
      </c>
      <c r="M53" s="122">
        <v>0</v>
      </c>
      <c r="N53" s="122">
        <f>SUM(H53+K53+L53+M53)</f>
        <v>327594.24830794847</v>
      </c>
      <c r="O53" s="122">
        <f>N53/G53</f>
        <v>7990.1036172670356</v>
      </c>
      <c r="P53" s="336">
        <f t="shared" si="7"/>
        <v>-73394.248307948466</v>
      </c>
      <c r="Q53" s="336">
        <f t="shared" si="5"/>
        <v>2590.1036172670356</v>
      </c>
      <c r="R53" s="303">
        <f t="shared" si="6"/>
        <v>0.47964881801241399</v>
      </c>
    </row>
    <row r="54" spans="1:22" x14ac:dyDescent="0.3">
      <c r="A54" s="2">
        <v>86</v>
      </c>
      <c r="B54" s="41" t="s">
        <v>61</v>
      </c>
      <c r="C54" s="2">
        <v>12</v>
      </c>
      <c r="D54" s="2" t="s">
        <v>12</v>
      </c>
      <c r="E54" s="294">
        <v>19000.000100000001</v>
      </c>
      <c r="F54" s="296">
        <v>24000</v>
      </c>
      <c r="G54" s="352">
        <v>0</v>
      </c>
      <c r="H54" s="296">
        <f t="shared" si="0"/>
        <v>0</v>
      </c>
      <c r="I54" s="122">
        <f t="shared" si="1"/>
        <v>0</v>
      </c>
      <c r="J54" s="331">
        <f t="shared" si="2"/>
        <v>0</v>
      </c>
      <c r="K54" s="292">
        <f>'09-RESUMEN'!$F$43/1375</f>
        <v>81431.961035221175</v>
      </c>
      <c r="L54" s="122">
        <f>('ESTADO RESULTADOS'!$C$36+'ESTADO RESULTADOS'!$C$71)/1375</f>
        <v>24762.287272727273</v>
      </c>
      <c r="M54" s="122">
        <v>0</v>
      </c>
      <c r="N54" s="122">
        <f>SUM(E54+K54+L54+M54)</f>
        <v>125194.24840794846</v>
      </c>
      <c r="O54" s="122">
        <f>N54</f>
        <v>125194.24840794846</v>
      </c>
      <c r="P54" s="336">
        <f t="shared" si="7"/>
        <v>-125194.24840794846</v>
      </c>
      <c r="Q54" s="336">
        <f t="shared" si="5"/>
        <v>106194.24830794845</v>
      </c>
      <c r="R54" s="303">
        <f t="shared" si="6"/>
        <v>5.5891709341595446</v>
      </c>
    </row>
    <row r="55" spans="1:22" x14ac:dyDescent="0.3">
      <c r="A55" s="2">
        <v>87</v>
      </c>
      <c r="B55" s="41" t="s">
        <v>62</v>
      </c>
      <c r="C55" s="2">
        <v>12</v>
      </c>
      <c r="D55" s="2" t="s">
        <v>12</v>
      </c>
      <c r="E55" s="294">
        <v>3150</v>
      </c>
      <c r="F55" s="296">
        <v>5200</v>
      </c>
      <c r="G55" s="352">
        <v>1</v>
      </c>
      <c r="H55" s="296">
        <f t="shared" si="0"/>
        <v>3150</v>
      </c>
      <c r="I55" s="122">
        <f t="shared" si="1"/>
        <v>5200</v>
      </c>
      <c r="J55" s="331">
        <f t="shared" si="2"/>
        <v>2050</v>
      </c>
      <c r="K55" s="292">
        <f>'09-RESUMEN'!$F$43/1375</f>
        <v>81431.961035221175</v>
      </c>
      <c r="L55" s="122">
        <f>('ESTADO RESULTADOS'!$C$36+'ESTADO RESULTADOS'!$C$71)/1375</f>
        <v>24762.287272727273</v>
      </c>
      <c r="M55" s="122">
        <v>0</v>
      </c>
      <c r="N55" s="122">
        <f>SUM(H55+K55+L55+M55)</f>
        <v>109344.24830794845</v>
      </c>
      <c r="O55" s="122">
        <f>N55/G55</f>
        <v>109344.24830794845</v>
      </c>
      <c r="P55" s="336">
        <f t="shared" si="7"/>
        <v>-104144.24830794845</v>
      </c>
      <c r="Q55" s="336">
        <f t="shared" si="5"/>
        <v>106194.24830794845</v>
      </c>
      <c r="R55" s="303">
        <f t="shared" si="6"/>
        <v>33.712459780301096</v>
      </c>
    </row>
    <row r="56" spans="1:22" x14ac:dyDescent="0.3">
      <c r="A56" s="2">
        <v>91</v>
      </c>
      <c r="B56" s="41" t="s">
        <v>63</v>
      </c>
      <c r="C56" s="2">
        <v>7</v>
      </c>
      <c r="D56" s="2" t="s">
        <v>21</v>
      </c>
      <c r="E56" s="294">
        <v>600</v>
      </c>
      <c r="F56" s="296">
        <v>1000</v>
      </c>
      <c r="G56" s="352">
        <v>6</v>
      </c>
      <c r="H56" s="296">
        <f t="shared" si="0"/>
        <v>3600</v>
      </c>
      <c r="I56" s="122">
        <f t="shared" si="1"/>
        <v>6000</v>
      </c>
      <c r="J56" s="331">
        <f t="shared" si="2"/>
        <v>2400</v>
      </c>
      <c r="K56" s="292">
        <f>'09-RESUMEN'!$F$43/1375</f>
        <v>81431.961035221175</v>
      </c>
      <c r="L56" s="122">
        <f>('ESTADO RESULTADOS'!$C$36+'ESTADO RESULTADOS'!$C$71)/1375</f>
        <v>24762.287272727273</v>
      </c>
      <c r="M56" s="122">
        <v>0</v>
      </c>
      <c r="N56" s="122">
        <f>SUM(H56+K56+L56+M56)</f>
        <v>109794.24830794845</v>
      </c>
      <c r="O56" s="122">
        <f>N56/G56</f>
        <v>18299.041384658074</v>
      </c>
      <c r="P56" s="336">
        <f t="shared" si="7"/>
        <v>-103794.24830794845</v>
      </c>
      <c r="Q56" s="336">
        <f t="shared" si="5"/>
        <v>17699.041384658074</v>
      </c>
      <c r="R56" s="303">
        <f t="shared" si="6"/>
        <v>29.498402307763456</v>
      </c>
    </row>
    <row r="57" spans="1:22" x14ac:dyDescent="0.3">
      <c r="A57" s="2">
        <v>93</v>
      </c>
      <c r="B57" s="41" t="s">
        <v>1593</v>
      </c>
      <c r="C57" s="2">
        <v>4</v>
      </c>
      <c r="D57" s="2" t="s">
        <v>35</v>
      </c>
      <c r="E57" s="294">
        <v>41503</v>
      </c>
      <c r="F57" s="296">
        <v>48000</v>
      </c>
      <c r="G57" s="352">
        <v>0</v>
      </c>
      <c r="H57" s="296">
        <f t="shared" si="0"/>
        <v>0</v>
      </c>
      <c r="I57" s="122">
        <f t="shared" si="1"/>
        <v>0</v>
      </c>
      <c r="J57" s="331">
        <f t="shared" si="2"/>
        <v>0</v>
      </c>
      <c r="K57" s="292">
        <f>'09-RESUMEN'!$F$43/1375</f>
        <v>81431.961035221175</v>
      </c>
      <c r="L57" s="122">
        <f>('ESTADO RESULTADOS'!$C$36+'ESTADO RESULTADOS'!$C$71)/1375</f>
        <v>24762.287272727273</v>
      </c>
      <c r="M57" s="122">
        <v>0</v>
      </c>
      <c r="N57" s="122">
        <f>SUM(E57+K57+L57+M57)</f>
        <v>147697.24830794844</v>
      </c>
      <c r="O57" s="122">
        <f>N57</f>
        <v>147697.24830794844</v>
      </c>
      <c r="P57" s="336">
        <f t="shared" si="7"/>
        <v>-147697.24830794844</v>
      </c>
      <c r="Q57" s="336">
        <f t="shared" si="5"/>
        <v>106194.24830794844</v>
      </c>
      <c r="R57" s="303">
        <f t="shared" si="6"/>
        <v>2.5587125824144867</v>
      </c>
    </row>
    <row r="58" spans="1:22" x14ac:dyDescent="0.3">
      <c r="A58" s="2">
        <v>94</v>
      </c>
      <c r="B58" s="41" t="s">
        <v>64</v>
      </c>
      <c r="C58" s="2">
        <v>1</v>
      </c>
      <c r="D58" s="2" t="s">
        <v>3</v>
      </c>
      <c r="E58" s="321">
        <v>9500</v>
      </c>
      <c r="F58" s="322">
        <v>12000</v>
      </c>
      <c r="G58" s="353">
        <v>461</v>
      </c>
      <c r="H58" s="322">
        <f t="shared" si="0"/>
        <v>4379500</v>
      </c>
      <c r="I58" s="122">
        <f t="shared" si="1"/>
        <v>5532000</v>
      </c>
      <c r="J58" s="331">
        <f t="shared" si="2"/>
        <v>1152500</v>
      </c>
      <c r="K58" s="292">
        <f>'09-RESUMEN'!$F$43/1375</f>
        <v>81431.961035221175</v>
      </c>
      <c r="L58" s="122">
        <f>('ESTADO RESULTADOS'!$C$36+'ESTADO RESULTADOS'!$C$71)/1375</f>
        <v>24762.287272727273</v>
      </c>
      <c r="M58" s="122">
        <v>0</v>
      </c>
      <c r="N58" s="122">
        <f t="shared" ref="N58:N63" si="10">SUM(H58+K58+L58+M58)</f>
        <v>4485694.248307948</v>
      </c>
      <c r="O58" s="122">
        <f t="shared" ref="O58:O63" si="11">N58/G58</f>
        <v>9730.356287002056</v>
      </c>
      <c r="P58" s="336">
        <f t="shared" si="7"/>
        <v>1046305.751692052</v>
      </c>
      <c r="Q58" s="336">
        <f t="shared" si="5"/>
        <v>230.35628700205598</v>
      </c>
      <c r="R58" s="303">
        <f t="shared" si="6"/>
        <v>2.4248030210742736E-2</v>
      </c>
    </row>
    <row r="59" spans="1:22" x14ac:dyDescent="0.3">
      <c r="A59" s="2">
        <v>96</v>
      </c>
      <c r="B59" s="41" t="s">
        <v>65</v>
      </c>
      <c r="C59" s="2">
        <v>14</v>
      </c>
      <c r="D59" s="2" t="s">
        <v>35</v>
      </c>
      <c r="E59" s="294">
        <v>4381.6499999999996</v>
      </c>
      <c r="F59" s="296">
        <v>5133.333333333333</v>
      </c>
      <c r="G59" s="352">
        <v>56</v>
      </c>
      <c r="H59" s="296">
        <f t="shared" si="0"/>
        <v>245372.39999999997</v>
      </c>
      <c r="I59" s="122">
        <f t="shared" si="1"/>
        <v>287466.66666666663</v>
      </c>
      <c r="J59" s="331">
        <f t="shared" si="2"/>
        <v>42094.266666666663</v>
      </c>
      <c r="K59" s="292">
        <f>'09-RESUMEN'!$F$43/1375</f>
        <v>81431.961035221175</v>
      </c>
      <c r="L59" s="122">
        <f>('ESTADO RESULTADOS'!$C$36+'ESTADO RESULTADOS'!$C$71)/1375</f>
        <v>24762.287272727273</v>
      </c>
      <c r="M59" s="122">
        <v>0</v>
      </c>
      <c r="N59" s="122">
        <f t="shared" si="10"/>
        <v>351566.64830794843</v>
      </c>
      <c r="O59" s="122">
        <f t="shared" si="11"/>
        <v>6277.9758626419361</v>
      </c>
      <c r="P59" s="336">
        <f t="shared" si="7"/>
        <v>-64099.981641281804</v>
      </c>
      <c r="Q59" s="336">
        <f t="shared" si="5"/>
        <v>1896.3258626419365</v>
      </c>
      <c r="R59" s="303">
        <f t="shared" si="6"/>
        <v>0.43278807358915855</v>
      </c>
    </row>
    <row r="60" spans="1:22" x14ac:dyDescent="0.3">
      <c r="A60" s="2">
        <v>97</v>
      </c>
      <c r="B60" s="41" t="s">
        <v>66</v>
      </c>
      <c r="C60" s="2">
        <v>1</v>
      </c>
      <c r="D60" s="2" t="s">
        <v>3</v>
      </c>
      <c r="E60" s="321">
        <v>38800</v>
      </c>
      <c r="F60" s="322">
        <v>42100</v>
      </c>
      <c r="G60" s="353">
        <v>116</v>
      </c>
      <c r="H60" s="322">
        <f t="shared" si="0"/>
        <v>4500800</v>
      </c>
      <c r="I60" s="122">
        <f t="shared" si="1"/>
        <v>4883600</v>
      </c>
      <c r="J60" s="331">
        <f t="shared" si="2"/>
        <v>382800</v>
      </c>
      <c r="K60" s="292">
        <f>'09-RESUMEN'!$F$43/1375</f>
        <v>81431.961035221175</v>
      </c>
      <c r="L60" s="122">
        <f>('ESTADO RESULTADOS'!$C$36+'ESTADO RESULTADOS'!$C$71)/1375</f>
        <v>24762.287272727273</v>
      </c>
      <c r="M60" s="122">
        <v>0</v>
      </c>
      <c r="N60" s="122">
        <f t="shared" si="10"/>
        <v>4606994.248307948</v>
      </c>
      <c r="O60" s="122">
        <f t="shared" si="11"/>
        <v>39715.467657827139</v>
      </c>
      <c r="P60" s="336">
        <f t="shared" si="7"/>
        <v>276605.751692052</v>
      </c>
      <c r="Q60" s="336">
        <f t="shared" si="5"/>
        <v>915.46765782713919</v>
      </c>
      <c r="R60" s="303">
        <f t="shared" si="6"/>
        <v>2.3594527263586063E-2</v>
      </c>
    </row>
    <row r="61" spans="1:22" x14ac:dyDescent="0.3">
      <c r="A61" s="2">
        <v>100</v>
      </c>
      <c r="B61" s="41" t="s">
        <v>67</v>
      </c>
      <c r="C61" s="2">
        <v>4</v>
      </c>
      <c r="D61" s="2" t="s">
        <v>32</v>
      </c>
      <c r="E61" s="294">
        <v>27800</v>
      </c>
      <c r="F61" s="296">
        <v>33200</v>
      </c>
      <c r="G61" s="352">
        <v>4</v>
      </c>
      <c r="H61" s="296">
        <f t="shared" si="0"/>
        <v>111200</v>
      </c>
      <c r="I61" s="122">
        <f t="shared" si="1"/>
        <v>132800</v>
      </c>
      <c r="J61" s="331">
        <f t="shared" si="2"/>
        <v>21600</v>
      </c>
      <c r="K61" s="292">
        <f>'09-RESUMEN'!$F$43/1375</f>
        <v>81431.961035221175</v>
      </c>
      <c r="L61" s="122">
        <f>('ESTADO RESULTADOS'!$C$36+'ESTADO RESULTADOS'!$C$71)/1375</f>
        <v>24762.287272727273</v>
      </c>
      <c r="M61" s="122">
        <v>0</v>
      </c>
      <c r="N61" s="122">
        <f t="shared" si="10"/>
        <v>217394.24830794844</v>
      </c>
      <c r="O61" s="122">
        <f t="shared" si="11"/>
        <v>54348.562076987109</v>
      </c>
      <c r="P61" s="336">
        <f t="shared" si="7"/>
        <v>-84594.248307948437</v>
      </c>
      <c r="Q61" s="336">
        <f t="shared" si="5"/>
        <v>26548.562076987109</v>
      </c>
      <c r="R61" s="303">
        <f t="shared" si="6"/>
        <v>0.95498424737363707</v>
      </c>
      <c r="V61" s="40"/>
    </row>
    <row r="62" spans="1:22" x14ac:dyDescent="0.3">
      <c r="A62" s="2">
        <v>101</v>
      </c>
      <c r="B62" s="41" t="s">
        <v>68</v>
      </c>
      <c r="C62" s="2">
        <v>4</v>
      </c>
      <c r="D62" s="2" t="s">
        <v>16</v>
      </c>
      <c r="E62" s="294">
        <v>97100</v>
      </c>
      <c r="F62" s="296">
        <v>112300</v>
      </c>
      <c r="G62" s="352">
        <v>3</v>
      </c>
      <c r="H62" s="296">
        <f t="shared" si="0"/>
        <v>291300</v>
      </c>
      <c r="I62" s="122">
        <f t="shared" si="1"/>
        <v>336900</v>
      </c>
      <c r="J62" s="331">
        <f t="shared" si="2"/>
        <v>45600</v>
      </c>
      <c r="K62" s="292">
        <f>'09-RESUMEN'!$F$43/1375</f>
        <v>81431.961035221175</v>
      </c>
      <c r="L62" s="122">
        <f>('ESTADO RESULTADOS'!$C$36+'ESTADO RESULTADOS'!$C$71)/1375</f>
        <v>24762.287272727273</v>
      </c>
      <c r="M62" s="122">
        <v>0</v>
      </c>
      <c r="N62" s="122">
        <f t="shared" si="10"/>
        <v>397494.24830794847</v>
      </c>
      <c r="O62" s="122">
        <f t="shared" si="11"/>
        <v>132498.08276931616</v>
      </c>
      <c r="P62" s="336">
        <f t="shared" si="7"/>
        <v>-60594.248307948466</v>
      </c>
      <c r="Q62" s="336">
        <f t="shared" si="5"/>
        <v>35398.082769316155</v>
      </c>
      <c r="R62" s="303">
        <f t="shared" si="6"/>
        <v>0.36455286065207165</v>
      </c>
      <c r="V62" s="40"/>
    </row>
    <row r="63" spans="1:22" x14ac:dyDescent="0.3">
      <c r="A63" s="2">
        <v>103</v>
      </c>
      <c r="B63" s="41" t="s">
        <v>69</v>
      </c>
      <c r="C63" s="2">
        <v>4</v>
      </c>
      <c r="D63" s="2" t="s">
        <v>16</v>
      </c>
      <c r="E63" s="294">
        <v>36700</v>
      </c>
      <c r="F63" s="296">
        <v>42100</v>
      </c>
      <c r="G63" s="352">
        <v>29</v>
      </c>
      <c r="H63" s="296">
        <f t="shared" si="0"/>
        <v>1064300</v>
      </c>
      <c r="I63" s="122">
        <f t="shared" si="1"/>
        <v>1220900</v>
      </c>
      <c r="J63" s="331">
        <f t="shared" si="2"/>
        <v>156600</v>
      </c>
      <c r="K63" s="292">
        <f>'09-RESUMEN'!$F$43/1375</f>
        <v>81431.961035221175</v>
      </c>
      <c r="L63" s="122">
        <f>('ESTADO RESULTADOS'!$C$36+'ESTADO RESULTADOS'!$C$71)/1375</f>
        <v>24762.287272727273</v>
      </c>
      <c r="M63" s="122">
        <v>0</v>
      </c>
      <c r="N63" s="122">
        <f t="shared" si="10"/>
        <v>1170494.2483079485</v>
      </c>
      <c r="O63" s="122">
        <f t="shared" si="11"/>
        <v>40361.870631308571</v>
      </c>
      <c r="P63" s="336">
        <f t="shared" si="7"/>
        <v>50405.751692051534</v>
      </c>
      <c r="Q63" s="336">
        <f t="shared" si="5"/>
        <v>3661.8706313085713</v>
      </c>
      <c r="R63" s="303">
        <f t="shared" si="6"/>
        <v>9.977849131630985E-2</v>
      </c>
      <c r="V63" s="40"/>
    </row>
    <row r="64" spans="1:22" x14ac:dyDescent="0.3">
      <c r="A64" s="2">
        <v>105</v>
      </c>
      <c r="B64" s="41" t="s">
        <v>70</v>
      </c>
      <c r="C64" s="2">
        <v>9</v>
      </c>
      <c r="D64" s="2" t="s">
        <v>12</v>
      </c>
      <c r="E64" s="294">
        <v>239904</v>
      </c>
      <c r="F64" s="296">
        <v>272000</v>
      </c>
      <c r="G64" s="352">
        <v>0</v>
      </c>
      <c r="H64" s="296">
        <f t="shared" si="0"/>
        <v>0</v>
      </c>
      <c r="I64" s="122">
        <f t="shared" si="1"/>
        <v>0</v>
      </c>
      <c r="J64" s="331">
        <f t="shared" si="2"/>
        <v>0</v>
      </c>
      <c r="K64" s="292">
        <f>'09-RESUMEN'!$F$43/1375</f>
        <v>81431.961035221175</v>
      </c>
      <c r="L64" s="122">
        <f>('ESTADO RESULTADOS'!$C$36+'ESTADO RESULTADOS'!$C$71)/1375</f>
        <v>24762.287272727273</v>
      </c>
      <c r="M64" s="122">
        <v>0</v>
      </c>
      <c r="N64" s="122">
        <f>SUM(E64+K64+L64+M64)</f>
        <v>346098.24830794847</v>
      </c>
      <c r="O64" s="122">
        <f>N64</f>
        <v>346098.24830794847</v>
      </c>
      <c r="P64" s="336">
        <f t="shared" si="7"/>
        <v>-346098.24830794847</v>
      </c>
      <c r="Q64" s="336">
        <f t="shared" si="5"/>
        <v>106194.24830794847</v>
      </c>
      <c r="R64" s="303">
        <f t="shared" si="6"/>
        <v>0.44265309585479384</v>
      </c>
      <c r="V64" s="40"/>
    </row>
    <row r="65" spans="1:22" x14ac:dyDescent="0.3">
      <c r="A65" s="2">
        <v>108</v>
      </c>
      <c r="B65" s="41" t="s">
        <v>71</v>
      </c>
      <c r="C65" s="2">
        <v>7</v>
      </c>
      <c r="D65" s="2" t="s">
        <v>21</v>
      </c>
      <c r="E65" s="294">
        <v>2480</v>
      </c>
      <c r="F65" s="296">
        <v>4100</v>
      </c>
      <c r="G65" s="352">
        <v>2</v>
      </c>
      <c r="H65" s="296">
        <f t="shared" si="0"/>
        <v>4960</v>
      </c>
      <c r="I65" s="122">
        <f t="shared" si="1"/>
        <v>8200</v>
      </c>
      <c r="J65" s="331">
        <f t="shared" si="2"/>
        <v>3240</v>
      </c>
      <c r="K65" s="292">
        <f>'09-RESUMEN'!$F$43/1375</f>
        <v>81431.961035221175</v>
      </c>
      <c r="L65" s="122">
        <f>('ESTADO RESULTADOS'!$C$36+'ESTADO RESULTADOS'!$C$71)/1375</f>
        <v>24762.287272727273</v>
      </c>
      <c r="M65" s="122">
        <v>0</v>
      </c>
      <c r="N65" s="122">
        <f>SUM(H65+K65+L65+M65)</f>
        <v>111154.24830794845</v>
      </c>
      <c r="O65" s="122">
        <f>N65/G65</f>
        <v>55577.124153974226</v>
      </c>
      <c r="P65" s="336">
        <f t="shared" si="7"/>
        <v>-102954.24830794845</v>
      </c>
      <c r="Q65" s="336">
        <f t="shared" si="5"/>
        <v>53097.124153974226</v>
      </c>
      <c r="R65" s="303">
        <f t="shared" si="6"/>
        <v>21.410130707247671</v>
      </c>
      <c r="V65" s="40"/>
    </row>
    <row r="66" spans="1:22" x14ac:dyDescent="0.3">
      <c r="A66" s="2">
        <v>111</v>
      </c>
      <c r="B66" s="41" t="s">
        <v>1594</v>
      </c>
      <c r="C66" s="2">
        <v>12</v>
      </c>
      <c r="D66" s="2" t="s">
        <v>12</v>
      </c>
      <c r="E66" s="294">
        <v>38500</v>
      </c>
      <c r="F66" s="296">
        <v>45000</v>
      </c>
      <c r="G66" s="352">
        <v>1</v>
      </c>
      <c r="H66" s="296">
        <f t="shared" si="0"/>
        <v>38500</v>
      </c>
      <c r="I66" s="122">
        <f t="shared" si="1"/>
        <v>45000</v>
      </c>
      <c r="J66" s="331">
        <f t="shared" si="2"/>
        <v>6500</v>
      </c>
      <c r="K66" s="292">
        <f>'09-RESUMEN'!$F$43/1375</f>
        <v>81431.961035221175</v>
      </c>
      <c r="L66" s="122">
        <f>('ESTADO RESULTADOS'!$C$36+'ESTADO RESULTADOS'!$C$71)/1375</f>
        <v>24762.287272727273</v>
      </c>
      <c r="M66" s="122">
        <v>0</v>
      </c>
      <c r="N66" s="122">
        <f>SUM(H66+K66+L66+M66)</f>
        <v>144694.24830794844</v>
      </c>
      <c r="O66" s="122">
        <f>N66/G66</f>
        <v>144694.24830794844</v>
      </c>
      <c r="P66" s="336">
        <f t="shared" si="7"/>
        <v>-99694.248307948437</v>
      </c>
      <c r="Q66" s="336">
        <f t="shared" si="5"/>
        <v>106194.24830794844</v>
      </c>
      <c r="R66" s="303">
        <f t="shared" si="6"/>
        <v>2.7582921638428166</v>
      </c>
      <c r="V66" s="40"/>
    </row>
    <row r="67" spans="1:22" x14ac:dyDescent="0.3">
      <c r="A67" s="2">
        <v>112</v>
      </c>
      <c r="B67" s="41" t="s">
        <v>72</v>
      </c>
      <c r="C67" s="2">
        <v>16</v>
      </c>
      <c r="D67" s="2" t="s">
        <v>12</v>
      </c>
      <c r="E67" s="294">
        <v>2150.33</v>
      </c>
      <c r="F67" s="296">
        <v>2500</v>
      </c>
      <c r="G67" s="352">
        <v>12</v>
      </c>
      <c r="H67" s="296">
        <f t="shared" si="0"/>
        <v>25803.96</v>
      </c>
      <c r="I67" s="122">
        <f t="shared" si="1"/>
        <v>30000</v>
      </c>
      <c r="J67" s="331">
        <f t="shared" si="2"/>
        <v>4196.0400000000009</v>
      </c>
      <c r="K67" s="292">
        <f>'09-RESUMEN'!$F$43/1375</f>
        <v>81431.961035221175</v>
      </c>
      <c r="L67" s="122">
        <f>('ESTADO RESULTADOS'!$C$36+'ESTADO RESULTADOS'!$C$71)/1375</f>
        <v>24762.287272727273</v>
      </c>
      <c r="M67" s="122">
        <v>0</v>
      </c>
      <c r="N67" s="122">
        <f>SUM(H67+K67+L67+M67)</f>
        <v>131998.20830794843</v>
      </c>
      <c r="O67" s="122">
        <f>N67/G67</f>
        <v>10999.850692329035</v>
      </c>
      <c r="P67" s="336">
        <f t="shared" si="7"/>
        <v>-101998.20830794843</v>
      </c>
      <c r="Q67" s="336">
        <f t="shared" si="5"/>
        <v>8849.5206923290352</v>
      </c>
      <c r="R67" s="303">
        <f t="shared" si="6"/>
        <v>4.1154244661652095</v>
      </c>
      <c r="V67" s="40"/>
    </row>
    <row r="68" spans="1:22" x14ac:dyDescent="0.3">
      <c r="A68" s="2">
        <v>115</v>
      </c>
      <c r="B68" s="41" t="s">
        <v>1595</v>
      </c>
      <c r="C68" s="2">
        <v>14</v>
      </c>
      <c r="D68" s="2" t="s">
        <v>12</v>
      </c>
      <c r="E68" s="294">
        <v>931.75</v>
      </c>
      <c r="F68" s="296">
        <v>1200</v>
      </c>
      <c r="G68" s="352">
        <v>0</v>
      </c>
      <c r="H68" s="296">
        <f t="shared" ref="H68:H131" si="12">E68*G68</f>
        <v>0</v>
      </c>
      <c r="I68" s="122">
        <f t="shared" ref="I68:I131" si="13">F68*G68</f>
        <v>0</v>
      </c>
      <c r="J68" s="331">
        <f t="shared" ref="J68:J131" si="14">I68-H68</f>
        <v>0</v>
      </c>
      <c r="K68" s="292">
        <f>'09-RESUMEN'!$F$43/1375</f>
        <v>81431.961035221175</v>
      </c>
      <c r="L68" s="122">
        <f>('ESTADO RESULTADOS'!$C$36+'ESTADO RESULTADOS'!$C$71)/1375</f>
        <v>24762.287272727273</v>
      </c>
      <c r="M68" s="122">
        <v>0</v>
      </c>
      <c r="N68" s="122">
        <f>SUM(E68+K68+L68+M68)</f>
        <v>107125.99830794845</v>
      </c>
      <c r="O68" s="122">
        <f>N68</f>
        <v>107125.99830794845</v>
      </c>
      <c r="P68" s="336">
        <f t="shared" si="7"/>
        <v>-107125.99830794845</v>
      </c>
      <c r="Q68" s="336">
        <f t="shared" si="5"/>
        <v>106194.24830794845</v>
      </c>
      <c r="R68" s="303">
        <f t="shared" si="6"/>
        <v>113.97289864013786</v>
      </c>
      <c r="V68" s="40"/>
    </row>
    <row r="69" spans="1:22" x14ac:dyDescent="0.3">
      <c r="A69" s="2">
        <v>117</v>
      </c>
      <c r="B69" s="41" t="s">
        <v>1596</v>
      </c>
      <c r="C69" s="2">
        <v>6</v>
      </c>
      <c r="D69" s="2" t="s">
        <v>32</v>
      </c>
      <c r="E69" s="294">
        <v>10878</v>
      </c>
      <c r="F69" s="296">
        <v>12550</v>
      </c>
      <c r="G69" s="352">
        <v>30</v>
      </c>
      <c r="H69" s="296">
        <f t="shared" si="12"/>
        <v>326340</v>
      </c>
      <c r="I69" s="122">
        <f t="shared" si="13"/>
        <v>376500</v>
      </c>
      <c r="J69" s="331">
        <f t="shared" si="14"/>
        <v>50160</v>
      </c>
      <c r="K69" s="292">
        <f>'09-RESUMEN'!$F$43/1375</f>
        <v>81431.961035221175</v>
      </c>
      <c r="L69" s="122">
        <f>('ESTADO RESULTADOS'!$C$36+'ESTADO RESULTADOS'!$C$71)/1375</f>
        <v>24762.287272727273</v>
      </c>
      <c r="M69" s="122">
        <v>0</v>
      </c>
      <c r="N69" s="122">
        <f>SUM(H69+K69+L69+M69)</f>
        <v>432534.24830794847</v>
      </c>
      <c r="O69" s="122">
        <f>N69/G69</f>
        <v>14417.808276931615</v>
      </c>
      <c r="P69" s="336">
        <f t="shared" ref="P69:P132" si="15">I69-N69</f>
        <v>-56034.248307948466</v>
      </c>
      <c r="Q69" s="336">
        <f t="shared" ref="Q69:Q132" si="16">O69-E69</f>
        <v>3539.8082769316152</v>
      </c>
      <c r="R69" s="303">
        <f t="shared" ref="R69:R132" si="17">Q69/E69</f>
        <v>0.32540984343919976</v>
      </c>
      <c r="V69" s="40"/>
    </row>
    <row r="70" spans="1:22" x14ac:dyDescent="0.3">
      <c r="A70" s="2">
        <v>119</v>
      </c>
      <c r="B70" s="41" t="s">
        <v>73</v>
      </c>
      <c r="C70" s="2">
        <v>14</v>
      </c>
      <c r="D70" s="2" t="s">
        <v>12</v>
      </c>
      <c r="E70" s="294">
        <v>2154</v>
      </c>
      <c r="F70" s="296">
        <v>2900</v>
      </c>
      <c r="G70" s="352">
        <v>5</v>
      </c>
      <c r="H70" s="296">
        <f t="shared" si="12"/>
        <v>10770</v>
      </c>
      <c r="I70" s="122">
        <f t="shared" si="13"/>
        <v>14500</v>
      </c>
      <c r="J70" s="331">
        <f t="shared" si="14"/>
        <v>3730</v>
      </c>
      <c r="K70" s="292">
        <f>'09-RESUMEN'!$F$43/1375</f>
        <v>81431.961035221175</v>
      </c>
      <c r="L70" s="122">
        <f>('ESTADO RESULTADOS'!$C$36+'ESTADO RESULTADOS'!$C$71)/1375</f>
        <v>24762.287272727273</v>
      </c>
      <c r="M70" s="122">
        <v>0</v>
      </c>
      <c r="N70" s="122">
        <f>SUM(H70+K70+L70+M70)</f>
        <v>116964.24830794845</v>
      </c>
      <c r="O70" s="122">
        <f>N70/G70</f>
        <v>23392.849661589691</v>
      </c>
      <c r="P70" s="336">
        <f t="shared" si="15"/>
        <v>-102464.24830794845</v>
      </c>
      <c r="Q70" s="336">
        <f t="shared" si="16"/>
        <v>21238.849661589691</v>
      </c>
      <c r="R70" s="303">
        <f t="shared" si="17"/>
        <v>9.8601901864390396</v>
      </c>
    </row>
    <row r="71" spans="1:22" x14ac:dyDescent="0.3">
      <c r="A71" s="2">
        <v>123</v>
      </c>
      <c r="B71" s="41" t="s">
        <v>1597</v>
      </c>
      <c r="C71" s="2">
        <v>6</v>
      </c>
      <c r="D71" s="2" t="s">
        <v>16</v>
      </c>
      <c r="E71" s="294">
        <v>6060</v>
      </c>
      <c r="F71" s="296">
        <v>7600</v>
      </c>
      <c r="G71" s="352">
        <v>0</v>
      </c>
      <c r="H71" s="296">
        <f t="shared" si="12"/>
        <v>0</v>
      </c>
      <c r="I71" s="122">
        <f t="shared" si="13"/>
        <v>0</v>
      </c>
      <c r="J71" s="331">
        <f t="shared" si="14"/>
        <v>0</v>
      </c>
      <c r="K71" s="292">
        <f>'09-RESUMEN'!$F$43/1375</f>
        <v>81431.961035221175</v>
      </c>
      <c r="L71" s="122">
        <f>('ESTADO RESULTADOS'!$C$36+'ESTADO RESULTADOS'!$C$71)/1375</f>
        <v>24762.287272727273</v>
      </c>
      <c r="M71" s="122">
        <v>0</v>
      </c>
      <c r="N71" s="122">
        <f>SUM(E71+K71+L71+M71)</f>
        <v>112254.24830794845</v>
      </c>
      <c r="O71" s="122">
        <f>N71</f>
        <v>112254.24830794845</v>
      </c>
      <c r="P71" s="336">
        <f t="shared" si="15"/>
        <v>-112254.24830794845</v>
      </c>
      <c r="Q71" s="336">
        <f t="shared" si="16"/>
        <v>106194.24830794845</v>
      </c>
      <c r="R71" s="303">
        <f t="shared" si="17"/>
        <v>17.523803351146608</v>
      </c>
    </row>
    <row r="72" spans="1:22" x14ac:dyDescent="0.3">
      <c r="A72" s="2">
        <v>124</v>
      </c>
      <c r="B72" s="41" t="s">
        <v>74</v>
      </c>
      <c r="C72" s="2">
        <v>6</v>
      </c>
      <c r="D72" s="2" t="s">
        <v>32</v>
      </c>
      <c r="E72" s="294">
        <v>48281</v>
      </c>
      <c r="F72" s="296">
        <v>59083.333333333336</v>
      </c>
      <c r="G72" s="352">
        <v>4</v>
      </c>
      <c r="H72" s="296">
        <f t="shared" si="12"/>
        <v>193124</v>
      </c>
      <c r="I72" s="122">
        <f t="shared" si="13"/>
        <v>236333.33333333334</v>
      </c>
      <c r="J72" s="331">
        <f t="shared" si="14"/>
        <v>43209.333333333343</v>
      </c>
      <c r="K72" s="292">
        <f>'09-RESUMEN'!$F$43/1375</f>
        <v>81431.961035221175</v>
      </c>
      <c r="L72" s="122">
        <f>('ESTADO RESULTADOS'!$C$36+'ESTADO RESULTADOS'!$C$71)/1375</f>
        <v>24762.287272727273</v>
      </c>
      <c r="M72" s="122">
        <v>0</v>
      </c>
      <c r="N72" s="122">
        <f t="shared" ref="N72:N77" si="18">SUM(H72+K72+L72+M72)</f>
        <v>299318.24830794847</v>
      </c>
      <c r="O72" s="122">
        <f t="shared" ref="O72:O77" si="19">N72/G72</f>
        <v>74829.562076987117</v>
      </c>
      <c r="P72" s="336">
        <f t="shared" si="15"/>
        <v>-62984.914974615123</v>
      </c>
      <c r="Q72" s="336">
        <f t="shared" si="16"/>
        <v>26548.562076987117</v>
      </c>
      <c r="R72" s="303">
        <f t="shared" si="17"/>
        <v>0.5498759776513974</v>
      </c>
    </row>
    <row r="73" spans="1:22" x14ac:dyDescent="0.3">
      <c r="A73" s="2">
        <v>125</v>
      </c>
      <c r="B73" s="41" t="s">
        <v>75</v>
      </c>
      <c r="C73" s="2">
        <v>14</v>
      </c>
      <c r="D73" s="2" t="s">
        <v>21</v>
      </c>
      <c r="E73" s="294">
        <v>9614</v>
      </c>
      <c r="F73" s="296">
        <v>10633.333333333334</v>
      </c>
      <c r="G73" s="352">
        <v>15</v>
      </c>
      <c r="H73" s="296">
        <f t="shared" si="12"/>
        <v>144210</v>
      </c>
      <c r="I73" s="122">
        <f t="shared" si="13"/>
        <v>159500</v>
      </c>
      <c r="J73" s="331">
        <f t="shared" si="14"/>
        <v>15290</v>
      </c>
      <c r="K73" s="292">
        <f>'09-RESUMEN'!$F$43/1375</f>
        <v>81431.961035221175</v>
      </c>
      <c r="L73" s="122">
        <f>('ESTADO RESULTADOS'!$C$36+'ESTADO RESULTADOS'!$C$71)/1375</f>
        <v>24762.287272727273</v>
      </c>
      <c r="M73" s="122">
        <v>0</v>
      </c>
      <c r="N73" s="122">
        <f t="shared" si="18"/>
        <v>250404.24830794844</v>
      </c>
      <c r="O73" s="122">
        <f t="shared" si="19"/>
        <v>16693.61655386323</v>
      </c>
      <c r="P73" s="336">
        <f t="shared" si="15"/>
        <v>-90904.248307948437</v>
      </c>
      <c r="Q73" s="336">
        <f t="shared" si="16"/>
        <v>7079.6165538632304</v>
      </c>
      <c r="R73" s="303">
        <f t="shared" si="17"/>
        <v>0.73638616120899003</v>
      </c>
    </row>
    <row r="74" spans="1:22" x14ac:dyDescent="0.3">
      <c r="A74" s="2">
        <v>133</v>
      </c>
      <c r="B74" s="41" t="s">
        <v>76</v>
      </c>
      <c r="C74" s="2">
        <v>7</v>
      </c>
      <c r="D74" s="2" t="s">
        <v>21</v>
      </c>
      <c r="E74" s="294">
        <v>1600</v>
      </c>
      <c r="F74" s="296">
        <v>2500</v>
      </c>
      <c r="G74" s="352">
        <v>3</v>
      </c>
      <c r="H74" s="296">
        <f t="shared" si="12"/>
        <v>4800</v>
      </c>
      <c r="I74" s="122">
        <f t="shared" si="13"/>
        <v>7500</v>
      </c>
      <c r="J74" s="331">
        <f t="shared" si="14"/>
        <v>2700</v>
      </c>
      <c r="K74" s="292">
        <f>'09-RESUMEN'!$F$43/1375</f>
        <v>81431.961035221175</v>
      </c>
      <c r="L74" s="122">
        <f>('ESTADO RESULTADOS'!$C$36+'ESTADO RESULTADOS'!$C$71)/1375</f>
        <v>24762.287272727273</v>
      </c>
      <c r="M74" s="122">
        <v>0</v>
      </c>
      <c r="N74" s="122">
        <f t="shared" si="18"/>
        <v>110994.24830794845</v>
      </c>
      <c r="O74" s="122">
        <f t="shared" si="19"/>
        <v>36998.082769316148</v>
      </c>
      <c r="P74" s="336">
        <f t="shared" si="15"/>
        <v>-103494.24830794845</v>
      </c>
      <c r="Q74" s="336">
        <f t="shared" si="16"/>
        <v>35398.082769316148</v>
      </c>
      <c r="R74" s="303">
        <f t="shared" si="17"/>
        <v>22.123801730822592</v>
      </c>
    </row>
    <row r="75" spans="1:22" x14ac:dyDescent="0.3">
      <c r="A75" s="2">
        <v>134</v>
      </c>
      <c r="B75" s="41" t="s">
        <v>77</v>
      </c>
      <c r="C75" s="2">
        <v>2</v>
      </c>
      <c r="D75" s="2" t="s">
        <v>12</v>
      </c>
      <c r="E75" s="294">
        <v>21106.575000000001</v>
      </c>
      <c r="F75" s="296">
        <v>25200</v>
      </c>
      <c r="G75" s="352">
        <v>6</v>
      </c>
      <c r="H75" s="296">
        <f t="shared" si="12"/>
        <v>126639.45000000001</v>
      </c>
      <c r="I75" s="122">
        <f t="shared" si="13"/>
        <v>151200</v>
      </c>
      <c r="J75" s="331">
        <f t="shared" si="14"/>
        <v>24560.549999999988</v>
      </c>
      <c r="K75" s="292">
        <f>'09-RESUMEN'!$F$43/1375</f>
        <v>81431.961035221175</v>
      </c>
      <c r="L75" s="122">
        <f>('ESTADO RESULTADOS'!$C$36+'ESTADO RESULTADOS'!$C$71)/1375</f>
        <v>24762.287272727273</v>
      </c>
      <c r="M75" s="122">
        <v>0</v>
      </c>
      <c r="N75" s="122">
        <f t="shared" si="18"/>
        <v>232833.69830794845</v>
      </c>
      <c r="O75" s="122">
        <f t="shared" si="19"/>
        <v>38805.616384658075</v>
      </c>
      <c r="P75" s="336">
        <f t="shared" si="15"/>
        <v>-81633.698307948449</v>
      </c>
      <c r="Q75" s="336">
        <f t="shared" si="16"/>
        <v>17699.041384658074</v>
      </c>
      <c r="R75" s="303">
        <f t="shared" si="17"/>
        <v>0.83855582370223847</v>
      </c>
    </row>
    <row r="76" spans="1:22" x14ac:dyDescent="0.3">
      <c r="A76" s="2">
        <v>136</v>
      </c>
      <c r="B76" s="41" t="s">
        <v>1598</v>
      </c>
      <c r="C76" s="2">
        <v>14</v>
      </c>
      <c r="D76" s="2" t="s">
        <v>12</v>
      </c>
      <c r="E76" s="294">
        <v>15500</v>
      </c>
      <c r="F76" s="296">
        <v>20500</v>
      </c>
      <c r="G76" s="352">
        <v>1</v>
      </c>
      <c r="H76" s="296">
        <f t="shared" si="12"/>
        <v>15500</v>
      </c>
      <c r="I76" s="122">
        <f t="shared" si="13"/>
        <v>20500</v>
      </c>
      <c r="J76" s="331">
        <f t="shared" si="14"/>
        <v>5000</v>
      </c>
      <c r="K76" s="292">
        <f>'09-RESUMEN'!$F$43/1375</f>
        <v>81431.961035221175</v>
      </c>
      <c r="L76" s="122">
        <f>('ESTADO RESULTADOS'!$C$36+'ESTADO RESULTADOS'!$C$71)/1375</f>
        <v>24762.287272727273</v>
      </c>
      <c r="M76" s="122">
        <v>0</v>
      </c>
      <c r="N76" s="122">
        <f t="shared" si="18"/>
        <v>121694.24830794845</v>
      </c>
      <c r="O76" s="122">
        <f t="shared" si="19"/>
        <v>121694.24830794845</v>
      </c>
      <c r="P76" s="336">
        <f t="shared" si="15"/>
        <v>-101194.24830794845</v>
      </c>
      <c r="Q76" s="336">
        <f t="shared" si="16"/>
        <v>106194.24830794845</v>
      </c>
      <c r="R76" s="303">
        <f t="shared" si="17"/>
        <v>6.8512418263192547</v>
      </c>
    </row>
    <row r="77" spans="1:22" x14ac:dyDescent="0.3">
      <c r="A77" s="2">
        <v>140</v>
      </c>
      <c r="B77" s="41" t="s">
        <v>78</v>
      </c>
      <c r="C77" s="2">
        <v>10</v>
      </c>
      <c r="D77" s="2" t="s">
        <v>12</v>
      </c>
      <c r="E77" s="294">
        <v>10900.05</v>
      </c>
      <c r="F77" s="296">
        <v>12666.666666666666</v>
      </c>
      <c r="G77" s="352">
        <v>33</v>
      </c>
      <c r="H77" s="296">
        <f t="shared" si="12"/>
        <v>359701.64999999997</v>
      </c>
      <c r="I77" s="122">
        <f t="shared" si="13"/>
        <v>418000</v>
      </c>
      <c r="J77" s="331">
        <f t="shared" si="14"/>
        <v>58298.350000000035</v>
      </c>
      <c r="K77" s="292">
        <f>'09-RESUMEN'!$F$43/1375</f>
        <v>81431.961035221175</v>
      </c>
      <c r="L77" s="122">
        <f>('ESTADO RESULTADOS'!$C$36+'ESTADO RESULTADOS'!$C$71)/1375</f>
        <v>24762.287272727273</v>
      </c>
      <c r="M77" s="122">
        <v>0</v>
      </c>
      <c r="N77" s="122">
        <f t="shared" si="18"/>
        <v>465895.89830794843</v>
      </c>
      <c r="O77" s="122">
        <f t="shared" si="19"/>
        <v>14118.057524483285</v>
      </c>
      <c r="P77" s="336">
        <f t="shared" si="15"/>
        <v>-47895.898307948431</v>
      </c>
      <c r="Q77" s="336">
        <f t="shared" si="16"/>
        <v>3218.007524483286</v>
      </c>
      <c r="R77" s="303">
        <f t="shared" si="17"/>
        <v>0.29522869385766909</v>
      </c>
    </row>
    <row r="78" spans="1:22" x14ac:dyDescent="0.3">
      <c r="A78" s="2">
        <v>141</v>
      </c>
      <c r="B78" s="41" t="s">
        <v>1599</v>
      </c>
      <c r="C78" s="2">
        <v>14</v>
      </c>
      <c r="D78" s="2" t="s">
        <v>12</v>
      </c>
      <c r="E78" s="294">
        <v>5676</v>
      </c>
      <c r="F78" s="296">
        <v>7800</v>
      </c>
      <c r="G78" s="352">
        <v>0</v>
      </c>
      <c r="H78" s="296">
        <f t="shared" si="12"/>
        <v>0</v>
      </c>
      <c r="I78" s="122">
        <f t="shared" si="13"/>
        <v>0</v>
      </c>
      <c r="J78" s="331">
        <f t="shared" si="14"/>
        <v>0</v>
      </c>
      <c r="K78" s="292">
        <f>'09-RESUMEN'!$F$43/1375</f>
        <v>81431.961035221175</v>
      </c>
      <c r="L78" s="122">
        <f>('ESTADO RESULTADOS'!$C$36+'ESTADO RESULTADOS'!$C$71)/1375</f>
        <v>24762.287272727273</v>
      </c>
      <c r="M78" s="122">
        <v>0</v>
      </c>
      <c r="N78" s="122">
        <f>SUM(E78+K78+L78+M78)</f>
        <v>111870.24830794845</v>
      </c>
      <c r="O78" s="122">
        <f>N78</f>
        <v>111870.24830794845</v>
      </c>
      <c r="P78" s="336">
        <f t="shared" si="15"/>
        <v>-111870.24830794845</v>
      </c>
      <c r="Q78" s="336">
        <f t="shared" si="16"/>
        <v>106194.24830794845</v>
      </c>
      <c r="R78" s="303">
        <f t="shared" si="17"/>
        <v>18.709346072577247</v>
      </c>
    </row>
    <row r="79" spans="1:22" x14ac:dyDescent="0.3">
      <c r="A79" s="2">
        <v>143</v>
      </c>
      <c r="B79" s="41" t="s">
        <v>79</v>
      </c>
      <c r="C79" s="2">
        <v>14</v>
      </c>
      <c r="D79" s="2" t="s">
        <v>32</v>
      </c>
      <c r="E79" s="294">
        <v>5482.1538</v>
      </c>
      <c r="F79" s="296">
        <v>7433.333333333333</v>
      </c>
      <c r="G79" s="352">
        <v>21</v>
      </c>
      <c r="H79" s="296">
        <f t="shared" si="12"/>
        <v>115125.2298</v>
      </c>
      <c r="I79" s="122">
        <f t="shared" si="13"/>
        <v>156100</v>
      </c>
      <c r="J79" s="331">
        <f t="shared" si="14"/>
        <v>40974.770199999999</v>
      </c>
      <c r="K79" s="292">
        <f>'09-RESUMEN'!$F$43/1375</f>
        <v>81431.961035221175</v>
      </c>
      <c r="L79" s="122">
        <f>('ESTADO RESULTADOS'!$C$36+'ESTADO RESULTADOS'!$C$71)/1375</f>
        <v>24762.287272727273</v>
      </c>
      <c r="M79" s="122">
        <v>0</v>
      </c>
      <c r="N79" s="122">
        <f t="shared" ref="N79:N85" si="20">SUM(H79+K79+L79+M79)</f>
        <v>221319.47810794844</v>
      </c>
      <c r="O79" s="122">
        <f t="shared" ref="O79:O85" si="21">N79/G79</f>
        <v>10539.022767045164</v>
      </c>
      <c r="P79" s="336">
        <f t="shared" si="15"/>
        <v>-65219.478107948438</v>
      </c>
      <c r="Q79" s="336">
        <f t="shared" si="16"/>
        <v>5056.868967045164</v>
      </c>
      <c r="R79" s="303">
        <f t="shared" si="17"/>
        <v>0.92242376838190199</v>
      </c>
    </row>
    <row r="80" spans="1:22" x14ac:dyDescent="0.3">
      <c r="A80" s="2">
        <v>144</v>
      </c>
      <c r="B80" s="41" t="s">
        <v>80</v>
      </c>
      <c r="C80" s="2">
        <v>14</v>
      </c>
      <c r="D80" s="2" t="s">
        <v>81</v>
      </c>
      <c r="E80" s="294">
        <v>5390</v>
      </c>
      <c r="F80" s="296">
        <v>7500</v>
      </c>
      <c r="G80" s="352">
        <v>14</v>
      </c>
      <c r="H80" s="296">
        <f t="shared" si="12"/>
        <v>75460</v>
      </c>
      <c r="I80" s="122">
        <f t="shared" si="13"/>
        <v>105000</v>
      </c>
      <c r="J80" s="331">
        <f t="shared" si="14"/>
        <v>29540</v>
      </c>
      <c r="K80" s="292">
        <f>'09-RESUMEN'!$F$43/1375</f>
        <v>81431.961035221175</v>
      </c>
      <c r="L80" s="122">
        <f>('ESTADO RESULTADOS'!$C$36+'ESTADO RESULTADOS'!$C$71)/1375</f>
        <v>24762.287272727273</v>
      </c>
      <c r="M80" s="122">
        <v>0</v>
      </c>
      <c r="N80" s="122">
        <f t="shared" si="20"/>
        <v>181654.24830794844</v>
      </c>
      <c r="O80" s="122">
        <f t="shared" si="21"/>
        <v>12975.303450567746</v>
      </c>
      <c r="P80" s="336">
        <f t="shared" si="15"/>
        <v>-76654.248307948437</v>
      </c>
      <c r="Q80" s="336">
        <f t="shared" si="16"/>
        <v>7585.303450567746</v>
      </c>
      <c r="R80" s="303">
        <f t="shared" si="17"/>
        <v>1.4072919203279677</v>
      </c>
    </row>
    <row r="81" spans="1:18" x14ac:dyDescent="0.3">
      <c r="A81" s="2">
        <v>145</v>
      </c>
      <c r="B81" s="41" t="s">
        <v>82</v>
      </c>
      <c r="C81" s="2">
        <v>14</v>
      </c>
      <c r="D81" s="2" t="s">
        <v>16</v>
      </c>
      <c r="E81" s="294">
        <v>25171.5</v>
      </c>
      <c r="F81" s="296">
        <v>37000</v>
      </c>
      <c r="G81" s="352">
        <v>3</v>
      </c>
      <c r="H81" s="296">
        <f t="shared" si="12"/>
        <v>75514.5</v>
      </c>
      <c r="I81" s="122">
        <f t="shared" si="13"/>
        <v>111000</v>
      </c>
      <c r="J81" s="331">
        <f t="shared" si="14"/>
        <v>35485.5</v>
      </c>
      <c r="K81" s="292">
        <f>'09-RESUMEN'!$F$43/1375</f>
        <v>81431.961035221175</v>
      </c>
      <c r="L81" s="122">
        <f>('ESTADO RESULTADOS'!$C$36+'ESTADO RESULTADOS'!$C$71)/1375</f>
        <v>24762.287272727273</v>
      </c>
      <c r="M81" s="122">
        <v>0</v>
      </c>
      <c r="N81" s="122">
        <f t="shared" si="20"/>
        <v>181708.74830794844</v>
      </c>
      <c r="O81" s="122">
        <f t="shared" si="21"/>
        <v>60569.582769316148</v>
      </c>
      <c r="P81" s="336">
        <f t="shared" si="15"/>
        <v>-70708.748307948437</v>
      </c>
      <c r="Q81" s="336">
        <f t="shared" si="16"/>
        <v>35398.082769316148</v>
      </c>
      <c r="R81" s="303">
        <f t="shared" si="17"/>
        <v>1.4062762556588264</v>
      </c>
    </row>
    <row r="82" spans="1:18" x14ac:dyDescent="0.3">
      <c r="A82" s="2">
        <v>146</v>
      </c>
      <c r="B82" s="41" t="s">
        <v>83</v>
      </c>
      <c r="C82" s="2">
        <v>5</v>
      </c>
      <c r="D82" s="2" t="s">
        <v>21</v>
      </c>
      <c r="E82" s="294">
        <v>10100</v>
      </c>
      <c r="F82" s="296">
        <v>11666.666666666666</v>
      </c>
      <c r="G82" s="352">
        <v>24</v>
      </c>
      <c r="H82" s="296">
        <f t="shared" si="12"/>
        <v>242400</v>
      </c>
      <c r="I82" s="122">
        <f t="shared" si="13"/>
        <v>280000</v>
      </c>
      <c r="J82" s="331">
        <f t="shared" si="14"/>
        <v>37600</v>
      </c>
      <c r="K82" s="292">
        <f>'09-RESUMEN'!$F$43/1375</f>
        <v>81431.961035221175</v>
      </c>
      <c r="L82" s="122">
        <f>('ESTADO RESULTADOS'!$C$36+'ESTADO RESULTADOS'!$C$71)/1375</f>
        <v>24762.287272727273</v>
      </c>
      <c r="M82" s="122">
        <v>0</v>
      </c>
      <c r="N82" s="122">
        <f t="shared" si="20"/>
        <v>348594.24830794847</v>
      </c>
      <c r="O82" s="122">
        <f t="shared" si="21"/>
        <v>14524.760346164519</v>
      </c>
      <c r="P82" s="336">
        <f t="shared" si="15"/>
        <v>-68594.248307948466</v>
      </c>
      <c r="Q82" s="336">
        <f t="shared" si="16"/>
        <v>4424.7603461645194</v>
      </c>
      <c r="R82" s="303">
        <f t="shared" si="17"/>
        <v>0.4380950837786653</v>
      </c>
    </row>
    <row r="83" spans="1:18" x14ac:dyDescent="0.3">
      <c r="A83" s="2">
        <v>147</v>
      </c>
      <c r="B83" s="41" t="s">
        <v>84</v>
      </c>
      <c r="C83" s="2">
        <v>5</v>
      </c>
      <c r="D83" s="2" t="s">
        <v>5</v>
      </c>
      <c r="E83" s="294">
        <v>24100</v>
      </c>
      <c r="F83" s="296">
        <v>32000</v>
      </c>
      <c r="G83" s="352">
        <v>10</v>
      </c>
      <c r="H83" s="296">
        <f t="shared" si="12"/>
        <v>241000</v>
      </c>
      <c r="I83" s="122">
        <f t="shared" si="13"/>
        <v>320000</v>
      </c>
      <c r="J83" s="331">
        <f t="shared" si="14"/>
        <v>79000</v>
      </c>
      <c r="K83" s="292">
        <f>'09-RESUMEN'!$F$43/1375</f>
        <v>81431.961035221175</v>
      </c>
      <c r="L83" s="122">
        <f>('ESTADO RESULTADOS'!$C$36+'ESTADO RESULTADOS'!$C$71)/1375</f>
        <v>24762.287272727273</v>
      </c>
      <c r="M83" s="122">
        <v>0</v>
      </c>
      <c r="N83" s="122">
        <f t="shared" si="20"/>
        <v>347194.24830794847</v>
      </c>
      <c r="O83" s="122">
        <f t="shared" si="21"/>
        <v>34719.424830794844</v>
      </c>
      <c r="P83" s="336">
        <f t="shared" si="15"/>
        <v>-27194.248307948466</v>
      </c>
      <c r="Q83" s="336">
        <f t="shared" si="16"/>
        <v>10619.424830794844</v>
      </c>
      <c r="R83" s="303">
        <f t="shared" si="17"/>
        <v>0.44064003447281508</v>
      </c>
    </row>
    <row r="84" spans="1:18" x14ac:dyDescent="0.3">
      <c r="A84" s="2">
        <v>149</v>
      </c>
      <c r="B84" s="41" t="s">
        <v>85</v>
      </c>
      <c r="C84" s="2">
        <v>5</v>
      </c>
      <c r="D84" s="2" t="s">
        <v>5</v>
      </c>
      <c r="E84" s="294">
        <v>11172</v>
      </c>
      <c r="F84" s="296">
        <v>13500</v>
      </c>
      <c r="G84" s="352">
        <v>36</v>
      </c>
      <c r="H84" s="296">
        <f t="shared" si="12"/>
        <v>402192</v>
      </c>
      <c r="I84" s="122">
        <f t="shared" si="13"/>
        <v>486000</v>
      </c>
      <c r="J84" s="331">
        <f t="shared" si="14"/>
        <v>83808</v>
      </c>
      <c r="K84" s="292">
        <f>'09-RESUMEN'!$F$43/1375</f>
        <v>81431.961035221175</v>
      </c>
      <c r="L84" s="122">
        <f>('ESTADO RESULTADOS'!$C$36+'ESTADO RESULTADOS'!$C$71)/1375</f>
        <v>24762.287272727273</v>
      </c>
      <c r="M84" s="122">
        <v>0</v>
      </c>
      <c r="N84" s="122">
        <f t="shared" si="20"/>
        <v>508386.24830794847</v>
      </c>
      <c r="O84" s="122">
        <f t="shared" si="21"/>
        <v>14121.840230776346</v>
      </c>
      <c r="P84" s="336">
        <f t="shared" si="15"/>
        <v>-22386.248307948466</v>
      </c>
      <c r="Q84" s="336">
        <f t="shared" si="16"/>
        <v>2949.8402307763463</v>
      </c>
      <c r="R84" s="303">
        <f t="shared" si="17"/>
        <v>0.26403868875549108</v>
      </c>
    </row>
    <row r="85" spans="1:18" x14ac:dyDescent="0.3">
      <c r="A85" s="2">
        <v>152</v>
      </c>
      <c r="B85" s="41" t="s">
        <v>86</v>
      </c>
      <c r="C85" s="2">
        <v>8</v>
      </c>
      <c r="D85" s="2" t="s">
        <v>21</v>
      </c>
      <c r="E85" s="294">
        <v>4597</v>
      </c>
      <c r="F85" s="296">
        <v>6200</v>
      </c>
      <c r="G85" s="352">
        <v>230</v>
      </c>
      <c r="H85" s="296">
        <f t="shared" si="12"/>
        <v>1057310</v>
      </c>
      <c r="I85" s="122">
        <f t="shared" si="13"/>
        <v>1426000</v>
      </c>
      <c r="J85" s="331">
        <f t="shared" si="14"/>
        <v>368690</v>
      </c>
      <c r="K85" s="292">
        <f>'09-RESUMEN'!$F$43/1375</f>
        <v>81431.961035221175</v>
      </c>
      <c r="L85" s="122">
        <f>('ESTADO RESULTADOS'!$C$36+'ESTADO RESULTADOS'!$C$71)/1375</f>
        <v>24762.287272727273</v>
      </c>
      <c r="M85" s="122">
        <v>0</v>
      </c>
      <c r="N85" s="122">
        <f t="shared" si="20"/>
        <v>1163504.2483079485</v>
      </c>
      <c r="O85" s="122">
        <f t="shared" si="21"/>
        <v>5058.7141230780371</v>
      </c>
      <c r="P85" s="336">
        <f t="shared" si="15"/>
        <v>262495.75169205153</v>
      </c>
      <c r="Q85" s="336">
        <f t="shared" si="16"/>
        <v>461.71412307803712</v>
      </c>
      <c r="R85" s="303">
        <f t="shared" si="17"/>
        <v>0.10043813858560738</v>
      </c>
    </row>
    <row r="86" spans="1:18" x14ac:dyDescent="0.3">
      <c r="A86" s="2">
        <v>153</v>
      </c>
      <c r="B86" s="41" t="s">
        <v>1600</v>
      </c>
      <c r="C86" s="2">
        <v>8</v>
      </c>
      <c r="D86" s="2" t="s">
        <v>41</v>
      </c>
      <c r="E86" s="294">
        <v>61900</v>
      </c>
      <c r="F86" s="296">
        <v>72000</v>
      </c>
      <c r="G86" s="352">
        <v>0</v>
      </c>
      <c r="H86" s="296">
        <f t="shared" si="12"/>
        <v>0</v>
      </c>
      <c r="I86" s="122">
        <f t="shared" si="13"/>
        <v>0</v>
      </c>
      <c r="J86" s="331">
        <f t="shared" si="14"/>
        <v>0</v>
      </c>
      <c r="K86" s="292">
        <f>'09-RESUMEN'!$F$43/1375</f>
        <v>81431.961035221175</v>
      </c>
      <c r="L86" s="122">
        <f>('ESTADO RESULTADOS'!$C$36+'ESTADO RESULTADOS'!$C$71)/1375</f>
        <v>24762.287272727273</v>
      </c>
      <c r="M86" s="122">
        <v>0</v>
      </c>
      <c r="N86" s="122">
        <f>SUM(E86+K86+L86+M86)</f>
        <v>168094.24830794844</v>
      </c>
      <c r="O86" s="122">
        <f>N86</f>
        <v>168094.24830794844</v>
      </c>
      <c r="P86" s="336">
        <f t="shared" si="15"/>
        <v>-168094.24830794844</v>
      </c>
      <c r="Q86" s="336">
        <f t="shared" si="16"/>
        <v>106194.24830794844</v>
      </c>
      <c r="R86" s="303">
        <f t="shared" si="17"/>
        <v>1.7155775170912511</v>
      </c>
    </row>
    <row r="87" spans="1:18" x14ac:dyDescent="0.3">
      <c r="A87" s="2">
        <v>154</v>
      </c>
      <c r="B87" s="41" t="s">
        <v>1601</v>
      </c>
      <c r="C87" s="2">
        <v>8</v>
      </c>
      <c r="D87" s="2" t="s">
        <v>16</v>
      </c>
      <c r="E87" s="294">
        <v>16200</v>
      </c>
      <c r="F87" s="296">
        <v>19800</v>
      </c>
      <c r="G87" s="352">
        <v>0</v>
      </c>
      <c r="H87" s="296">
        <f t="shared" si="12"/>
        <v>0</v>
      </c>
      <c r="I87" s="122">
        <f t="shared" si="13"/>
        <v>0</v>
      </c>
      <c r="J87" s="331">
        <f t="shared" si="14"/>
        <v>0</v>
      </c>
      <c r="K87" s="292">
        <f>'09-RESUMEN'!$F$43/1375</f>
        <v>81431.961035221175</v>
      </c>
      <c r="L87" s="122">
        <f>('ESTADO RESULTADOS'!$C$36+'ESTADO RESULTADOS'!$C$71)/1375</f>
        <v>24762.287272727273</v>
      </c>
      <c r="M87" s="122">
        <v>0</v>
      </c>
      <c r="N87" s="122">
        <f>SUM(E87+K87+L87+M87)</f>
        <v>122394.24830794845</v>
      </c>
      <c r="O87" s="122">
        <f>N87</f>
        <v>122394.24830794845</v>
      </c>
      <c r="P87" s="336">
        <f t="shared" si="15"/>
        <v>-122394.24830794845</v>
      </c>
      <c r="Q87" s="336">
        <f t="shared" si="16"/>
        <v>106194.24830794845</v>
      </c>
      <c r="R87" s="303">
        <f t="shared" si="17"/>
        <v>6.5552005128363238</v>
      </c>
    </row>
    <row r="88" spans="1:18" x14ac:dyDescent="0.3">
      <c r="A88" s="2">
        <v>155</v>
      </c>
      <c r="B88" s="41" t="s">
        <v>87</v>
      </c>
      <c r="C88" s="2">
        <v>13</v>
      </c>
      <c r="D88" s="2" t="s">
        <v>12</v>
      </c>
      <c r="E88" s="294">
        <v>17372.810000000001</v>
      </c>
      <c r="F88" s="296">
        <v>23000</v>
      </c>
      <c r="G88" s="352">
        <v>5</v>
      </c>
      <c r="H88" s="296">
        <f t="shared" si="12"/>
        <v>86864.05</v>
      </c>
      <c r="I88" s="122">
        <f t="shared" si="13"/>
        <v>115000</v>
      </c>
      <c r="J88" s="331">
        <f t="shared" si="14"/>
        <v>28135.949999999997</v>
      </c>
      <c r="K88" s="292">
        <f>'09-RESUMEN'!$F$43/1375</f>
        <v>81431.961035221175</v>
      </c>
      <c r="L88" s="122">
        <f>('ESTADO RESULTADOS'!$C$36+'ESTADO RESULTADOS'!$C$71)/1375</f>
        <v>24762.287272727273</v>
      </c>
      <c r="M88" s="122">
        <v>0</v>
      </c>
      <c r="N88" s="122">
        <f t="shared" ref="N88:N100" si="22">SUM(H88+K88+L88+M88)</f>
        <v>193058.29830794843</v>
      </c>
      <c r="O88" s="122">
        <f t="shared" ref="O88:O100" si="23">N88/G88</f>
        <v>38611.659661589685</v>
      </c>
      <c r="P88" s="336">
        <f t="shared" si="15"/>
        <v>-78058.298307948426</v>
      </c>
      <c r="Q88" s="336">
        <f t="shared" si="16"/>
        <v>21238.849661589684</v>
      </c>
      <c r="R88" s="303">
        <f t="shared" si="17"/>
        <v>1.222533928684518</v>
      </c>
    </row>
    <row r="89" spans="1:18" x14ac:dyDescent="0.3">
      <c r="A89" s="2">
        <v>156</v>
      </c>
      <c r="B89" s="41" t="s">
        <v>88</v>
      </c>
      <c r="C89" s="2">
        <v>9</v>
      </c>
      <c r="D89" s="2" t="s">
        <v>12</v>
      </c>
      <c r="E89" s="294">
        <v>8605.2960000000003</v>
      </c>
      <c r="F89" s="296">
        <v>9666.6666666666661</v>
      </c>
      <c r="G89" s="352">
        <v>23</v>
      </c>
      <c r="H89" s="296">
        <f t="shared" si="12"/>
        <v>197921.80800000002</v>
      </c>
      <c r="I89" s="122">
        <f t="shared" si="13"/>
        <v>222333.33333333331</v>
      </c>
      <c r="J89" s="331">
        <f t="shared" si="14"/>
        <v>24411.525333333295</v>
      </c>
      <c r="K89" s="292">
        <f>'09-RESUMEN'!$F$43/1375</f>
        <v>81431.961035221175</v>
      </c>
      <c r="L89" s="122">
        <f>('ESTADO RESULTADOS'!$C$36+'ESTADO RESULTADOS'!$C$71)/1375</f>
        <v>24762.287272727273</v>
      </c>
      <c r="M89" s="122">
        <v>0</v>
      </c>
      <c r="N89" s="122">
        <f t="shared" si="22"/>
        <v>304116.05630794849</v>
      </c>
      <c r="O89" s="122">
        <f t="shared" si="23"/>
        <v>13222.43723078037</v>
      </c>
      <c r="P89" s="336">
        <f t="shared" si="15"/>
        <v>-81782.722974615172</v>
      </c>
      <c r="Q89" s="336">
        <f t="shared" si="16"/>
        <v>4617.1412307803694</v>
      </c>
      <c r="R89" s="303">
        <f t="shared" si="17"/>
        <v>0.53654647449435433</v>
      </c>
    </row>
    <row r="90" spans="1:18" x14ac:dyDescent="0.3">
      <c r="A90" s="2">
        <v>157</v>
      </c>
      <c r="B90" s="41" t="s">
        <v>89</v>
      </c>
      <c r="C90" s="2">
        <v>14</v>
      </c>
      <c r="D90" s="2" t="s">
        <v>32</v>
      </c>
      <c r="E90" s="294">
        <v>20037</v>
      </c>
      <c r="F90" s="296">
        <v>22833.333333333332</v>
      </c>
      <c r="G90" s="352">
        <v>47</v>
      </c>
      <c r="H90" s="296">
        <f t="shared" si="12"/>
        <v>941739</v>
      </c>
      <c r="I90" s="122">
        <f t="shared" si="13"/>
        <v>1073166.6666666665</v>
      </c>
      <c r="J90" s="331">
        <f t="shared" si="14"/>
        <v>131427.66666666651</v>
      </c>
      <c r="K90" s="292">
        <f>'09-RESUMEN'!$F$43/1375</f>
        <v>81431.961035221175</v>
      </c>
      <c r="L90" s="122">
        <f>('ESTADO RESULTADOS'!$C$36+'ESTADO RESULTADOS'!$C$71)/1375</f>
        <v>24762.287272727273</v>
      </c>
      <c r="M90" s="122">
        <v>0</v>
      </c>
      <c r="N90" s="122">
        <f t="shared" si="22"/>
        <v>1047933.2483079483</v>
      </c>
      <c r="O90" s="122">
        <f t="shared" si="23"/>
        <v>22296.452091658477</v>
      </c>
      <c r="P90" s="336">
        <f t="shared" si="15"/>
        <v>25233.418358718161</v>
      </c>
      <c r="Q90" s="336">
        <f t="shared" si="16"/>
        <v>2259.452091658477</v>
      </c>
      <c r="R90" s="303">
        <f t="shared" si="17"/>
        <v>0.11276399119920533</v>
      </c>
    </row>
    <row r="91" spans="1:18" x14ac:dyDescent="0.3">
      <c r="A91" s="2">
        <v>159</v>
      </c>
      <c r="B91" s="41" t="s">
        <v>1602</v>
      </c>
      <c r="C91" s="2">
        <v>4</v>
      </c>
      <c r="D91" s="2" t="s">
        <v>35</v>
      </c>
      <c r="E91" s="294">
        <v>18326</v>
      </c>
      <c r="F91" s="296">
        <v>22500</v>
      </c>
      <c r="G91" s="352">
        <v>6</v>
      </c>
      <c r="H91" s="296">
        <f t="shared" si="12"/>
        <v>109956</v>
      </c>
      <c r="I91" s="122">
        <f t="shared" si="13"/>
        <v>135000</v>
      </c>
      <c r="J91" s="331">
        <f t="shared" si="14"/>
        <v>25044</v>
      </c>
      <c r="K91" s="292">
        <f>'09-RESUMEN'!$F$43/1375</f>
        <v>81431.961035221175</v>
      </c>
      <c r="L91" s="122">
        <f>('ESTADO RESULTADOS'!$C$36+'ESTADO RESULTADOS'!$C$71)/1375</f>
        <v>24762.287272727273</v>
      </c>
      <c r="M91" s="122">
        <v>0</v>
      </c>
      <c r="N91" s="122">
        <f t="shared" si="22"/>
        <v>216150.24830794844</v>
      </c>
      <c r="O91" s="122">
        <f t="shared" si="23"/>
        <v>36025.04138465807</v>
      </c>
      <c r="P91" s="336">
        <f t="shared" si="15"/>
        <v>-81150.248307948437</v>
      </c>
      <c r="Q91" s="336">
        <f t="shared" si="16"/>
        <v>17699.04138465807</v>
      </c>
      <c r="R91" s="303">
        <f t="shared" si="17"/>
        <v>0.96578857277409524</v>
      </c>
    </row>
    <row r="92" spans="1:18" x14ac:dyDescent="0.3">
      <c r="A92" s="2">
        <v>160</v>
      </c>
      <c r="B92" s="41" t="s">
        <v>90</v>
      </c>
      <c r="C92" s="2">
        <v>14</v>
      </c>
      <c r="D92" s="2" t="s">
        <v>12</v>
      </c>
      <c r="E92" s="294">
        <v>16773</v>
      </c>
      <c r="F92" s="296">
        <v>21000</v>
      </c>
      <c r="G92" s="352">
        <v>5</v>
      </c>
      <c r="H92" s="296">
        <f t="shared" si="12"/>
        <v>83865</v>
      </c>
      <c r="I92" s="122">
        <f t="shared" si="13"/>
        <v>105000</v>
      </c>
      <c r="J92" s="331">
        <f t="shared" si="14"/>
        <v>21135</v>
      </c>
      <c r="K92" s="292">
        <f>'09-RESUMEN'!$F$43/1375</f>
        <v>81431.961035221175</v>
      </c>
      <c r="L92" s="122">
        <f>('ESTADO RESULTADOS'!$C$36+'ESTADO RESULTADOS'!$C$71)/1375</f>
        <v>24762.287272727273</v>
      </c>
      <c r="M92" s="122">
        <v>0</v>
      </c>
      <c r="N92" s="122">
        <f t="shared" si="22"/>
        <v>190059.24830794844</v>
      </c>
      <c r="O92" s="122">
        <f t="shared" si="23"/>
        <v>38011.849661589687</v>
      </c>
      <c r="P92" s="336">
        <f t="shared" si="15"/>
        <v>-85059.248307948437</v>
      </c>
      <c r="Q92" s="336">
        <f t="shared" si="16"/>
        <v>21238.849661589687</v>
      </c>
      <c r="R92" s="303">
        <f t="shared" si="17"/>
        <v>1.2662522900846411</v>
      </c>
    </row>
    <row r="93" spans="1:18" x14ac:dyDescent="0.3">
      <c r="A93" s="2">
        <v>162</v>
      </c>
      <c r="B93" s="41" t="s">
        <v>91</v>
      </c>
      <c r="C93" s="2">
        <v>1</v>
      </c>
      <c r="D93" s="2" t="s">
        <v>5</v>
      </c>
      <c r="E93" s="321">
        <v>4630</v>
      </c>
      <c r="F93" s="322">
        <v>5500</v>
      </c>
      <c r="G93" s="353">
        <v>726</v>
      </c>
      <c r="H93" s="322">
        <f t="shared" si="12"/>
        <v>3361380</v>
      </c>
      <c r="I93" s="122">
        <f t="shared" si="13"/>
        <v>3993000</v>
      </c>
      <c r="J93" s="331">
        <f t="shared" si="14"/>
        <v>631620</v>
      </c>
      <c r="K93" s="292">
        <f>'09-RESUMEN'!$F$43/1375+('09-RESUMEN'!$F$42/17)</f>
        <v>283519.42464527232</v>
      </c>
      <c r="L93" s="122">
        <f>('ESTADO RESULTADOS'!$C$36+'ESTADO RESULTADOS'!$C$71)/1375</f>
        <v>24762.287272727273</v>
      </c>
      <c r="M93" s="122">
        <f>'ESTADO RESULTADOS'!$C$37/17</f>
        <v>106174.11764705883</v>
      </c>
      <c r="N93" s="122">
        <f t="shared" si="22"/>
        <v>3775835.829565058</v>
      </c>
      <c r="O93" s="122">
        <f t="shared" si="23"/>
        <v>5200.8757982989782</v>
      </c>
      <c r="P93" s="336">
        <f t="shared" si="15"/>
        <v>217164.170434942</v>
      </c>
      <c r="Q93" s="336">
        <f t="shared" si="16"/>
        <v>570.87579829897822</v>
      </c>
      <c r="R93" s="303">
        <f t="shared" si="17"/>
        <v>0.12329930848790026</v>
      </c>
    </row>
    <row r="94" spans="1:18" x14ac:dyDescent="0.3">
      <c r="A94" s="2">
        <v>165</v>
      </c>
      <c r="B94" s="41" t="s">
        <v>1603</v>
      </c>
      <c r="C94" s="2">
        <v>16</v>
      </c>
      <c r="D94" s="2" t="s">
        <v>12</v>
      </c>
      <c r="E94" s="294">
        <v>2142</v>
      </c>
      <c r="F94" s="296">
        <v>3000</v>
      </c>
      <c r="G94" s="352">
        <v>5</v>
      </c>
      <c r="H94" s="296">
        <f t="shared" si="12"/>
        <v>10710</v>
      </c>
      <c r="I94" s="122">
        <f t="shared" si="13"/>
        <v>15000</v>
      </c>
      <c r="J94" s="331">
        <f t="shared" si="14"/>
        <v>4290</v>
      </c>
      <c r="K94" s="292">
        <f>'09-RESUMEN'!$F$43/1375</f>
        <v>81431.961035221175</v>
      </c>
      <c r="L94" s="122">
        <f>('ESTADO RESULTADOS'!$C$36+'ESTADO RESULTADOS'!$C$71)/1375</f>
        <v>24762.287272727273</v>
      </c>
      <c r="M94" s="122">
        <v>0</v>
      </c>
      <c r="N94" s="122">
        <f t="shared" si="22"/>
        <v>116904.24830794845</v>
      </c>
      <c r="O94" s="122">
        <f t="shared" si="23"/>
        <v>23380.849661589691</v>
      </c>
      <c r="P94" s="336">
        <f t="shared" si="15"/>
        <v>-101904.24830794845</v>
      </c>
      <c r="Q94" s="336">
        <f t="shared" si="16"/>
        <v>21238.849661589691</v>
      </c>
      <c r="R94" s="303">
        <f t="shared" si="17"/>
        <v>9.9154293471473807</v>
      </c>
    </row>
    <row r="95" spans="1:18" x14ac:dyDescent="0.3">
      <c r="A95" s="2">
        <v>166</v>
      </c>
      <c r="B95" s="41" t="s">
        <v>92</v>
      </c>
      <c r="C95" s="2">
        <v>6</v>
      </c>
      <c r="D95" s="2" t="s">
        <v>12</v>
      </c>
      <c r="E95" s="294">
        <v>385.28530000000001</v>
      </c>
      <c r="F95" s="296">
        <v>500</v>
      </c>
      <c r="G95" s="352">
        <v>291</v>
      </c>
      <c r="H95" s="296">
        <f t="shared" si="12"/>
        <v>112118.0223</v>
      </c>
      <c r="I95" s="122">
        <f t="shared" si="13"/>
        <v>145500</v>
      </c>
      <c r="J95" s="331">
        <f t="shared" si="14"/>
        <v>33381.977700000003</v>
      </c>
      <c r="K95" s="292">
        <f>'09-RESUMEN'!$F$43/1375</f>
        <v>81431.961035221175</v>
      </c>
      <c r="L95" s="122">
        <f>('ESTADO RESULTADOS'!$C$36+'ESTADO RESULTADOS'!$C$71)/1375</f>
        <v>24762.287272727273</v>
      </c>
      <c r="M95" s="122">
        <v>0</v>
      </c>
      <c r="N95" s="122">
        <f t="shared" si="22"/>
        <v>218312.27060794845</v>
      </c>
      <c r="O95" s="122">
        <f t="shared" si="23"/>
        <v>750.21398834346542</v>
      </c>
      <c r="P95" s="336">
        <f t="shared" si="15"/>
        <v>-72812.270607948449</v>
      </c>
      <c r="Q95" s="336">
        <f t="shared" si="16"/>
        <v>364.92868834346541</v>
      </c>
      <c r="R95" s="303">
        <f t="shared" si="17"/>
        <v>0.94716483692335374</v>
      </c>
    </row>
    <row r="96" spans="1:18" x14ac:dyDescent="0.3">
      <c r="A96" s="2">
        <v>167</v>
      </c>
      <c r="B96" s="41" t="s">
        <v>93</v>
      </c>
      <c r="C96" s="2">
        <v>14</v>
      </c>
      <c r="D96" s="2" t="s">
        <v>32</v>
      </c>
      <c r="E96" s="294">
        <v>16628</v>
      </c>
      <c r="F96" s="296">
        <v>20500</v>
      </c>
      <c r="G96" s="352">
        <v>17</v>
      </c>
      <c r="H96" s="296">
        <f t="shared" si="12"/>
        <v>282676</v>
      </c>
      <c r="I96" s="122">
        <f t="shared" si="13"/>
        <v>348500</v>
      </c>
      <c r="J96" s="331">
        <f t="shared" si="14"/>
        <v>65824</v>
      </c>
      <c r="K96" s="292">
        <f>'09-RESUMEN'!$F$43/1375</f>
        <v>81431.961035221175</v>
      </c>
      <c r="L96" s="122">
        <f>('ESTADO RESULTADOS'!$C$36+'ESTADO RESULTADOS'!$C$71)/1375</f>
        <v>24762.287272727273</v>
      </c>
      <c r="M96" s="122">
        <v>0</v>
      </c>
      <c r="N96" s="122">
        <f t="shared" si="22"/>
        <v>388870.24830794847</v>
      </c>
      <c r="O96" s="122">
        <f t="shared" si="23"/>
        <v>22874.720488702849</v>
      </c>
      <c r="P96" s="336">
        <f t="shared" si="15"/>
        <v>-40370.248307948466</v>
      </c>
      <c r="Q96" s="336">
        <f t="shared" si="16"/>
        <v>6246.7204887028493</v>
      </c>
      <c r="R96" s="303">
        <f t="shared" si="17"/>
        <v>0.37567479484621419</v>
      </c>
    </row>
    <row r="97" spans="1:18" x14ac:dyDescent="0.3">
      <c r="A97" s="2">
        <v>168</v>
      </c>
      <c r="B97" s="41" t="s">
        <v>94</v>
      </c>
      <c r="C97" s="2">
        <v>14</v>
      </c>
      <c r="D97" s="2" t="s">
        <v>32</v>
      </c>
      <c r="E97" s="294">
        <v>24233</v>
      </c>
      <c r="F97" s="296">
        <v>28000</v>
      </c>
      <c r="G97" s="352">
        <v>27</v>
      </c>
      <c r="H97" s="296">
        <f t="shared" si="12"/>
        <v>654291</v>
      </c>
      <c r="I97" s="122">
        <f t="shared" si="13"/>
        <v>756000</v>
      </c>
      <c r="J97" s="331">
        <f t="shared" si="14"/>
        <v>101709</v>
      </c>
      <c r="K97" s="292">
        <f>'09-RESUMEN'!$F$43/1375</f>
        <v>81431.961035221175</v>
      </c>
      <c r="L97" s="122">
        <f>('ESTADO RESULTADOS'!$C$36+'ESTADO RESULTADOS'!$C$71)/1375</f>
        <v>24762.287272727273</v>
      </c>
      <c r="M97" s="122">
        <v>0</v>
      </c>
      <c r="N97" s="122">
        <f t="shared" si="22"/>
        <v>760485.24830794835</v>
      </c>
      <c r="O97" s="122">
        <f t="shared" si="23"/>
        <v>28166.120307701789</v>
      </c>
      <c r="P97" s="336">
        <f t="shared" si="15"/>
        <v>-4485.24830794835</v>
      </c>
      <c r="Q97" s="336">
        <f t="shared" si="16"/>
        <v>3933.120307701789</v>
      </c>
      <c r="R97" s="303">
        <f t="shared" si="17"/>
        <v>0.16230430849262531</v>
      </c>
    </row>
    <row r="98" spans="1:18" x14ac:dyDescent="0.3">
      <c r="A98" s="2">
        <v>169</v>
      </c>
      <c r="B98" s="41" t="s">
        <v>95</v>
      </c>
      <c r="C98" s="2">
        <v>14</v>
      </c>
      <c r="D98" s="2" t="s">
        <v>12</v>
      </c>
      <c r="E98" s="294">
        <v>27350</v>
      </c>
      <c r="F98" s="296">
        <v>32000</v>
      </c>
      <c r="G98" s="352">
        <v>15</v>
      </c>
      <c r="H98" s="296">
        <f t="shared" si="12"/>
        <v>410250</v>
      </c>
      <c r="I98" s="122">
        <f t="shared" si="13"/>
        <v>480000</v>
      </c>
      <c r="J98" s="331">
        <f t="shared" si="14"/>
        <v>69750</v>
      </c>
      <c r="K98" s="292">
        <f>'09-RESUMEN'!$F$43/1375</f>
        <v>81431.961035221175</v>
      </c>
      <c r="L98" s="122">
        <f>('ESTADO RESULTADOS'!$C$36+'ESTADO RESULTADOS'!$C$71)/1375</f>
        <v>24762.287272727273</v>
      </c>
      <c r="M98" s="122">
        <v>0</v>
      </c>
      <c r="N98" s="122">
        <f t="shared" si="22"/>
        <v>516444.24830794847</v>
      </c>
      <c r="O98" s="122">
        <f t="shared" si="23"/>
        <v>34429.616553863234</v>
      </c>
      <c r="P98" s="336">
        <f t="shared" si="15"/>
        <v>-36444.248307948466</v>
      </c>
      <c r="Q98" s="336">
        <f t="shared" si="16"/>
        <v>7079.616553863234</v>
      </c>
      <c r="R98" s="303">
        <f t="shared" si="17"/>
        <v>0.25885252482132481</v>
      </c>
    </row>
    <row r="99" spans="1:18" x14ac:dyDescent="0.3">
      <c r="A99" s="2">
        <v>170</v>
      </c>
      <c r="B99" s="41" t="s">
        <v>96</v>
      </c>
      <c r="C99" s="2">
        <v>14</v>
      </c>
      <c r="D99" s="2" t="s">
        <v>97</v>
      </c>
      <c r="E99" s="294">
        <v>1958</v>
      </c>
      <c r="F99" s="296">
        <v>2733.3333333333335</v>
      </c>
      <c r="G99" s="352">
        <v>57</v>
      </c>
      <c r="H99" s="296">
        <f t="shared" si="12"/>
        <v>111606</v>
      </c>
      <c r="I99" s="122">
        <f t="shared" si="13"/>
        <v>155800</v>
      </c>
      <c r="J99" s="331">
        <f t="shared" si="14"/>
        <v>44194</v>
      </c>
      <c r="K99" s="292">
        <f>'09-RESUMEN'!$F$43/1375</f>
        <v>81431.961035221175</v>
      </c>
      <c r="L99" s="122">
        <f>('ESTADO RESULTADOS'!$C$36+'ESTADO RESULTADOS'!$C$71)/1375</f>
        <v>24762.287272727273</v>
      </c>
      <c r="M99" s="122">
        <v>0</v>
      </c>
      <c r="N99" s="122">
        <f t="shared" si="22"/>
        <v>217800.24830794844</v>
      </c>
      <c r="O99" s="122">
        <f t="shared" si="23"/>
        <v>3821.0569878587444</v>
      </c>
      <c r="P99" s="336">
        <f t="shared" si="15"/>
        <v>-62000.248307948437</v>
      </c>
      <c r="Q99" s="336">
        <f t="shared" si="16"/>
        <v>1863.0569878587444</v>
      </c>
      <c r="R99" s="303">
        <f t="shared" si="17"/>
        <v>0.95151020830375099</v>
      </c>
    </row>
    <row r="100" spans="1:18" x14ac:dyDescent="0.3">
      <c r="A100" s="2">
        <v>171</v>
      </c>
      <c r="B100" s="41" t="s">
        <v>98</v>
      </c>
      <c r="C100" s="2">
        <v>4</v>
      </c>
      <c r="D100" s="2" t="s">
        <v>5</v>
      </c>
      <c r="E100" s="294">
        <v>19558</v>
      </c>
      <c r="F100" s="296">
        <v>23916.666666666668</v>
      </c>
      <c r="G100" s="352">
        <v>51</v>
      </c>
      <c r="H100" s="296">
        <f t="shared" si="12"/>
        <v>997458</v>
      </c>
      <c r="I100" s="122">
        <f t="shared" si="13"/>
        <v>1219750</v>
      </c>
      <c r="J100" s="331">
        <f t="shared" si="14"/>
        <v>222292</v>
      </c>
      <c r="K100" s="292">
        <f>'09-RESUMEN'!$F$43/1375</f>
        <v>81431.961035221175</v>
      </c>
      <c r="L100" s="122">
        <f>('ESTADO RESULTADOS'!$C$36+'ESTADO RESULTADOS'!$C$71)/1375</f>
        <v>24762.287272727273</v>
      </c>
      <c r="M100" s="122">
        <v>0</v>
      </c>
      <c r="N100" s="122">
        <f t="shared" si="22"/>
        <v>1103652.2483079485</v>
      </c>
      <c r="O100" s="122">
        <f t="shared" si="23"/>
        <v>21640.240162900951</v>
      </c>
      <c r="P100" s="336">
        <f t="shared" si="15"/>
        <v>116097.75169205153</v>
      </c>
      <c r="Q100" s="336">
        <f t="shared" si="16"/>
        <v>2082.240162900951</v>
      </c>
      <c r="R100" s="303">
        <f t="shared" si="17"/>
        <v>0.10646488203808932</v>
      </c>
    </row>
    <row r="101" spans="1:18" x14ac:dyDescent="0.3">
      <c r="A101" s="2">
        <v>175</v>
      </c>
      <c r="B101" s="41" t="s">
        <v>1604</v>
      </c>
      <c r="C101" s="2">
        <v>2</v>
      </c>
      <c r="D101" s="2" t="s">
        <v>12</v>
      </c>
      <c r="E101" s="294">
        <v>39145.050000000003</v>
      </c>
      <c r="F101" s="296">
        <v>44000</v>
      </c>
      <c r="G101" s="352">
        <v>0</v>
      </c>
      <c r="H101" s="296">
        <f t="shared" si="12"/>
        <v>0</v>
      </c>
      <c r="I101" s="122">
        <f t="shared" si="13"/>
        <v>0</v>
      </c>
      <c r="J101" s="331">
        <f t="shared" si="14"/>
        <v>0</v>
      </c>
      <c r="K101" s="292">
        <f>'09-RESUMEN'!$F$43/1375</f>
        <v>81431.961035221175</v>
      </c>
      <c r="L101" s="122">
        <f>('ESTADO RESULTADOS'!$C$36+'ESTADO RESULTADOS'!$C$71)/1375</f>
        <v>24762.287272727273</v>
      </c>
      <c r="M101" s="122">
        <v>0</v>
      </c>
      <c r="N101" s="122">
        <f>SUM(E101+K101+L101+M101)</f>
        <v>145339.29830794845</v>
      </c>
      <c r="O101" s="122">
        <f>N101</f>
        <v>145339.29830794845</v>
      </c>
      <c r="P101" s="336">
        <f t="shared" si="15"/>
        <v>-145339.29830794845</v>
      </c>
      <c r="Q101" s="336">
        <f t="shared" si="16"/>
        <v>106194.24830794845</v>
      </c>
      <c r="R101" s="303">
        <f t="shared" si="17"/>
        <v>2.7128397666613902</v>
      </c>
    </row>
    <row r="102" spans="1:18" x14ac:dyDescent="0.3">
      <c r="A102" s="2">
        <v>181</v>
      </c>
      <c r="B102" s="41" t="s">
        <v>99</v>
      </c>
      <c r="C102" s="2">
        <v>14</v>
      </c>
      <c r="D102" s="2" t="s">
        <v>100</v>
      </c>
      <c r="E102" s="294">
        <v>43707</v>
      </c>
      <c r="F102" s="296">
        <v>50200</v>
      </c>
      <c r="G102" s="352">
        <v>1</v>
      </c>
      <c r="H102" s="296">
        <f t="shared" si="12"/>
        <v>43707</v>
      </c>
      <c r="I102" s="122">
        <f t="shared" si="13"/>
        <v>50200</v>
      </c>
      <c r="J102" s="331">
        <f t="shared" si="14"/>
        <v>6493</v>
      </c>
      <c r="K102" s="292">
        <f>'09-RESUMEN'!$F$43/1375</f>
        <v>81431.961035221175</v>
      </c>
      <c r="L102" s="122">
        <f>('ESTADO RESULTADOS'!$C$36+'ESTADO RESULTADOS'!$C$71)/1375</f>
        <v>24762.287272727273</v>
      </c>
      <c r="M102" s="122">
        <v>0</v>
      </c>
      <c r="N102" s="122">
        <f t="shared" ref="N102:N117" si="24">SUM(H102+K102+L102+M102)</f>
        <v>149901.24830794844</v>
      </c>
      <c r="O102" s="122">
        <f t="shared" ref="O102:O117" si="25">N102/G102</f>
        <v>149901.24830794844</v>
      </c>
      <c r="P102" s="336">
        <f t="shared" si="15"/>
        <v>-99701.248307948437</v>
      </c>
      <c r="Q102" s="336">
        <f t="shared" si="16"/>
        <v>106194.24830794844</v>
      </c>
      <c r="R102" s="303">
        <f t="shared" si="17"/>
        <v>2.4296851375740371</v>
      </c>
    </row>
    <row r="103" spans="1:18" x14ac:dyDescent="0.3">
      <c r="A103" s="2">
        <v>184</v>
      </c>
      <c r="B103" s="41" t="s">
        <v>1605</v>
      </c>
      <c r="C103" s="2">
        <v>4</v>
      </c>
      <c r="D103" s="2" t="s">
        <v>16</v>
      </c>
      <c r="E103" s="294">
        <v>106742.64</v>
      </c>
      <c r="F103" s="296">
        <v>126266.66666666667</v>
      </c>
      <c r="G103" s="352">
        <v>1</v>
      </c>
      <c r="H103" s="296">
        <f t="shared" si="12"/>
        <v>106742.64</v>
      </c>
      <c r="I103" s="122">
        <f t="shared" si="13"/>
        <v>126266.66666666667</v>
      </c>
      <c r="J103" s="331">
        <f t="shared" si="14"/>
        <v>19524.026666666672</v>
      </c>
      <c r="K103" s="292">
        <f>'09-RESUMEN'!$F$43/1375</f>
        <v>81431.961035221175</v>
      </c>
      <c r="L103" s="122">
        <f>('ESTADO RESULTADOS'!$C$36+'ESTADO RESULTADOS'!$C$71)/1375</f>
        <v>24762.287272727273</v>
      </c>
      <c r="M103" s="122">
        <v>0</v>
      </c>
      <c r="N103" s="122">
        <f t="shared" si="24"/>
        <v>212936.88830794845</v>
      </c>
      <c r="O103" s="122">
        <f t="shared" si="25"/>
        <v>212936.88830794845</v>
      </c>
      <c r="P103" s="336">
        <f t="shared" si="15"/>
        <v>-86670.22164128178</v>
      </c>
      <c r="Q103" s="336">
        <f t="shared" si="16"/>
        <v>106194.24830794845</v>
      </c>
      <c r="R103" s="303">
        <f t="shared" si="17"/>
        <v>0.99486248708059355</v>
      </c>
    </row>
    <row r="104" spans="1:18" x14ac:dyDescent="0.3">
      <c r="A104" s="2">
        <v>185</v>
      </c>
      <c r="B104" s="41" t="s">
        <v>1606</v>
      </c>
      <c r="C104" s="2">
        <v>4</v>
      </c>
      <c r="D104" s="2" t="s">
        <v>16</v>
      </c>
      <c r="E104" s="294">
        <v>22547.78</v>
      </c>
      <c r="F104" s="296">
        <v>26416.666666666668</v>
      </c>
      <c r="G104" s="352">
        <v>5</v>
      </c>
      <c r="H104" s="296">
        <f t="shared" si="12"/>
        <v>112738.9</v>
      </c>
      <c r="I104" s="122">
        <f t="shared" si="13"/>
        <v>132083.33333333334</v>
      </c>
      <c r="J104" s="331">
        <f t="shared" si="14"/>
        <v>19344.433333333349</v>
      </c>
      <c r="K104" s="292">
        <f>'09-RESUMEN'!$F$43/1375</f>
        <v>81431.961035221175</v>
      </c>
      <c r="L104" s="122">
        <f>('ESTADO RESULTADOS'!$C$36+'ESTADO RESULTADOS'!$C$71)/1375</f>
        <v>24762.287272727273</v>
      </c>
      <c r="M104" s="122">
        <v>0</v>
      </c>
      <c r="N104" s="122">
        <f t="shared" si="24"/>
        <v>218933.14830794843</v>
      </c>
      <c r="O104" s="122">
        <f t="shared" si="25"/>
        <v>43786.629661589686</v>
      </c>
      <c r="P104" s="336">
        <f t="shared" si="15"/>
        <v>-86849.814974615088</v>
      </c>
      <c r="Q104" s="336">
        <f t="shared" si="16"/>
        <v>21238.849661589687</v>
      </c>
      <c r="R104" s="303">
        <f t="shared" si="17"/>
        <v>0.94194859367927519</v>
      </c>
    </row>
    <row r="105" spans="1:18" x14ac:dyDescent="0.3">
      <c r="A105" s="2">
        <v>186</v>
      </c>
      <c r="B105" s="41" t="s">
        <v>101</v>
      </c>
      <c r="C105" s="2">
        <v>1</v>
      </c>
      <c r="D105" s="2" t="s">
        <v>3</v>
      </c>
      <c r="E105" s="321">
        <v>213000</v>
      </c>
      <c r="F105" s="322">
        <v>221100</v>
      </c>
      <c r="G105" s="353">
        <v>40</v>
      </c>
      <c r="H105" s="322">
        <f t="shared" si="12"/>
        <v>8520000</v>
      </c>
      <c r="I105" s="122">
        <f t="shared" si="13"/>
        <v>8844000</v>
      </c>
      <c r="J105" s="331">
        <f t="shared" si="14"/>
        <v>324000</v>
      </c>
      <c r="K105" s="292">
        <f>'09-RESUMEN'!$F$43/1375</f>
        <v>81431.961035221175</v>
      </c>
      <c r="L105" s="122">
        <f>('ESTADO RESULTADOS'!$C$36+'ESTADO RESULTADOS'!$C$71)/1375</f>
        <v>24762.287272727273</v>
      </c>
      <c r="M105" s="122">
        <v>0</v>
      </c>
      <c r="N105" s="122">
        <f t="shared" si="24"/>
        <v>8626194.2483079489</v>
      </c>
      <c r="O105" s="122">
        <f t="shared" si="25"/>
        <v>215654.85620769873</v>
      </c>
      <c r="P105" s="336">
        <f t="shared" si="15"/>
        <v>217805.75169205107</v>
      </c>
      <c r="Q105" s="336">
        <f t="shared" si="16"/>
        <v>2654.8562076987291</v>
      </c>
      <c r="R105" s="303">
        <f t="shared" si="17"/>
        <v>1.2464113651167742E-2</v>
      </c>
    </row>
    <row r="106" spans="1:18" x14ac:dyDescent="0.3">
      <c r="A106" s="2">
        <v>188</v>
      </c>
      <c r="B106" s="41" t="s">
        <v>102</v>
      </c>
      <c r="C106" s="2">
        <v>6</v>
      </c>
      <c r="D106" s="2" t="s">
        <v>32</v>
      </c>
      <c r="E106" s="294">
        <v>46328</v>
      </c>
      <c r="F106" s="296">
        <v>55250</v>
      </c>
      <c r="G106" s="352">
        <v>2</v>
      </c>
      <c r="H106" s="296">
        <f t="shared" si="12"/>
        <v>92656</v>
      </c>
      <c r="I106" s="122">
        <f t="shared" si="13"/>
        <v>110500</v>
      </c>
      <c r="J106" s="331">
        <f t="shared" si="14"/>
        <v>17844</v>
      </c>
      <c r="K106" s="292">
        <f>'09-RESUMEN'!$F$43/1375</f>
        <v>81431.961035221175</v>
      </c>
      <c r="L106" s="122">
        <f>('ESTADO RESULTADOS'!$C$36+'ESTADO RESULTADOS'!$C$71)/1375</f>
        <v>24762.287272727273</v>
      </c>
      <c r="M106" s="122">
        <v>0</v>
      </c>
      <c r="N106" s="122">
        <f t="shared" si="24"/>
        <v>198850.24830794844</v>
      </c>
      <c r="O106" s="122">
        <f t="shared" si="25"/>
        <v>99425.124153974219</v>
      </c>
      <c r="P106" s="336">
        <f t="shared" si="15"/>
        <v>-88350.248307948437</v>
      </c>
      <c r="Q106" s="336">
        <f t="shared" si="16"/>
        <v>53097.124153974219</v>
      </c>
      <c r="R106" s="303">
        <f t="shared" si="17"/>
        <v>1.1461130235273316</v>
      </c>
    </row>
    <row r="107" spans="1:18" x14ac:dyDescent="0.3">
      <c r="A107" s="2">
        <v>189</v>
      </c>
      <c r="B107" s="41" t="s">
        <v>103</v>
      </c>
      <c r="C107" s="2">
        <v>14</v>
      </c>
      <c r="D107" s="2" t="s">
        <v>104</v>
      </c>
      <c r="E107" s="294">
        <v>40479.7857</v>
      </c>
      <c r="F107" s="296">
        <v>45000</v>
      </c>
      <c r="G107" s="352">
        <v>8</v>
      </c>
      <c r="H107" s="296">
        <f t="shared" si="12"/>
        <v>323838.2856</v>
      </c>
      <c r="I107" s="122">
        <f t="shared" si="13"/>
        <v>360000</v>
      </c>
      <c r="J107" s="331">
        <f t="shared" si="14"/>
        <v>36161.714399999997</v>
      </c>
      <c r="K107" s="292">
        <f>'09-RESUMEN'!$F$43/1375</f>
        <v>81431.961035221175</v>
      </c>
      <c r="L107" s="122">
        <f>('ESTADO RESULTADOS'!$C$36+'ESTADO RESULTADOS'!$C$71)/1375</f>
        <v>24762.287272727273</v>
      </c>
      <c r="M107" s="122">
        <v>0</v>
      </c>
      <c r="N107" s="122">
        <f t="shared" si="24"/>
        <v>430032.53390794847</v>
      </c>
      <c r="O107" s="122">
        <f t="shared" si="25"/>
        <v>53754.066738493559</v>
      </c>
      <c r="P107" s="336">
        <f t="shared" si="15"/>
        <v>-70032.533907948469</v>
      </c>
      <c r="Q107" s="336">
        <f t="shared" si="16"/>
        <v>13274.281038493558</v>
      </c>
      <c r="R107" s="303">
        <f t="shared" si="17"/>
        <v>0.32792369843236491</v>
      </c>
    </row>
    <row r="108" spans="1:18" x14ac:dyDescent="0.3">
      <c r="A108" s="2">
        <v>190</v>
      </c>
      <c r="B108" s="41" t="s">
        <v>105</v>
      </c>
      <c r="C108" s="2">
        <v>14</v>
      </c>
      <c r="D108" s="2" t="s">
        <v>21</v>
      </c>
      <c r="E108" s="294">
        <v>7394.8462</v>
      </c>
      <c r="F108" s="296">
        <v>9000</v>
      </c>
      <c r="G108" s="352">
        <v>13</v>
      </c>
      <c r="H108" s="296">
        <f t="shared" si="12"/>
        <v>96133.000599999999</v>
      </c>
      <c r="I108" s="122">
        <f t="shared" si="13"/>
        <v>117000</v>
      </c>
      <c r="J108" s="331">
        <f t="shared" si="14"/>
        <v>20866.999400000001</v>
      </c>
      <c r="K108" s="292">
        <f>'09-RESUMEN'!$F$43/1375</f>
        <v>81431.961035221175</v>
      </c>
      <c r="L108" s="122">
        <f>('ESTADO RESULTADOS'!$C$36+'ESTADO RESULTADOS'!$C$71)/1375</f>
        <v>24762.287272727273</v>
      </c>
      <c r="M108" s="122">
        <v>0</v>
      </c>
      <c r="N108" s="122">
        <f t="shared" si="24"/>
        <v>202327.24890794844</v>
      </c>
      <c r="O108" s="122">
        <f t="shared" si="25"/>
        <v>15563.634531380649</v>
      </c>
      <c r="P108" s="336">
        <f t="shared" si="15"/>
        <v>-85327.248907948437</v>
      </c>
      <c r="Q108" s="336">
        <f t="shared" si="16"/>
        <v>8168.7883313806487</v>
      </c>
      <c r="R108" s="303">
        <f t="shared" si="17"/>
        <v>1.1046596657251166</v>
      </c>
    </row>
    <row r="109" spans="1:18" x14ac:dyDescent="0.3">
      <c r="A109" s="2">
        <v>192</v>
      </c>
      <c r="B109" s="41" t="s">
        <v>106</v>
      </c>
      <c r="C109" s="2">
        <v>9</v>
      </c>
      <c r="D109" s="2" t="s">
        <v>12</v>
      </c>
      <c r="E109" s="294">
        <v>9473.9231999999993</v>
      </c>
      <c r="F109" s="296">
        <v>10800</v>
      </c>
      <c r="G109" s="352">
        <v>8</v>
      </c>
      <c r="H109" s="296">
        <f t="shared" si="12"/>
        <v>75791.385599999994</v>
      </c>
      <c r="I109" s="122">
        <f t="shared" si="13"/>
        <v>86400</v>
      </c>
      <c r="J109" s="331">
        <f t="shared" si="14"/>
        <v>10608.614400000006</v>
      </c>
      <c r="K109" s="292">
        <f>'09-RESUMEN'!$F$43/1375</f>
        <v>81431.961035221175</v>
      </c>
      <c r="L109" s="122">
        <f>('ESTADO RESULTADOS'!$C$36+'ESTADO RESULTADOS'!$C$71)/1375</f>
        <v>24762.287272727273</v>
      </c>
      <c r="M109" s="122">
        <v>0</v>
      </c>
      <c r="N109" s="122">
        <f t="shared" si="24"/>
        <v>181985.63390794842</v>
      </c>
      <c r="O109" s="122">
        <f t="shared" si="25"/>
        <v>22748.204238493552</v>
      </c>
      <c r="P109" s="336">
        <f t="shared" si="15"/>
        <v>-95585.633907948417</v>
      </c>
      <c r="Q109" s="336">
        <f t="shared" si="16"/>
        <v>13274.281038493553</v>
      </c>
      <c r="R109" s="303">
        <f t="shared" si="17"/>
        <v>1.401138763558222</v>
      </c>
    </row>
    <row r="110" spans="1:18" x14ac:dyDescent="0.3">
      <c r="A110" s="2">
        <v>193</v>
      </c>
      <c r="B110" s="41" t="s">
        <v>107</v>
      </c>
      <c r="C110" s="2">
        <v>14</v>
      </c>
      <c r="D110" s="2" t="s">
        <v>32</v>
      </c>
      <c r="E110" s="294">
        <v>5209</v>
      </c>
      <c r="F110" s="296">
        <v>6750</v>
      </c>
      <c r="G110" s="352">
        <v>25</v>
      </c>
      <c r="H110" s="296">
        <f t="shared" si="12"/>
        <v>130225</v>
      </c>
      <c r="I110" s="122">
        <f t="shared" si="13"/>
        <v>168750</v>
      </c>
      <c r="J110" s="331">
        <f t="shared" si="14"/>
        <v>38525</v>
      </c>
      <c r="K110" s="292">
        <f>'09-RESUMEN'!$F$43/1375</f>
        <v>81431.961035221175</v>
      </c>
      <c r="L110" s="122">
        <f>('ESTADO RESULTADOS'!$C$36+'ESTADO RESULTADOS'!$C$71)/1375</f>
        <v>24762.287272727273</v>
      </c>
      <c r="M110" s="122">
        <v>0</v>
      </c>
      <c r="N110" s="122">
        <f t="shared" si="24"/>
        <v>236419.24830794844</v>
      </c>
      <c r="O110" s="122">
        <f t="shared" si="25"/>
        <v>9456.7699323179368</v>
      </c>
      <c r="P110" s="336">
        <f t="shared" si="15"/>
        <v>-67669.248307948437</v>
      </c>
      <c r="Q110" s="336">
        <f t="shared" si="16"/>
        <v>4247.7699323179368</v>
      </c>
      <c r="R110" s="303">
        <f t="shared" si="17"/>
        <v>0.81546744717180586</v>
      </c>
    </row>
    <row r="111" spans="1:18" x14ac:dyDescent="0.3">
      <c r="A111" s="2">
        <v>194</v>
      </c>
      <c r="B111" s="41" t="s">
        <v>108</v>
      </c>
      <c r="C111" s="2">
        <v>14</v>
      </c>
      <c r="D111" s="2" t="s">
        <v>32</v>
      </c>
      <c r="E111" s="294">
        <v>10389</v>
      </c>
      <c r="F111" s="296">
        <v>14500</v>
      </c>
      <c r="G111" s="352">
        <v>10</v>
      </c>
      <c r="H111" s="296">
        <f t="shared" si="12"/>
        <v>103890</v>
      </c>
      <c r="I111" s="122">
        <f t="shared" si="13"/>
        <v>145000</v>
      </c>
      <c r="J111" s="331">
        <f t="shared" si="14"/>
        <v>41110</v>
      </c>
      <c r="K111" s="292">
        <f>'09-RESUMEN'!$F$43/1375</f>
        <v>81431.961035221175</v>
      </c>
      <c r="L111" s="122">
        <f>('ESTADO RESULTADOS'!$C$36+'ESTADO RESULTADOS'!$C$71)/1375</f>
        <v>24762.287272727273</v>
      </c>
      <c r="M111" s="122">
        <v>0</v>
      </c>
      <c r="N111" s="122">
        <f t="shared" si="24"/>
        <v>210084.24830794844</v>
      </c>
      <c r="O111" s="122">
        <f t="shared" si="25"/>
        <v>21008.424830794844</v>
      </c>
      <c r="P111" s="336">
        <f t="shared" si="15"/>
        <v>-65084.248307948437</v>
      </c>
      <c r="Q111" s="336">
        <f t="shared" si="16"/>
        <v>10619.424830794844</v>
      </c>
      <c r="R111" s="303">
        <f t="shared" si="17"/>
        <v>1.0221796930209688</v>
      </c>
    </row>
    <row r="112" spans="1:18" x14ac:dyDescent="0.3">
      <c r="A112" s="2">
        <v>195</v>
      </c>
      <c r="B112" s="41" t="s">
        <v>109</v>
      </c>
      <c r="C112" s="2">
        <v>7</v>
      </c>
      <c r="D112" s="2" t="s">
        <v>21</v>
      </c>
      <c r="E112" s="294">
        <v>2230</v>
      </c>
      <c r="F112" s="296">
        <v>2466.6666666666665</v>
      </c>
      <c r="G112" s="352">
        <v>6</v>
      </c>
      <c r="H112" s="296">
        <f t="shared" si="12"/>
        <v>13380</v>
      </c>
      <c r="I112" s="122">
        <f t="shared" si="13"/>
        <v>14800</v>
      </c>
      <c r="J112" s="331">
        <f t="shared" si="14"/>
        <v>1420</v>
      </c>
      <c r="K112" s="292">
        <f>'09-RESUMEN'!$F$43/1375</f>
        <v>81431.961035221175</v>
      </c>
      <c r="L112" s="122">
        <f>('ESTADO RESULTADOS'!$C$36+'ESTADO RESULTADOS'!$C$71)/1375</f>
        <v>24762.287272727273</v>
      </c>
      <c r="M112" s="122">
        <v>0</v>
      </c>
      <c r="N112" s="122">
        <f t="shared" si="24"/>
        <v>119574.24830794845</v>
      </c>
      <c r="O112" s="122">
        <f t="shared" si="25"/>
        <v>19929.041384658074</v>
      </c>
      <c r="P112" s="336">
        <f t="shared" si="15"/>
        <v>-104774.24830794845</v>
      </c>
      <c r="Q112" s="336">
        <f t="shared" si="16"/>
        <v>17699.041384658074</v>
      </c>
      <c r="R112" s="303">
        <f t="shared" si="17"/>
        <v>7.936789858591065</v>
      </c>
    </row>
    <row r="113" spans="1:18" x14ac:dyDescent="0.3">
      <c r="A113" s="2">
        <v>197</v>
      </c>
      <c r="B113" s="41" t="s">
        <v>1607</v>
      </c>
      <c r="C113" s="2">
        <v>6</v>
      </c>
      <c r="D113" s="2" t="s">
        <v>21</v>
      </c>
      <c r="E113" s="294">
        <v>12800</v>
      </c>
      <c r="F113" s="296">
        <v>14800</v>
      </c>
      <c r="G113" s="352">
        <v>35</v>
      </c>
      <c r="H113" s="296">
        <f t="shared" si="12"/>
        <v>448000</v>
      </c>
      <c r="I113" s="122">
        <f t="shared" si="13"/>
        <v>518000</v>
      </c>
      <c r="J113" s="331">
        <f t="shared" si="14"/>
        <v>70000</v>
      </c>
      <c r="K113" s="292">
        <f>'09-RESUMEN'!$F$43/1375</f>
        <v>81431.961035221175</v>
      </c>
      <c r="L113" s="122">
        <f>('ESTADO RESULTADOS'!$C$36+'ESTADO RESULTADOS'!$C$71)/1375</f>
        <v>24762.287272727273</v>
      </c>
      <c r="M113" s="122">
        <v>0</v>
      </c>
      <c r="N113" s="122">
        <f t="shared" si="24"/>
        <v>554194.24830794835</v>
      </c>
      <c r="O113" s="122">
        <f t="shared" si="25"/>
        <v>15834.121380227096</v>
      </c>
      <c r="P113" s="336">
        <f t="shared" si="15"/>
        <v>-36194.24830794835</v>
      </c>
      <c r="Q113" s="336">
        <f t="shared" si="16"/>
        <v>3034.1213802270959</v>
      </c>
      <c r="R113" s="303">
        <f t="shared" si="17"/>
        <v>0.23704073283024185</v>
      </c>
    </row>
    <row r="114" spans="1:18" x14ac:dyDescent="0.3">
      <c r="A114" s="2">
        <v>199</v>
      </c>
      <c r="B114" s="41" t="s">
        <v>110</v>
      </c>
      <c r="C114" s="2">
        <v>6</v>
      </c>
      <c r="D114" s="2" t="s">
        <v>32</v>
      </c>
      <c r="E114" s="294">
        <v>36213</v>
      </c>
      <c r="F114" s="296">
        <v>41666.666666666664</v>
      </c>
      <c r="G114" s="352">
        <v>16</v>
      </c>
      <c r="H114" s="296">
        <f t="shared" si="12"/>
        <v>579408</v>
      </c>
      <c r="I114" s="122">
        <f t="shared" si="13"/>
        <v>666666.66666666663</v>
      </c>
      <c r="J114" s="331">
        <f t="shared" si="14"/>
        <v>87258.666666666628</v>
      </c>
      <c r="K114" s="292">
        <f>'09-RESUMEN'!$F$43/1375</f>
        <v>81431.961035221175</v>
      </c>
      <c r="L114" s="122">
        <f>('ESTADO RESULTADOS'!$C$36+'ESTADO RESULTADOS'!$C$71)/1375</f>
        <v>24762.287272727273</v>
      </c>
      <c r="M114" s="122">
        <v>0</v>
      </c>
      <c r="N114" s="122">
        <f t="shared" si="24"/>
        <v>685602.24830794835</v>
      </c>
      <c r="O114" s="122">
        <f t="shared" si="25"/>
        <v>42850.140519246772</v>
      </c>
      <c r="P114" s="336">
        <f t="shared" si="15"/>
        <v>-18935.581641281722</v>
      </c>
      <c r="Q114" s="336">
        <f t="shared" si="16"/>
        <v>6637.1405192467719</v>
      </c>
      <c r="R114" s="303">
        <f t="shared" si="17"/>
        <v>0.18328060418211062</v>
      </c>
    </row>
    <row r="115" spans="1:18" x14ac:dyDescent="0.3">
      <c r="A115" s="2">
        <v>200</v>
      </c>
      <c r="B115" s="41" t="s">
        <v>1608</v>
      </c>
      <c r="C115" s="2">
        <v>6</v>
      </c>
      <c r="D115" s="2" t="s">
        <v>32</v>
      </c>
      <c r="E115" s="294">
        <v>162928</v>
      </c>
      <c r="F115" s="296">
        <v>185200</v>
      </c>
      <c r="G115" s="352">
        <v>2</v>
      </c>
      <c r="H115" s="296">
        <f t="shared" si="12"/>
        <v>325856</v>
      </c>
      <c r="I115" s="122">
        <f t="shared" si="13"/>
        <v>370400</v>
      </c>
      <c r="J115" s="331">
        <f t="shared" si="14"/>
        <v>44544</v>
      </c>
      <c r="K115" s="292">
        <f>'09-RESUMEN'!$F$43/1375</f>
        <v>81431.961035221175</v>
      </c>
      <c r="L115" s="122">
        <f>('ESTADO RESULTADOS'!$C$36+'ESTADO RESULTADOS'!$C$71)/1375</f>
        <v>24762.287272727273</v>
      </c>
      <c r="M115" s="122">
        <v>0</v>
      </c>
      <c r="N115" s="122">
        <f t="shared" si="24"/>
        <v>432050.24830794847</v>
      </c>
      <c r="O115" s="122">
        <f t="shared" si="25"/>
        <v>216025.12415397423</v>
      </c>
      <c r="P115" s="336">
        <f t="shared" si="15"/>
        <v>-61650.248307948466</v>
      </c>
      <c r="Q115" s="336">
        <f t="shared" si="16"/>
        <v>53097.124153974233</v>
      </c>
      <c r="R115" s="303">
        <f t="shared" si="17"/>
        <v>0.32589318075453105</v>
      </c>
    </row>
    <row r="116" spans="1:18" x14ac:dyDescent="0.3">
      <c r="A116" s="2">
        <v>202</v>
      </c>
      <c r="B116" s="41" t="s">
        <v>111</v>
      </c>
      <c r="C116" s="2">
        <v>2</v>
      </c>
      <c r="D116" s="2" t="s">
        <v>112</v>
      </c>
      <c r="E116" s="294">
        <v>84434.7</v>
      </c>
      <c r="F116" s="296">
        <v>101483.33333333333</v>
      </c>
      <c r="G116" s="352">
        <v>33</v>
      </c>
      <c r="H116" s="296">
        <f t="shared" si="12"/>
        <v>2786345.1</v>
      </c>
      <c r="I116" s="122">
        <f t="shared" si="13"/>
        <v>3348950</v>
      </c>
      <c r="J116" s="331">
        <f t="shared" si="14"/>
        <v>562604.89999999991</v>
      </c>
      <c r="K116" s="292">
        <f>'09-RESUMEN'!$F$43/1375</f>
        <v>81431.961035221175</v>
      </c>
      <c r="L116" s="122">
        <f>('ESTADO RESULTADOS'!$C$36+'ESTADO RESULTADOS'!$C$71)/1375</f>
        <v>24762.287272727273</v>
      </c>
      <c r="M116" s="122">
        <v>0</v>
      </c>
      <c r="N116" s="122">
        <f t="shared" si="24"/>
        <v>2892539.3483079486</v>
      </c>
      <c r="O116" s="122">
        <f t="shared" si="25"/>
        <v>87652.707524483296</v>
      </c>
      <c r="P116" s="336">
        <f t="shared" si="15"/>
        <v>456410.65169205144</v>
      </c>
      <c r="Q116" s="336">
        <f t="shared" si="16"/>
        <v>3218.0075244832988</v>
      </c>
      <c r="R116" s="303">
        <f t="shared" si="17"/>
        <v>3.8112381810834865E-2</v>
      </c>
    </row>
    <row r="117" spans="1:18" x14ac:dyDescent="0.3">
      <c r="A117" s="2">
        <v>203</v>
      </c>
      <c r="B117" s="41" t="s">
        <v>1609</v>
      </c>
      <c r="C117" s="2">
        <v>2</v>
      </c>
      <c r="D117" s="2" t="s">
        <v>112</v>
      </c>
      <c r="E117" s="294">
        <v>97099.8</v>
      </c>
      <c r="F117" s="296">
        <v>112833.33333333333</v>
      </c>
      <c r="G117" s="352">
        <v>33</v>
      </c>
      <c r="H117" s="296">
        <f t="shared" si="12"/>
        <v>3204293.4</v>
      </c>
      <c r="I117" s="122">
        <f t="shared" si="13"/>
        <v>3723500</v>
      </c>
      <c r="J117" s="331">
        <f t="shared" si="14"/>
        <v>519206.60000000009</v>
      </c>
      <c r="K117" s="292">
        <f>'09-RESUMEN'!$F$43/1375</f>
        <v>81431.961035221175</v>
      </c>
      <c r="L117" s="122">
        <f>('ESTADO RESULTADOS'!$C$36+'ESTADO RESULTADOS'!$C$71)/1375</f>
        <v>24762.287272727273</v>
      </c>
      <c r="M117" s="122">
        <v>0</v>
      </c>
      <c r="N117" s="122">
        <f t="shared" si="24"/>
        <v>3310487.6483079484</v>
      </c>
      <c r="O117" s="122">
        <f t="shared" si="25"/>
        <v>100317.80752448329</v>
      </c>
      <c r="P117" s="336">
        <f t="shared" si="15"/>
        <v>413012.35169205163</v>
      </c>
      <c r="Q117" s="336">
        <f t="shared" si="16"/>
        <v>3218.0075244832842</v>
      </c>
      <c r="R117" s="303">
        <f t="shared" si="17"/>
        <v>3.3141237412263304E-2</v>
      </c>
    </row>
    <row r="118" spans="1:18" x14ac:dyDescent="0.3">
      <c r="A118" s="163">
        <v>205</v>
      </c>
      <c r="B118" s="329" t="s">
        <v>113</v>
      </c>
      <c r="C118" s="163">
        <v>2</v>
      </c>
      <c r="D118" s="163" t="s">
        <v>112</v>
      </c>
      <c r="E118" s="297">
        <v>2912.2494999999999</v>
      </c>
      <c r="F118" s="299">
        <v>3333.3333333333335</v>
      </c>
      <c r="G118" s="354">
        <v>0</v>
      </c>
      <c r="H118" s="296">
        <f t="shared" si="12"/>
        <v>0</v>
      </c>
      <c r="I118" s="122">
        <f t="shared" si="13"/>
        <v>0</v>
      </c>
      <c r="J118" s="331">
        <f t="shared" si="14"/>
        <v>0</v>
      </c>
      <c r="K118" s="293">
        <f>'09-RESUMEN'!$F$43/1375+('09-RESUMEN'!$F$42/17)</f>
        <v>283519.42464527232</v>
      </c>
      <c r="L118" s="256">
        <f>('ESTADO RESULTADOS'!$C$36+'ESTADO RESULTADOS'!$C$71)/1375</f>
        <v>24762.287272727273</v>
      </c>
      <c r="M118" s="256">
        <f>'ESTADO RESULTADOS'!$C$37/17</f>
        <v>106174.11764705883</v>
      </c>
      <c r="N118" s="122">
        <f>SUM(E118+K118+L118+M118)</f>
        <v>417368.07906505838</v>
      </c>
      <c r="O118" s="122">
        <f>N118</f>
        <v>417368.07906505838</v>
      </c>
      <c r="P118" s="336">
        <f t="shared" si="15"/>
        <v>-417368.07906505838</v>
      </c>
      <c r="Q118" s="336">
        <f t="shared" si="16"/>
        <v>414455.8295650584</v>
      </c>
      <c r="R118" s="303">
        <f t="shared" si="17"/>
        <v>142.31467103524557</v>
      </c>
    </row>
    <row r="119" spans="1:18" x14ac:dyDescent="0.3">
      <c r="A119" s="2">
        <v>206</v>
      </c>
      <c r="B119" s="41" t="s">
        <v>114</v>
      </c>
      <c r="C119" s="2">
        <v>2</v>
      </c>
      <c r="D119" s="2" t="s">
        <v>112</v>
      </c>
      <c r="E119" s="294">
        <v>113490.3</v>
      </c>
      <c r="F119" s="296">
        <v>125550</v>
      </c>
      <c r="G119" s="352">
        <v>122.5</v>
      </c>
      <c r="H119" s="296">
        <f t="shared" si="12"/>
        <v>13902561.75</v>
      </c>
      <c r="I119" s="122">
        <f t="shared" si="13"/>
        <v>15379875</v>
      </c>
      <c r="J119" s="331">
        <f t="shared" si="14"/>
        <v>1477313.25</v>
      </c>
      <c r="K119" s="292">
        <f>'09-RESUMEN'!$F$43/1375</f>
        <v>81431.961035221175</v>
      </c>
      <c r="L119" s="122">
        <f>('ESTADO RESULTADOS'!$C$36+'ESTADO RESULTADOS'!$C$71)/1375</f>
        <v>24762.287272727273</v>
      </c>
      <c r="M119" s="122">
        <v>0</v>
      </c>
      <c r="N119" s="122">
        <f t="shared" ref="N119:N138" si="26">SUM(H119+K119+L119+M119)</f>
        <v>14008755.998307949</v>
      </c>
      <c r="O119" s="122">
        <f t="shared" ref="O119:O138" si="27">N119/G119</f>
        <v>114357.19182292203</v>
      </c>
      <c r="P119" s="336">
        <f t="shared" si="15"/>
        <v>1371119.0016920511</v>
      </c>
      <c r="Q119" s="336">
        <f t="shared" si="16"/>
        <v>866.89182292202895</v>
      </c>
      <c r="R119" s="303">
        <f t="shared" si="17"/>
        <v>7.6384662206552363E-3</v>
      </c>
    </row>
    <row r="120" spans="1:18" x14ac:dyDescent="0.3">
      <c r="A120" s="2">
        <v>207</v>
      </c>
      <c r="B120" s="41" t="s">
        <v>115</v>
      </c>
      <c r="C120" s="2">
        <v>2</v>
      </c>
      <c r="D120" s="2" t="s">
        <v>112</v>
      </c>
      <c r="E120" s="294">
        <v>94000</v>
      </c>
      <c r="F120" s="296">
        <v>101100</v>
      </c>
      <c r="G120" s="352">
        <v>765</v>
      </c>
      <c r="H120" s="296">
        <f t="shared" si="12"/>
        <v>71910000</v>
      </c>
      <c r="I120" s="122">
        <f t="shared" si="13"/>
        <v>77341500</v>
      </c>
      <c r="J120" s="331">
        <f t="shared" si="14"/>
        <v>5431500</v>
      </c>
      <c r="K120" s="292">
        <f>'09-RESUMEN'!$F$43/1375</f>
        <v>81431.961035221175</v>
      </c>
      <c r="L120" s="122">
        <f>('ESTADO RESULTADOS'!$C$36+'ESTADO RESULTADOS'!$C$71)/1375</f>
        <v>24762.287272727273</v>
      </c>
      <c r="M120" s="122">
        <v>0</v>
      </c>
      <c r="N120" s="122">
        <f t="shared" si="26"/>
        <v>72016194.248307943</v>
      </c>
      <c r="O120" s="122">
        <f t="shared" si="27"/>
        <v>94138.816010860057</v>
      </c>
      <c r="P120" s="336">
        <f t="shared" si="15"/>
        <v>5325305.7516920567</v>
      </c>
      <c r="Q120" s="336">
        <f t="shared" si="16"/>
        <v>138.81601086005685</v>
      </c>
      <c r="R120" s="303">
        <f t="shared" si="17"/>
        <v>1.4767660729793281E-3</v>
      </c>
    </row>
    <row r="121" spans="1:18" x14ac:dyDescent="0.3">
      <c r="A121" s="2">
        <v>210</v>
      </c>
      <c r="B121" s="41" t="s">
        <v>116</v>
      </c>
      <c r="C121" s="2">
        <v>2</v>
      </c>
      <c r="D121" s="2" t="s">
        <v>112</v>
      </c>
      <c r="E121" s="294">
        <v>169004.85</v>
      </c>
      <c r="F121" s="296">
        <v>187500</v>
      </c>
      <c r="G121" s="352">
        <v>40.5</v>
      </c>
      <c r="H121" s="296">
        <f t="shared" si="12"/>
        <v>6844696.4249999998</v>
      </c>
      <c r="I121" s="122">
        <f t="shared" si="13"/>
        <v>7593750</v>
      </c>
      <c r="J121" s="331">
        <f t="shared" si="14"/>
        <v>749053.57500000019</v>
      </c>
      <c r="K121" s="292">
        <f>'09-RESUMEN'!$F$43/1375</f>
        <v>81431.961035221175</v>
      </c>
      <c r="L121" s="122">
        <f>('ESTADO RESULTADOS'!$C$36+'ESTADO RESULTADOS'!$C$71)/1375</f>
        <v>24762.287272727273</v>
      </c>
      <c r="M121" s="122">
        <v>0</v>
      </c>
      <c r="N121" s="122">
        <f t="shared" si="26"/>
        <v>6950890.6733079478</v>
      </c>
      <c r="O121" s="122">
        <f t="shared" si="27"/>
        <v>171626.9302051345</v>
      </c>
      <c r="P121" s="336">
        <f t="shared" si="15"/>
        <v>642859.32669205219</v>
      </c>
      <c r="Q121" s="336">
        <f t="shared" si="16"/>
        <v>2622.0802051344945</v>
      </c>
      <c r="R121" s="303">
        <f t="shared" si="17"/>
        <v>1.5514822238145796E-2</v>
      </c>
    </row>
    <row r="122" spans="1:18" x14ac:dyDescent="0.3">
      <c r="A122" s="2">
        <v>211</v>
      </c>
      <c r="B122" s="41" t="s">
        <v>117</v>
      </c>
      <c r="C122" s="2">
        <v>2</v>
      </c>
      <c r="D122" s="2" t="s">
        <v>112</v>
      </c>
      <c r="E122" s="294">
        <v>90549.9</v>
      </c>
      <c r="F122" s="296">
        <v>106433.33333333333</v>
      </c>
      <c r="G122" s="352">
        <v>7</v>
      </c>
      <c r="H122" s="296">
        <f t="shared" si="12"/>
        <v>633849.29999999993</v>
      </c>
      <c r="I122" s="122">
        <f t="shared" si="13"/>
        <v>745033.33333333326</v>
      </c>
      <c r="J122" s="331">
        <f t="shared" si="14"/>
        <v>111184.03333333333</v>
      </c>
      <c r="K122" s="292">
        <f>'09-RESUMEN'!$F$43/1375</f>
        <v>81431.961035221175</v>
      </c>
      <c r="L122" s="122">
        <f>('ESTADO RESULTADOS'!$C$36+'ESTADO RESULTADOS'!$C$71)/1375</f>
        <v>24762.287272727273</v>
      </c>
      <c r="M122" s="122">
        <v>0</v>
      </c>
      <c r="N122" s="122">
        <f t="shared" si="26"/>
        <v>740043.5483079484</v>
      </c>
      <c r="O122" s="122">
        <f t="shared" si="27"/>
        <v>105720.50690113548</v>
      </c>
      <c r="P122" s="336">
        <f t="shared" si="15"/>
        <v>4989.7850253848592</v>
      </c>
      <c r="Q122" s="336">
        <f t="shared" si="16"/>
        <v>15170.606901135485</v>
      </c>
      <c r="R122" s="303">
        <f t="shared" si="17"/>
        <v>0.16753863782439832</v>
      </c>
    </row>
    <row r="123" spans="1:18" x14ac:dyDescent="0.3">
      <c r="A123" s="2">
        <v>212</v>
      </c>
      <c r="B123" s="41" t="s">
        <v>118</v>
      </c>
      <c r="C123" s="2">
        <v>2</v>
      </c>
      <c r="D123" s="2" t="s">
        <v>5</v>
      </c>
      <c r="E123" s="294">
        <v>2415.1574999999998</v>
      </c>
      <c r="F123" s="296">
        <v>2833.3333333333335</v>
      </c>
      <c r="G123" s="352">
        <v>678</v>
      </c>
      <c r="H123" s="296">
        <f t="shared" si="12"/>
        <v>1637476.7849999999</v>
      </c>
      <c r="I123" s="122">
        <f t="shared" si="13"/>
        <v>1921000</v>
      </c>
      <c r="J123" s="331">
        <f t="shared" si="14"/>
        <v>283523.21500000008</v>
      </c>
      <c r="K123" s="292">
        <f>'09-RESUMEN'!$F$43/1375</f>
        <v>81431.961035221175</v>
      </c>
      <c r="L123" s="122">
        <f>('ESTADO RESULTADOS'!$C$36+'ESTADO RESULTADOS'!$C$71)/1375</f>
        <v>24762.287272727273</v>
      </c>
      <c r="M123" s="122">
        <v>0</v>
      </c>
      <c r="N123" s="122">
        <f t="shared" si="26"/>
        <v>1743671.0333079484</v>
      </c>
      <c r="O123" s="122">
        <f t="shared" si="27"/>
        <v>2571.7861848199827</v>
      </c>
      <c r="P123" s="336">
        <f t="shared" si="15"/>
        <v>177328.96669205162</v>
      </c>
      <c r="Q123" s="336">
        <f t="shared" si="16"/>
        <v>156.62868481998294</v>
      </c>
      <c r="R123" s="303">
        <f t="shared" si="17"/>
        <v>6.4852368766833202E-2</v>
      </c>
    </row>
    <row r="124" spans="1:18" x14ac:dyDescent="0.3">
      <c r="A124" s="2">
        <v>213</v>
      </c>
      <c r="B124" s="41" t="s">
        <v>119</v>
      </c>
      <c r="C124" s="2">
        <v>2</v>
      </c>
      <c r="D124" s="2" t="s">
        <v>112</v>
      </c>
      <c r="E124" s="294">
        <v>87000</v>
      </c>
      <c r="F124" s="296">
        <v>97717</v>
      </c>
      <c r="G124" s="352">
        <v>97</v>
      </c>
      <c r="H124" s="296">
        <f t="shared" si="12"/>
        <v>8439000</v>
      </c>
      <c r="I124" s="122">
        <f t="shared" si="13"/>
        <v>9478549</v>
      </c>
      <c r="J124" s="331">
        <f t="shared" si="14"/>
        <v>1039549</v>
      </c>
      <c r="K124" s="292">
        <f>'09-RESUMEN'!$F$43/1375</f>
        <v>81431.961035221175</v>
      </c>
      <c r="L124" s="122">
        <f>('ESTADO RESULTADOS'!$C$36+'ESTADO RESULTADOS'!$C$71)/1375</f>
        <v>24762.287272727273</v>
      </c>
      <c r="M124" s="122">
        <v>0</v>
      </c>
      <c r="N124" s="122">
        <f t="shared" si="26"/>
        <v>8545194.2483079489</v>
      </c>
      <c r="O124" s="122">
        <f t="shared" si="27"/>
        <v>88094.786065030406</v>
      </c>
      <c r="P124" s="336">
        <f t="shared" si="15"/>
        <v>933354.75169205107</v>
      </c>
      <c r="Q124" s="336">
        <f t="shared" si="16"/>
        <v>1094.7860650304065</v>
      </c>
      <c r="R124" s="303">
        <f t="shared" si="17"/>
        <v>1.2583747873912718E-2</v>
      </c>
    </row>
    <row r="125" spans="1:18" x14ac:dyDescent="0.3">
      <c r="A125" s="2">
        <v>214</v>
      </c>
      <c r="B125" s="41" t="s">
        <v>120</v>
      </c>
      <c r="C125" s="2">
        <v>2</v>
      </c>
      <c r="D125" s="2" t="s">
        <v>5</v>
      </c>
      <c r="E125" s="294">
        <v>2232.2474999999999</v>
      </c>
      <c r="F125" s="296">
        <v>2633.3333333333335</v>
      </c>
      <c r="G125" s="352">
        <v>324</v>
      </c>
      <c r="H125" s="296">
        <f t="shared" si="12"/>
        <v>723248.19</v>
      </c>
      <c r="I125" s="122">
        <f t="shared" si="13"/>
        <v>853200</v>
      </c>
      <c r="J125" s="331">
        <f t="shared" si="14"/>
        <v>129951.81000000006</v>
      </c>
      <c r="K125" s="292">
        <f>'09-RESUMEN'!$F$43/1375</f>
        <v>81431.961035221175</v>
      </c>
      <c r="L125" s="122">
        <f>('ESTADO RESULTADOS'!$C$36+'ESTADO RESULTADOS'!$C$71)/1375</f>
        <v>24762.287272727273</v>
      </c>
      <c r="M125" s="122">
        <v>0</v>
      </c>
      <c r="N125" s="122">
        <f t="shared" si="26"/>
        <v>829442.43830794829</v>
      </c>
      <c r="O125" s="122">
        <f t="shared" si="27"/>
        <v>2560.0075256418158</v>
      </c>
      <c r="P125" s="336">
        <f t="shared" si="15"/>
        <v>23757.561692051706</v>
      </c>
      <c r="Q125" s="336">
        <f t="shared" si="16"/>
        <v>327.7600256418159</v>
      </c>
      <c r="R125" s="303">
        <f t="shared" si="17"/>
        <v>0.14682960811550508</v>
      </c>
    </row>
    <row r="126" spans="1:18" x14ac:dyDescent="0.3">
      <c r="A126" s="2">
        <v>215</v>
      </c>
      <c r="B126" s="41" t="s">
        <v>121</v>
      </c>
      <c r="C126" s="2">
        <v>2</v>
      </c>
      <c r="D126" s="2" t="s">
        <v>112</v>
      </c>
      <c r="E126" s="294">
        <v>114669</v>
      </c>
      <c r="F126" s="296">
        <v>125000</v>
      </c>
      <c r="G126" s="352">
        <v>99.5</v>
      </c>
      <c r="H126" s="296">
        <f t="shared" si="12"/>
        <v>11409565.5</v>
      </c>
      <c r="I126" s="122">
        <f t="shared" si="13"/>
        <v>12437500</v>
      </c>
      <c r="J126" s="331">
        <f t="shared" si="14"/>
        <v>1027934.5</v>
      </c>
      <c r="K126" s="292">
        <f>'09-RESUMEN'!$F$43/1375</f>
        <v>81431.961035221175</v>
      </c>
      <c r="L126" s="122">
        <f>('ESTADO RESULTADOS'!$C$36+'ESTADO RESULTADOS'!$C$71)/1375</f>
        <v>24762.287272727273</v>
      </c>
      <c r="M126" s="122">
        <v>0</v>
      </c>
      <c r="N126" s="122">
        <f t="shared" si="26"/>
        <v>11515759.748307949</v>
      </c>
      <c r="O126" s="122">
        <f t="shared" si="27"/>
        <v>115736.27887746683</v>
      </c>
      <c r="P126" s="336">
        <f t="shared" si="15"/>
        <v>921740.25169205107</v>
      </c>
      <c r="Q126" s="336">
        <f t="shared" si="16"/>
        <v>1067.2788774668297</v>
      </c>
      <c r="R126" s="303">
        <f t="shared" si="17"/>
        <v>9.3074752327728487E-3</v>
      </c>
    </row>
    <row r="127" spans="1:18" x14ac:dyDescent="0.3">
      <c r="A127" s="2">
        <v>216</v>
      </c>
      <c r="B127" s="41" t="s">
        <v>1610</v>
      </c>
      <c r="C127" s="2">
        <v>2</v>
      </c>
      <c r="D127" s="2" t="s">
        <v>112</v>
      </c>
      <c r="E127" s="294">
        <v>97862.1</v>
      </c>
      <c r="F127" s="296">
        <v>113066.66666666667</v>
      </c>
      <c r="G127" s="352">
        <v>109.5</v>
      </c>
      <c r="H127" s="296">
        <f t="shared" si="12"/>
        <v>10715899.950000001</v>
      </c>
      <c r="I127" s="122">
        <f t="shared" si="13"/>
        <v>12380800</v>
      </c>
      <c r="J127" s="331">
        <f t="shared" si="14"/>
        <v>1664900.0499999989</v>
      </c>
      <c r="K127" s="292">
        <f>'09-RESUMEN'!$F$43/1375</f>
        <v>81431.961035221175</v>
      </c>
      <c r="L127" s="122">
        <f>('ESTADO RESULTADOS'!$C$36+'ESTADO RESULTADOS'!$C$71)/1375</f>
        <v>24762.287272727273</v>
      </c>
      <c r="M127" s="122">
        <v>0</v>
      </c>
      <c r="N127" s="122">
        <f t="shared" si="26"/>
        <v>10822094.19830795</v>
      </c>
      <c r="O127" s="122">
        <f t="shared" si="27"/>
        <v>98831.910486830588</v>
      </c>
      <c r="P127" s="336">
        <f t="shared" si="15"/>
        <v>1558705.80169205</v>
      </c>
      <c r="Q127" s="336">
        <f t="shared" si="16"/>
        <v>969.81048683058179</v>
      </c>
      <c r="R127" s="303">
        <f t="shared" si="17"/>
        <v>9.9099701194904025E-3</v>
      </c>
    </row>
    <row r="128" spans="1:18" x14ac:dyDescent="0.3">
      <c r="A128" s="2">
        <v>217</v>
      </c>
      <c r="B128" s="41" t="s">
        <v>122</v>
      </c>
      <c r="C128" s="2">
        <v>2</v>
      </c>
      <c r="D128" s="2" t="s">
        <v>5</v>
      </c>
      <c r="E128" s="294">
        <v>2369.0625</v>
      </c>
      <c r="F128" s="296">
        <v>2850</v>
      </c>
      <c r="G128" s="352">
        <v>2653</v>
      </c>
      <c r="H128" s="296">
        <f t="shared" si="12"/>
        <v>6285122.8125</v>
      </c>
      <c r="I128" s="122">
        <f t="shared" si="13"/>
        <v>7561050</v>
      </c>
      <c r="J128" s="331">
        <f t="shared" si="14"/>
        <v>1275927.1875</v>
      </c>
      <c r="K128" s="292">
        <f>'09-RESUMEN'!$F$43/1375</f>
        <v>81431.961035221175</v>
      </c>
      <c r="L128" s="122">
        <f>('ESTADO RESULTADOS'!$C$36+'ESTADO RESULTADOS'!$C$71)/1375</f>
        <v>24762.287272727273</v>
      </c>
      <c r="M128" s="122">
        <v>0</v>
      </c>
      <c r="N128" s="122">
        <f t="shared" si="26"/>
        <v>6391317.060807948</v>
      </c>
      <c r="O128" s="122">
        <f t="shared" si="27"/>
        <v>2409.0904865465313</v>
      </c>
      <c r="P128" s="336">
        <f t="shared" si="15"/>
        <v>1169732.939192052</v>
      </c>
      <c r="Q128" s="336">
        <f t="shared" si="16"/>
        <v>40.027986546531338</v>
      </c>
      <c r="R128" s="303">
        <f t="shared" si="17"/>
        <v>1.6896129395713003E-2</v>
      </c>
    </row>
    <row r="129" spans="1:18" x14ac:dyDescent="0.3">
      <c r="A129" s="2">
        <v>218</v>
      </c>
      <c r="B129" s="41" t="s">
        <v>1611</v>
      </c>
      <c r="C129" s="2">
        <v>2</v>
      </c>
      <c r="D129" s="2" t="s">
        <v>112</v>
      </c>
      <c r="E129" s="294">
        <v>85300</v>
      </c>
      <c r="F129" s="296">
        <v>104933.33333333333</v>
      </c>
      <c r="G129" s="352">
        <v>16</v>
      </c>
      <c r="H129" s="296">
        <f t="shared" si="12"/>
        <v>1364800</v>
      </c>
      <c r="I129" s="122">
        <f t="shared" si="13"/>
        <v>1678933.3333333333</v>
      </c>
      <c r="J129" s="331">
        <f t="shared" si="14"/>
        <v>314133.33333333326</v>
      </c>
      <c r="K129" s="292">
        <f>'09-RESUMEN'!$F$43/1375</f>
        <v>81431.961035221175</v>
      </c>
      <c r="L129" s="122">
        <f>('ESTADO RESULTADOS'!$C$36+'ESTADO RESULTADOS'!$C$71)/1375</f>
        <v>24762.287272727273</v>
      </c>
      <c r="M129" s="122">
        <v>0</v>
      </c>
      <c r="N129" s="122">
        <f t="shared" si="26"/>
        <v>1470994.2483079485</v>
      </c>
      <c r="O129" s="122">
        <f t="shared" si="27"/>
        <v>91937.140519246779</v>
      </c>
      <c r="P129" s="336">
        <f t="shared" si="15"/>
        <v>207939.08502538479</v>
      </c>
      <c r="Q129" s="336">
        <f t="shared" si="16"/>
        <v>6637.1405192467791</v>
      </c>
      <c r="R129" s="303">
        <f t="shared" si="17"/>
        <v>7.7809384750841495E-2</v>
      </c>
    </row>
    <row r="130" spans="1:18" x14ac:dyDescent="0.3">
      <c r="A130" s="2">
        <v>219</v>
      </c>
      <c r="B130" s="41" t="s">
        <v>123</v>
      </c>
      <c r="C130" s="2">
        <v>5</v>
      </c>
      <c r="D130" s="2" t="s">
        <v>5</v>
      </c>
      <c r="E130" s="294">
        <v>50000</v>
      </c>
      <c r="F130" s="296">
        <v>64000</v>
      </c>
      <c r="G130" s="352">
        <v>17</v>
      </c>
      <c r="H130" s="296">
        <f t="shared" si="12"/>
        <v>850000</v>
      </c>
      <c r="I130" s="122">
        <f t="shared" si="13"/>
        <v>1088000</v>
      </c>
      <c r="J130" s="331">
        <f t="shared" si="14"/>
        <v>238000</v>
      </c>
      <c r="K130" s="292">
        <f>'09-RESUMEN'!$F$43/1375</f>
        <v>81431.961035221175</v>
      </c>
      <c r="L130" s="122">
        <f>('ESTADO RESULTADOS'!$C$36+'ESTADO RESULTADOS'!$C$71)/1375</f>
        <v>24762.287272727273</v>
      </c>
      <c r="M130" s="122">
        <v>0</v>
      </c>
      <c r="N130" s="122">
        <f t="shared" si="26"/>
        <v>956194.24830794835</v>
      </c>
      <c r="O130" s="122">
        <f t="shared" si="27"/>
        <v>56246.720488702842</v>
      </c>
      <c r="P130" s="336">
        <f t="shared" si="15"/>
        <v>131805.75169205165</v>
      </c>
      <c r="Q130" s="336">
        <f t="shared" si="16"/>
        <v>6246.720488702842</v>
      </c>
      <c r="R130" s="303">
        <f t="shared" si="17"/>
        <v>0.12493440977405684</v>
      </c>
    </row>
    <row r="131" spans="1:18" x14ac:dyDescent="0.3">
      <c r="A131" s="2">
        <v>221</v>
      </c>
      <c r="B131" s="41" t="s">
        <v>1612</v>
      </c>
      <c r="C131" s="2">
        <v>2</v>
      </c>
      <c r="D131" s="2" t="s">
        <v>112</v>
      </c>
      <c r="E131" s="294">
        <v>110543.75</v>
      </c>
      <c r="F131" s="296">
        <v>125650</v>
      </c>
      <c r="G131" s="352">
        <v>274</v>
      </c>
      <c r="H131" s="296">
        <f t="shared" si="12"/>
        <v>30288987.5</v>
      </c>
      <c r="I131" s="122">
        <f t="shared" si="13"/>
        <v>34428100</v>
      </c>
      <c r="J131" s="331">
        <f t="shared" si="14"/>
        <v>4139112.5</v>
      </c>
      <c r="K131" s="292">
        <f>'09-RESUMEN'!$F$43/1375</f>
        <v>81431.961035221175</v>
      </c>
      <c r="L131" s="122">
        <f>('ESTADO RESULTADOS'!$C$36+'ESTADO RESULTADOS'!$C$71)/1375</f>
        <v>24762.287272727273</v>
      </c>
      <c r="M131" s="122">
        <v>0</v>
      </c>
      <c r="N131" s="122">
        <f t="shared" si="26"/>
        <v>30395181.748307951</v>
      </c>
      <c r="O131" s="122">
        <f t="shared" si="27"/>
        <v>110931.3202492991</v>
      </c>
      <c r="P131" s="336">
        <f t="shared" si="15"/>
        <v>4032918.2516920492</v>
      </c>
      <c r="Q131" s="336">
        <f t="shared" si="16"/>
        <v>387.57024929909676</v>
      </c>
      <c r="R131" s="303">
        <f t="shared" si="17"/>
        <v>3.5060349345765523E-3</v>
      </c>
    </row>
    <row r="132" spans="1:18" x14ac:dyDescent="0.3">
      <c r="A132" s="2">
        <v>223</v>
      </c>
      <c r="B132" s="41" t="s">
        <v>124</v>
      </c>
      <c r="C132" s="2">
        <v>2</v>
      </c>
      <c r="D132" s="2" t="s">
        <v>5</v>
      </c>
      <c r="E132" s="294">
        <v>2808.3825000000002</v>
      </c>
      <c r="F132" s="296">
        <v>3300</v>
      </c>
      <c r="G132" s="352">
        <v>3405</v>
      </c>
      <c r="H132" s="296">
        <f t="shared" ref="H132:H195" si="28">E132*G132</f>
        <v>9562542.4124999996</v>
      </c>
      <c r="I132" s="122">
        <f t="shared" ref="I132:I195" si="29">F132*G132</f>
        <v>11236500</v>
      </c>
      <c r="J132" s="331">
        <f t="shared" ref="J132:J195" si="30">I132-H132</f>
        <v>1673957.5875000004</v>
      </c>
      <c r="K132" s="292">
        <f>'09-RESUMEN'!$F$43/1375</f>
        <v>81431.961035221175</v>
      </c>
      <c r="L132" s="122">
        <f>('ESTADO RESULTADOS'!$C$36+'ESTADO RESULTADOS'!$C$71)/1375</f>
        <v>24762.287272727273</v>
      </c>
      <c r="M132" s="122">
        <v>0</v>
      </c>
      <c r="N132" s="122">
        <f t="shared" si="26"/>
        <v>9668736.6608079486</v>
      </c>
      <c r="O132" s="122">
        <f t="shared" si="27"/>
        <v>2839.5702381227456</v>
      </c>
      <c r="P132" s="336">
        <f t="shared" si="15"/>
        <v>1567763.3391920514</v>
      </c>
      <c r="Q132" s="336">
        <f t="shared" si="16"/>
        <v>31.187738122745486</v>
      </c>
      <c r="R132" s="303">
        <f t="shared" si="17"/>
        <v>1.1105231613836607E-2</v>
      </c>
    </row>
    <row r="133" spans="1:18" x14ac:dyDescent="0.3">
      <c r="A133" s="2">
        <v>225</v>
      </c>
      <c r="B133" s="41" t="s">
        <v>1613</v>
      </c>
      <c r="C133" s="2">
        <v>2</v>
      </c>
      <c r="D133" s="2" t="s">
        <v>112</v>
      </c>
      <c r="E133" s="294">
        <v>78577</v>
      </c>
      <c r="F133" s="296">
        <v>88133</v>
      </c>
      <c r="G133" s="352">
        <v>41</v>
      </c>
      <c r="H133" s="296">
        <f t="shared" si="28"/>
        <v>3221657</v>
      </c>
      <c r="I133" s="122">
        <f t="shared" si="29"/>
        <v>3613453</v>
      </c>
      <c r="J133" s="331">
        <f t="shared" si="30"/>
        <v>391796</v>
      </c>
      <c r="K133" s="292">
        <f>'09-RESUMEN'!$F$43/1375</f>
        <v>81431.961035221175</v>
      </c>
      <c r="L133" s="122">
        <f>('ESTADO RESULTADOS'!$C$36+'ESTADO RESULTADOS'!$C$71)/1375</f>
        <v>24762.287272727273</v>
      </c>
      <c r="M133" s="122">
        <v>0</v>
      </c>
      <c r="N133" s="122">
        <f t="shared" si="26"/>
        <v>3327851.2483079485</v>
      </c>
      <c r="O133" s="122">
        <f t="shared" si="27"/>
        <v>81167.103617267043</v>
      </c>
      <c r="P133" s="336">
        <f t="shared" ref="P133:P196" si="31">I133-N133</f>
        <v>285601.75169205153</v>
      </c>
      <c r="Q133" s="336">
        <f t="shared" ref="Q133:Q196" si="32">O133-E133</f>
        <v>2590.1036172670429</v>
      </c>
      <c r="R133" s="303">
        <f t="shared" ref="R133:R196" si="33">Q133/E133</f>
        <v>3.2962617779592536E-2</v>
      </c>
    </row>
    <row r="134" spans="1:18" x14ac:dyDescent="0.3">
      <c r="A134" s="2">
        <v>226</v>
      </c>
      <c r="B134" s="41" t="s">
        <v>125</v>
      </c>
      <c r="C134" s="2">
        <v>2</v>
      </c>
      <c r="D134" s="2" t="s">
        <v>112</v>
      </c>
      <c r="E134" s="294">
        <v>76579</v>
      </c>
      <c r="F134" s="296">
        <v>80900</v>
      </c>
      <c r="G134" s="352">
        <v>1338</v>
      </c>
      <c r="H134" s="296">
        <f t="shared" si="28"/>
        <v>102462702</v>
      </c>
      <c r="I134" s="122">
        <f t="shared" si="29"/>
        <v>108244200</v>
      </c>
      <c r="J134" s="331">
        <f t="shared" si="30"/>
        <v>5781498</v>
      </c>
      <c r="K134" s="292">
        <f>'09-RESUMEN'!$F$43/1375</f>
        <v>81431.961035221175</v>
      </c>
      <c r="L134" s="122">
        <f>('ESTADO RESULTADOS'!$C$36+'ESTADO RESULTADOS'!$C$71)/1375</f>
        <v>24762.287272727273</v>
      </c>
      <c r="M134" s="122">
        <v>0</v>
      </c>
      <c r="N134" s="122">
        <f t="shared" si="26"/>
        <v>102568896.24830794</v>
      </c>
      <c r="O134" s="122">
        <f t="shared" si="27"/>
        <v>76658.367898585901</v>
      </c>
      <c r="P134" s="336">
        <f t="shared" si="31"/>
        <v>5675303.7516920567</v>
      </c>
      <c r="Q134" s="336">
        <f t="shared" si="32"/>
        <v>79.367898585900548</v>
      </c>
      <c r="R134" s="303">
        <f t="shared" si="33"/>
        <v>1.0364185819336966E-3</v>
      </c>
    </row>
    <row r="135" spans="1:18" x14ac:dyDescent="0.3">
      <c r="A135" s="2">
        <v>227</v>
      </c>
      <c r="B135" s="41" t="s">
        <v>126</v>
      </c>
      <c r="C135" s="2">
        <v>2</v>
      </c>
      <c r="D135" s="2" t="s">
        <v>112</v>
      </c>
      <c r="E135" s="294">
        <v>71193</v>
      </c>
      <c r="F135" s="296">
        <v>80000</v>
      </c>
      <c r="G135" s="352">
        <v>172</v>
      </c>
      <c r="H135" s="296">
        <f t="shared" si="28"/>
        <v>12245196</v>
      </c>
      <c r="I135" s="122">
        <f t="shared" si="29"/>
        <v>13760000</v>
      </c>
      <c r="J135" s="331">
        <f t="shared" si="30"/>
        <v>1514804</v>
      </c>
      <c r="K135" s="292">
        <f>'09-RESUMEN'!$F$43/1375</f>
        <v>81431.961035221175</v>
      </c>
      <c r="L135" s="122">
        <f>('ESTADO RESULTADOS'!$C$36+'ESTADO RESULTADOS'!$C$71)/1375</f>
        <v>24762.287272727273</v>
      </c>
      <c r="M135" s="122">
        <v>0</v>
      </c>
      <c r="N135" s="122">
        <f t="shared" si="26"/>
        <v>12351390.248307949</v>
      </c>
      <c r="O135" s="122">
        <f t="shared" si="27"/>
        <v>71810.408420395048</v>
      </c>
      <c r="P135" s="336">
        <f t="shared" si="31"/>
        <v>1408609.7516920511</v>
      </c>
      <c r="Q135" s="336">
        <f t="shared" si="32"/>
        <v>617.40842039504787</v>
      </c>
      <c r="R135" s="303">
        <f t="shared" si="33"/>
        <v>8.6723191942332523E-3</v>
      </c>
    </row>
    <row r="136" spans="1:18" x14ac:dyDescent="0.3">
      <c r="A136" s="2">
        <v>228</v>
      </c>
      <c r="B136" s="41" t="s">
        <v>127</v>
      </c>
      <c r="C136" s="2">
        <v>2</v>
      </c>
      <c r="D136" s="2" t="s">
        <v>5</v>
      </c>
      <c r="E136" s="294">
        <v>77771.399999999994</v>
      </c>
      <c r="F136" s="296">
        <v>94216.666666666672</v>
      </c>
      <c r="G136" s="352">
        <v>1</v>
      </c>
      <c r="H136" s="296">
        <f t="shared" si="28"/>
        <v>77771.399999999994</v>
      </c>
      <c r="I136" s="122">
        <f t="shared" si="29"/>
        <v>94216.666666666672</v>
      </c>
      <c r="J136" s="331">
        <f t="shared" si="30"/>
        <v>16445.266666666677</v>
      </c>
      <c r="K136" s="292">
        <f>'09-RESUMEN'!$F$43/1375</f>
        <v>81431.961035221175</v>
      </c>
      <c r="L136" s="122">
        <f>('ESTADO RESULTADOS'!$C$36+'ESTADO RESULTADOS'!$C$71)/1375</f>
        <v>24762.287272727273</v>
      </c>
      <c r="M136" s="122">
        <v>0</v>
      </c>
      <c r="N136" s="122">
        <f t="shared" si="26"/>
        <v>183965.64830794843</v>
      </c>
      <c r="O136" s="122">
        <f t="shared" si="27"/>
        <v>183965.64830794843</v>
      </c>
      <c r="P136" s="336">
        <f t="shared" si="31"/>
        <v>-89748.98164128176</v>
      </c>
      <c r="Q136" s="336">
        <f t="shared" si="32"/>
        <v>106194.24830794844</v>
      </c>
      <c r="R136" s="303">
        <f t="shared" si="33"/>
        <v>1.365466589362522</v>
      </c>
    </row>
    <row r="137" spans="1:18" x14ac:dyDescent="0.3">
      <c r="A137" s="2">
        <v>229</v>
      </c>
      <c r="B137" s="41" t="s">
        <v>128</v>
      </c>
      <c r="C137" s="2">
        <v>7</v>
      </c>
      <c r="D137" s="2" t="s">
        <v>112</v>
      </c>
      <c r="E137" s="294">
        <v>600</v>
      </c>
      <c r="F137" s="296">
        <v>800</v>
      </c>
      <c r="G137" s="352">
        <v>8</v>
      </c>
      <c r="H137" s="296">
        <f t="shared" si="28"/>
        <v>4800</v>
      </c>
      <c r="I137" s="122">
        <f t="shared" si="29"/>
        <v>6400</v>
      </c>
      <c r="J137" s="331">
        <f t="shared" si="30"/>
        <v>1600</v>
      </c>
      <c r="K137" s="292">
        <f>'09-RESUMEN'!$F$43/1375</f>
        <v>81431.961035221175</v>
      </c>
      <c r="L137" s="122">
        <f>('ESTADO RESULTADOS'!$C$36+'ESTADO RESULTADOS'!$C$71)/1375</f>
        <v>24762.287272727273</v>
      </c>
      <c r="M137" s="122">
        <v>0</v>
      </c>
      <c r="N137" s="122">
        <f t="shared" si="26"/>
        <v>110994.24830794845</v>
      </c>
      <c r="O137" s="122">
        <f t="shared" si="27"/>
        <v>13874.281038493556</v>
      </c>
      <c r="P137" s="336">
        <f t="shared" si="31"/>
        <v>-104594.24830794845</v>
      </c>
      <c r="Q137" s="336">
        <f t="shared" si="32"/>
        <v>13274.281038493556</v>
      </c>
      <c r="R137" s="303">
        <f t="shared" si="33"/>
        <v>22.123801730822596</v>
      </c>
    </row>
    <row r="138" spans="1:18" x14ac:dyDescent="0.3">
      <c r="A138" s="163">
        <v>230</v>
      </c>
      <c r="B138" s="329" t="s">
        <v>129</v>
      </c>
      <c r="C138" s="163">
        <v>2</v>
      </c>
      <c r="D138" s="163" t="s">
        <v>5</v>
      </c>
      <c r="E138" s="297">
        <v>4398.5249999999996</v>
      </c>
      <c r="F138" s="299">
        <v>5016.666666666667</v>
      </c>
      <c r="G138" s="354">
        <v>135</v>
      </c>
      <c r="H138" s="296">
        <f t="shared" si="28"/>
        <v>593800.875</v>
      </c>
      <c r="I138" s="122">
        <f t="shared" si="29"/>
        <v>677250</v>
      </c>
      <c r="J138" s="331">
        <f t="shared" si="30"/>
        <v>83449.125</v>
      </c>
      <c r="K138" s="293">
        <f>'09-RESUMEN'!$F$43/1375+('09-RESUMEN'!$F$42/17)</f>
        <v>283519.42464527232</v>
      </c>
      <c r="L138" s="256">
        <f>('ESTADO RESULTADOS'!$C$36+'ESTADO RESULTADOS'!$C$71)/1375</f>
        <v>24762.287272727273</v>
      </c>
      <c r="M138" s="256">
        <f>'ESTADO RESULTADOS'!$C$37/17</f>
        <v>106174.11764705883</v>
      </c>
      <c r="N138" s="122">
        <f t="shared" si="26"/>
        <v>1008256.7045650583</v>
      </c>
      <c r="O138" s="122">
        <f t="shared" si="27"/>
        <v>7468.5681819633955</v>
      </c>
      <c r="P138" s="336">
        <f t="shared" si="31"/>
        <v>-331006.70456505835</v>
      </c>
      <c r="Q138" s="336">
        <f t="shared" si="32"/>
        <v>3070.0431819633959</v>
      </c>
      <c r="R138" s="303">
        <f t="shared" si="33"/>
        <v>0.69797106574667556</v>
      </c>
    </row>
    <row r="139" spans="1:18" x14ac:dyDescent="0.3">
      <c r="A139" s="2">
        <v>232</v>
      </c>
      <c r="B139" s="41" t="s">
        <v>1614</v>
      </c>
      <c r="C139" s="2">
        <v>2</v>
      </c>
      <c r="D139" s="2" t="s">
        <v>142</v>
      </c>
      <c r="E139" s="294">
        <v>73458</v>
      </c>
      <c r="F139" s="296">
        <v>91800</v>
      </c>
      <c r="G139" s="352">
        <v>0</v>
      </c>
      <c r="H139" s="296">
        <f t="shared" si="28"/>
        <v>0</v>
      </c>
      <c r="I139" s="122">
        <f t="shared" si="29"/>
        <v>0</v>
      </c>
      <c r="J139" s="331">
        <f t="shared" si="30"/>
        <v>0</v>
      </c>
      <c r="K139" s="292">
        <f>'09-RESUMEN'!$F$43/1375</f>
        <v>81431.961035221175</v>
      </c>
      <c r="L139" s="122">
        <f>('ESTADO RESULTADOS'!$C$36+'ESTADO RESULTADOS'!$C$71)/1375</f>
        <v>24762.287272727273</v>
      </c>
      <c r="M139" s="122">
        <v>0</v>
      </c>
      <c r="N139" s="122">
        <f>SUM(E139+K139+L139+M139)</f>
        <v>179652.24830794844</v>
      </c>
      <c r="O139" s="122">
        <f>N139</f>
        <v>179652.24830794844</v>
      </c>
      <c r="P139" s="336">
        <f t="shared" si="31"/>
        <v>-179652.24830794844</v>
      </c>
      <c r="Q139" s="336">
        <f t="shared" si="32"/>
        <v>106194.24830794844</v>
      </c>
      <c r="R139" s="303">
        <f t="shared" si="33"/>
        <v>1.4456457881775768</v>
      </c>
    </row>
    <row r="140" spans="1:18" x14ac:dyDescent="0.3">
      <c r="A140" s="2">
        <v>234</v>
      </c>
      <c r="B140" s="41" t="s">
        <v>1615</v>
      </c>
      <c r="C140" s="2">
        <v>2</v>
      </c>
      <c r="D140" s="2" t="s">
        <v>112</v>
      </c>
      <c r="E140" s="294">
        <v>82071.149999999994</v>
      </c>
      <c r="F140" s="296">
        <v>132416.66666666666</v>
      </c>
      <c r="G140" s="352">
        <v>1</v>
      </c>
      <c r="H140" s="296">
        <f t="shared" si="28"/>
        <v>82071.149999999994</v>
      </c>
      <c r="I140" s="122">
        <f t="shared" si="29"/>
        <v>132416.66666666666</v>
      </c>
      <c r="J140" s="331">
        <f t="shared" si="30"/>
        <v>50345.516666666663</v>
      </c>
      <c r="K140" s="292">
        <f>'09-RESUMEN'!$F$43/1375</f>
        <v>81431.961035221175</v>
      </c>
      <c r="L140" s="122">
        <f>('ESTADO RESULTADOS'!$C$36+'ESTADO RESULTADOS'!$C$71)/1375</f>
        <v>24762.287272727273</v>
      </c>
      <c r="M140" s="122">
        <v>0</v>
      </c>
      <c r="N140" s="122">
        <f t="shared" ref="N140:N152" si="34">SUM(H140+K140+L140+M140)</f>
        <v>188265.39830794843</v>
      </c>
      <c r="O140" s="122">
        <f t="shared" ref="O140:O152" si="35">N140/G140</f>
        <v>188265.39830794843</v>
      </c>
      <c r="P140" s="336">
        <f t="shared" si="31"/>
        <v>-55848.731641281775</v>
      </c>
      <c r="Q140" s="336">
        <f t="shared" si="32"/>
        <v>106194.24830794844</v>
      </c>
      <c r="R140" s="303">
        <f t="shared" si="33"/>
        <v>1.2939290884549375</v>
      </c>
    </row>
    <row r="141" spans="1:18" x14ac:dyDescent="0.3">
      <c r="A141" s="2">
        <v>235</v>
      </c>
      <c r="B141" s="41" t="s">
        <v>130</v>
      </c>
      <c r="C141" s="2">
        <v>2</v>
      </c>
      <c r="D141" s="2" t="s">
        <v>112</v>
      </c>
      <c r="E141" s="294">
        <v>104188.35</v>
      </c>
      <c r="F141" s="296">
        <v>116508.33333333333</v>
      </c>
      <c r="G141" s="352">
        <v>13</v>
      </c>
      <c r="H141" s="296">
        <f t="shared" si="28"/>
        <v>1354448.55</v>
      </c>
      <c r="I141" s="122">
        <f t="shared" si="29"/>
        <v>1514608.3333333333</v>
      </c>
      <c r="J141" s="331">
        <f t="shared" si="30"/>
        <v>160159.78333333321</v>
      </c>
      <c r="K141" s="292">
        <f>'09-RESUMEN'!$F$43/1375</f>
        <v>81431.961035221175</v>
      </c>
      <c r="L141" s="122">
        <f>('ESTADO RESULTADOS'!$C$36+'ESTADO RESULTADOS'!$C$71)/1375</f>
        <v>24762.287272727273</v>
      </c>
      <c r="M141" s="122">
        <v>0</v>
      </c>
      <c r="N141" s="122">
        <f t="shared" si="34"/>
        <v>1460642.7983079485</v>
      </c>
      <c r="O141" s="122">
        <f t="shared" si="35"/>
        <v>112357.13833138066</v>
      </c>
      <c r="P141" s="336">
        <f t="shared" si="31"/>
        <v>53965.535025384743</v>
      </c>
      <c r="Q141" s="336">
        <f t="shared" si="32"/>
        <v>8168.7883313806524</v>
      </c>
      <c r="R141" s="303">
        <f t="shared" si="33"/>
        <v>7.8404047394748572E-2</v>
      </c>
    </row>
    <row r="142" spans="1:18" x14ac:dyDescent="0.3">
      <c r="A142" s="2">
        <v>237</v>
      </c>
      <c r="B142" s="41" t="s">
        <v>131</v>
      </c>
      <c r="C142" s="2">
        <v>2</v>
      </c>
      <c r="D142" s="2" t="s">
        <v>132</v>
      </c>
      <c r="E142" s="294">
        <v>18363.45</v>
      </c>
      <c r="F142" s="296">
        <v>21233.333333333332</v>
      </c>
      <c r="G142" s="352">
        <v>97</v>
      </c>
      <c r="H142" s="296">
        <f t="shared" si="28"/>
        <v>1781254.6500000001</v>
      </c>
      <c r="I142" s="122">
        <f t="shared" si="29"/>
        <v>2059633.3333333333</v>
      </c>
      <c r="J142" s="331">
        <f t="shared" si="30"/>
        <v>278378.68333333312</v>
      </c>
      <c r="K142" s="292">
        <f>'09-RESUMEN'!$F$43/1375</f>
        <v>81431.961035221175</v>
      </c>
      <c r="L142" s="122">
        <f>('ESTADO RESULTADOS'!$C$36+'ESTADO RESULTADOS'!$C$71)/1375</f>
        <v>24762.287272727273</v>
      </c>
      <c r="M142" s="122">
        <v>0</v>
      </c>
      <c r="N142" s="122">
        <f t="shared" si="34"/>
        <v>1887448.8983079486</v>
      </c>
      <c r="O142" s="122">
        <f t="shared" si="35"/>
        <v>19458.236065030396</v>
      </c>
      <c r="P142" s="336">
        <f t="shared" si="31"/>
        <v>172184.43502538465</v>
      </c>
      <c r="Q142" s="336">
        <f t="shared" si="32"/>
        <v>1094.7860650303955</v>
      </c>
      <c r="R142" s="303">
        <f t="shared" si="33"/>
        <v>5.9617667977988641E-2</v>
      </c>
    </row>
    <row r="143" spans="1:18" x14ac:dyDescent="0.3">
      <c r="A143" s="2">
        <v>238</v>
      </c>
      <c r="B143" s="41" t="s">
        <v>133</v>
      </c>
      <c r="C143" s="2">
        <v>2</v>
      </c>
      <c r="D143" s="2" t="s">
        <v>112</v>
      </c>
      <c r="E143" s="294">
        <v>62106.45</v>
      </c>
      <c r="F143" s="296">
        <v>71450</v>
      </c>
      <c r="G143" s="352">
        <v>19</v>
      </c>
      <c r="H143" s="296">
        <f t="shared" si="28"/>
        <v>1180022.55</v>
      </c>
      <c r="I143" s="122">
        <f t="shared" si="29"/>
        <v>1357550</v>
      </c>
      <c r="J143" s="331">
        <f t="shared" si="30"/>
        <v>177527.44999999995</v>
      </c>
      <c r="K143" s="292">
        <f>'09-RESUMEN'!$F$43/1375</f>
        <v>81431.961035221175</v>
      </c>
      <c r="L143" s="122">
        <f>('ESTADO RESULTADOS'!$C$36+'ESTADO RESULTADOS'!$C$71)/1375</f>
        <v>24762.287272727273</v>
      </c>
      <c r="M143" s="122">
        <v>0</v>
      </c>
      <c r="N143" s="122">
        <f t="shared" si="34"/>
        <v>1286216.7983079485</v>
      </c>
      <c r="O143" s="122">
        <f t="shared" si="35"/>
        <v>67695.620963576235</v>
      </c>
      <c r="P143" s="336">
        <f t="shared" si="31"/>
        <v>71333.201692051487</v>
      </c>
      <c r="Q143" s="336">
        <f t="shared" si="32"/>
        <v>5589.1709635762381</v>
      </c>
      <c r="R143" s="303">
        <f t="shared" si="33"/>
        <v>8.9993405895462356E-2</v>
      </c>
    </row>
    <row r="144" spans="1:18" x14ac:dyDescent="0.3">
      <c r="A144" s="2">
        <v>239</v>
      </c>
      <c r="B144" s="41" t="s">
        <v>134</v>
      </c>
      <c r="C144" s="2">
        <v>2</v>
      </c>
      <c r="D144" s="2" t="s">
        <v>5</v>
      </c>
      <c r="E144" s="294">
        <v>1647.3975</v>
      </c>
      <c r="F144" s="296">
        <v>1950</v>
      </c>
      <c r="G144" s="352">
        <v>223</v>
      </c>
      <c r="H144" s="296">
        <f t="shared" si="28"/>
        <v>367369.64250000002</v>
      </c>
      <c r="I144" s="122">
        <f t="shared" si="29"/>
        <v>434850</v>
      </c>
      <c r="J144" s="331">
        <f t="shared" si="30"/>
        <v>67480.357499999984</v>
      </c>
      <c r="K144" s="292">
        <f>'09-RESUMEN'!$F$43/1375</f>
        <v>81431.961035221175</v>
      </c>
      <c r="L144" s="122">
        <f>('ESTADO RESULTADOS'!$C$36+'ESTADO RESULTADOS'!$C$71)/1375</f>
        <v>24762.287272727273</v>
      </c>
      <c r="M144" s="122">
        <v>0</v>
      </c>
      <c r="N144" s="122">
        <f t="shared" si="34"/>
        <v>473563.89080794848</v>
      </c>
      <c r="O144" s="122">
        <f t="shared" si="35"/>
        <v>2123.6048915154643</v>
      </c>
      <c r="P144" s="336">
        <f t="shared" si="31"/>
        <v>-38713.890807948483</v>
      </c>
      <c r="Q144" s="336">
        <f t="shared" si="32"/>
        <v>476.20739151546422</v>
      </c>
      <c r="R144" s="303">
        <f t="shared" si="33"/>
        <v>0.28906647698291654</v>
      </c>
    </row>
    <row r="145" spans="1:18" x14ac:dyDescent="0.3">
      <c r="A145" s="2">
        <v>241</v>
      </c>
      <c r="B145" s="41" t="s">
        <v>135</v>
      </c>
      <c r="C145" s="2">
        <v>2</v>
      </c>
      <c r="D145" s="2" t="s">
        <v>112</v>
      </c>
      <c r="E145" s="294">
        <v>78091.649999999994</v>
      </c>
      <c r="F145" s="296">
        <v>91916.666666666672</v>
      </c>
      <c r="G145" s="352">
        <v>34</v>
      </c>
      <c r="H145" s="296">
        <f t="shared" si="28"/>
        <v>2655116.0999999996</v>
      </c>
      <c r="I145" s="122">
        <f t="shared" si="29"/>
        <v>3125166.666666667</v>
      </c>
      <c r="J145" s="331">
        <f t="shared" si="30"/>
        <v>470050.56666666735</v>
      </c>
      <c r="K145" s="292">
        <f>'09-RESUMEN'!$F$43/1375</f>
        <v>81431.961035221175</v>
      </c>
      <c r="L145" s="122">
        <f>('ESTADO RESULTADOS'!$C$36+'ESTADO RESULTADOS'!$C$71)/1375</f>
        <v>24762.287272727273</v>
      </c>
      <c r="M145" s="122">
        <v>0</v>
      </c>
      <c r="N145" s="122">
        <f t="shared" si="34"/>
        <v>2761310.3483079481</v>
      </c>
      <c r="O145" s="122">
        <f t="shared" si="35"/>
        <v>81215.010244351419</v>
      </c>
      <c r="P145" s="336">
        <f t="shared" si="31"/>
        <v>363856.31835871888</v>
      </c>
      <c r="Q145" s="336">
        <f t="shared" si="32"/>
        <v>3123.3602443514246</v>
      </c>
      <c r="R145" s="303">
        <f t="shared" si="33"/>
        <v>3.9996084656316329E-2</v>
      </c>
    </row>
    <row r="146" spans="1:18" x14ac:dyDescent="0.3">
      <c r="A146" s="2">
        <v>244</v>
      </c>
      <c r="B146" s="41" t="s">
        <v>136</v>
      </c>
      <c r="C146" s="2">
        <v>14</v>
      </c>
      <c r="D146" s="2" t="s">
        <v>104</v>
      </c>
      <c r="E146" s="294">
        <v>10550</v>
      </c>
      <c r="F146" s="296">
        <v>12133.333333333334</v>
      </c>
      <c r="G146" s="352">
        <v>6</v>
      </c>
      <c r="H146" s="296">
        <f t="shared" si="28"/>
        <v>63300</v>
      </c>
      <c r="I146" s="122">
        <f t="shared" si="29"/>
        <v>72800</v>
      </c>
      <c r="J146" s="331">
        <f t="shared" si="30"/>
        <v>9500</v>
      </c>
      <c r="K146" s="292">
        <f>'09-RESUMEN'!$F$43/1375</f>
        <v>81431.961035221175</v>
      </c>
      <c r="L146" s="122">
        <f>('ESTADO RESULTADOS'!$C$36+'ESTADO RESULTADOS'!$C$71)/1375</f>
        <v>24762.287272727273</v>
      </c>
      <c r="M146" s="122">
        <v>0</v>
      </c>
      <c r="N146" s="122">
        <f t="shared" si="34"/>
        <v>169494.24830794844</v>
      </c>
      <c r="O146" s="122">
        <f t="shared" si="35"/>
        <v>28249.041384658074</v>
      </c>
      <c r="P146" s="336">
        <f t="shared" si="31"/>
        <v>-96694.248307948437</v>
      </c>
      <c r="Q146" s="336">
        <f t="shared" si="32"/>
        <v>17699.041384658074</v>
      </c>
      <c r="R146" s="303">
        <f t="shared" si="33"/>
        <v>1.6776342544699596</v>
      </c>
    </row>
    <row r="147" spans="1:18" x14ac:dyDescent="0.3">
      <c r="A147" s="2">
        <v>248</v>
      </c>
      <c r="B147" s="41" t="s">
        <v>137</v>
      </c>
      <c r="C147" s="2">
        <v>6</v>
      </c>
      <c r="D147" s="2" t="s">
        <v>16</v>
      </c>
      <c r="E147" s="294">
        <v>18350</v>
      </c>
      <c r="F147" s="296">
        <v>22000</v>
      </c>
      <c r="G147" s="352">
        <v>5</v>
      </c>
      <c r="H147" s="296">
        <f t="shared" si="28"/>
        <v>91750</v>
      </c>
      <c r="I147" s="122">
        <f t="shared" si="29"/>
        <v>110000</v>
      </c>
      <c r="J147" s="331">
        <f t="shared" si="30"/>
        <v>18250</v>
      </c>
      <c r="K147" s="292">
        <f>'09-RESUMEN'!$F$43/1375</f>
        <v>81431.961035221175</v>
      </c>
      <c r="L147" s="122">
        <f>('ESTADO RESULTADOS'!$C$36+'ESTADO RESULTADOS'!$C$71)/1375</f>
        <v>24762.287272727273</v>
      </c>
      <c r="M147" s="122">
        <v>0</v>
      </c>
      <c r="N147" s="122">
        <f t="shared" si="34"/>
        <v>197944.24830794844</v>
      </c>
      <c r="O147" s="122">
        <f t="shared" si="35"/>
        <v>39588.849661589687</v>
      </c>
      <c r="P147" s="336">
        <f t="shared" si="31"/>
        <v>-87944.248307948437</v>
      </c>
      <c r="Q147" s="336">
        <f t="shared" si="32"/>
        <v>21238.849661589687</v>
      </c>
      <c r="R147" s="303">
        <f t="shared" si="33"/>
        <v>1.1574304992691928</v>
      </c>
    </row>
    <row r="148" spans="1:18" x14ac:dyDescent="0.3">
      <c r="A148" s="2">
        <v>249</v>
      </c>
      <c r="B148" s="41" t="s">
        <v>138</v>
      </c>
      <c r="C148" s="2">
        <v>6</v>
      </c>
      <c r="D148" s="2" t="s">
        <v>16</v>
      </c>
      <c r="E148" s="294">
        <v>64476</v>
      </c>
      <c r="F148" s="296">
        <v>72000</v>
      </c>
      <c r="G148" s="352">
        <v>3</v>
      </c>
      <c r="H148" s="296">
        <f t="shared" si="28"/>
        <v>193428</v>
      </c>
      <c r="I148" s="122">
        <f t="shared" si="29"/>
        <v>216000</v>
      </c>
      <c r="J148" s="331">
        <f t="shared" si="30"/>
        <v>22572</v>
      </c>
      <c r="K148" s="292">
        <f>'09-RESUMEN'!$F$43/1375</f>
        <v>81431.961035221175</v>
      </c>
      <c r="L148" s="122">
        <f>('ESTADO RESULTADOS'!$C$36+'ESTADO RESULTADOS'!$C$71)/1375</f>
        <v>24762.287272727273</v>
      </c>
      <c r="M148" s="122">
        <v>0</v>
      </c>
      <c r="N148" s="122">
        <f t="shared" si="34"/>
        <v>299622.24830794847</v>
      </c>
      <c r="O148" s="122">
        <f t="shared" si="35"/>
        <v>99874.082769316155</v>
      </c>
      <c r="P148" s="336">
        <f t="shared" si="31"/>
        <v>-83622.248307948466</v>
      </c>
      <c r="Q148" s="336">
        <f t="shared" si="32"/>
        <v>35398.082769316155</v>
      </c>
      <c r="R148" s="303">
        <f t="shared" si="33"/>
        <v>0.54901176824424835</v>
      </c>
    </row>
    <row r="149" spans="1:18" x14ac:dyDescent="0.3">
      <c r="A149" s="2">
        <v>250</v>
      </c>
      <c r="B149" s="41" t="s">
        <v>139</v>
      </c>
      <c r="C149" s="2">
        <v>14</v>
      </c>
      <c r="D149" s="2" t="s">
        <v>32</v>
      </c>
      <c r="E149" s="294">
        <v>13052</v>
      </c>
      <c r="F149" s="296">
        <v>16000</v>
      </c>
      <c r="G149" s="352">
        <v>10</v>
      </c>
      <c r="H149" s="296">
        <f t="shared" si="28"/>
        <v>130520</v>
      </c>
      <c r="I149" s="122">
        <f t="shared" si="29"/>
        <v>160000</v>
      </c>
      <c r="J149" s="331">
        <f t="shared" si="30"/>
        <v>29480</v>
      </c>
      <c r="K149" s="292">
        <f>'09-RESUMEN'!$F$43/1375</f>
        <v>81431.961035221175</v>
      </c>
      <c r="L149" s="122">
        <f>('ESTADO RESULTADOS'!$C$36+'ESTADO RESULTADOS'!$C$71)/1375</f>
        <v>24762.287272727273</v>
      </c>
      <c r="M149" s="122">
        <v>0</v>
      </c>
      <c r="N149" s="122">
        <f t="shared" si="34"/>
        <v>236714.24830794844</v>
      </c>
      <c r="O149" s="122">
        <f t="shared" si="35"/>
        <v>23671.424830794844</v>
      </c>
      <c r="P149" s="336">
        <f t="shared" si="31"/>
        <v>-76714.248307948437</v>
      </c>
      <c r="Q149" s="336">
        <f t="shared" si="32"/>
        <v>10619.424830794844</v>
      </c>
      <c r="R149" s="303">
        <f t="shared" si="33"/>
        <v>0.81362433579488536</v>
      </c>
    </row>
    <row r="150" spans="1:18" x14ac:dyDescent="0.3">
      <c r="A150" s="2">
        <v>252</v>
      </c>
      <c r="B150" s="41" t="s">
        <v>1616</v>
      </c>
      <c r="C150" s="2">
        <v>2</v>
      </c>
      <c r="D150" s="2" t="s">
        <v>132</v>
      </c>
      <c r="E150" s="294">
        <v>31861.147499999999</v>
      </c>
      <c r="F150" s="296">
        <v>36250</v>
      </c>
      <c r="G150" s="352">
        <v>138</v>
      </c>
      <c r="H150" s="296">
        <f t="shared" si="28"/>
        <v>4396838.3549999995</v>
      </c>
      <c r="I150" s="122">
        <f t="shared" si="29"/>
        <v>5002500</v>
      </c>
      <c r="J150" s="331">
        <f t="shared" si="30"/>
        <v>605661.64500000048</v>
      </c>
      <c r="K150" s="292">
        <f>'09-RESUMEN'!$F$43/1375</f>
        <v>81431.961035221175</v>
      </c>
      <c r="L150" s="122">
        <f>('ESTADO RESULTADOS'!$C$36+'ESTADO RESULTADOS'!$C$71)/1375</f>
        <v>24762.287272727273</v>
      </c>
      <c r="M150" s="122">
        <v>0</v>
      </c>
      <c r="N150" s="122">
        <f t="shared" si="34"/>
        <v>4503032.6033079475</v>
      </c>
      <c r="O150" s="122">
        <f t="shared" si="35"/>
        <v>32630.671038463388</v>
      </c>
      <c r="P150" s="336">
        <f t="shared" si="31"/>
        <v>499467.39669205248</v>
      </c>
      <c r="Q150" s="336">
        <f t="shared" si="32"/>
        <v>769.52353846338883</v>
      </c>
      <c r="R150" s="303">
        <f t="shared" si="33"/>
        <v>2.4152411285983621E-2</v>
      </c>
    </row>
    <row r="151" spans="1:18" x14ac:dyDescent="0.3">
      <c r="A151" s="163">
        <v>253</v>
      </c>
      <c r="B151" s="329" t="s">
        <v>140</v>
      </c>
      <c r="C151" s="163">
        <v>2</v>
      </c>
      <c r="D151" s="163" t="s">
        <v>5</v>
      </c>
      <c r="E151" s="297">
        <v>3057.66</v>
      </c>
      <c r="F151" s="299">
        <v>3500</v>
      </c>
      <c r="G151" s="354">
        <v>729</v>
      </c>
      <c r="H151" s="296">
        <f t="shared" si="28"/>
        <v>2229034.1399999997</v>
      </c>
      <c r="I151" s="122">
        <f t="shared" si="29"/>
        <v>2551500</v>
      </c>
      <c r="J151" s="331">
        <f t="shared" si="30"/>
        <v>322465.86000000034</v>
      </c>
      <c r="K151" s="293">
        <f>'09-RESUMEN'!$F$43/1375+('09-RESUMEN'!$F$42/17)</f>
        <v>283519.42464527232</v>
      </c>
      <c r="L151" s="256">
        <f>('ESTADO RESULTADOS'!$C$36+'ESTADO RESULTADOS'!$C$71)/1375</f>
        <v>24762.287272727273</v>
      </c>
      <c r="M151" s="256">
        <f>'ESTADO RESULTADOS'!$C$37/17</f>
        <v>106174.11764705883</v>
      </c>
      <c r="N151" s="122">
        <f t="shared" si="34"/>
        <v>2643489.9695650577</v>
      </c>
      <c r="O151" s="122">
        <f t="shared" si="35"/>
        <v>3626.1865151784054</v>
      </c>
      <c r="P151" s="336">
        <f t="shared" si="31"/>
        <v>-91989.969565057661</v>
      </c>
      <c r="Q151" s="336">
        <f t="shared" si="32"/>
        <v>568.52651517840559</v>
      </c>
      <c r="R151" s="303">
        <f t="shared" si="33"/>
        <v>0.18593516453052517</v>
      </c>
    </row>
    <row r="152" spans="1:18" x14ac:dyDescent="0.3">
      <c r="A152" s="2">
        <v>254</v>
      </c>
      <c r="B152" s="41" t="s">
        <v>141</v>
      </c>
      <c r="C152" s="2">
        <v>2</v>
      </c>
      <c r="D152" s="2" t="s">
        <v>142</v>
      </c>
      <c r="E152" s="294">
        <v>89479.74</v>
      </c>
      <c r="F152" s="296">
        <v>100017</v>
      </c>
      <c r="G152" s="352">
        <v>144</v>
      </c>
      <c r="H152" s="296">
        <f t="shared" si="28"/>
        <v>12885082.560000001</v>
      </c>
      <c r="I152" s="122">
        <f t="shared" si="29"/>
        <v>14402448</v>
      </c>
      <c r="J152" s="331">
        <f t="shared" si="30"/>
        <v>1517365.4399999995</v>
      </c>
      <c r="K152" s="292">
        <f>'09-RESUMEN'!$F$43/1375</f>
        <v>81431.961035221175</v>
      </c>
      <c r="L152" s="122">
        <f>('ESTADO RESULTADOS'!$C$36+'ESTADO RESULTADOS'!$C$71)/1375</f>
        <v>24762.287272727273</v>
      </c>
      <c r="M152" s="122">
        <v>0</v>
      </c>
      <c r="N152" s="122">
        <f t="shared" si="34"/>
        <v>12991276.808307949</v>
      </c>
      <c r="O152" s="122">
        <f t="shared" si="35"/>
        <v>90217.200057694092</v>
      </c>
      <c r="P152" s="336">
        <f t="shared" si="31"/>
        <v>1411171.1916920505</v>
      </c>
      <c r="Q152" s="336">
        <f t="shared" si="32"/>
        <v>737.46005769408657</v>
      </c>
      <c r="R152" s="303">
        <f t="shared" si="33"/>
        <v>8.2416428310373557E-3</v>
      </c>
    </row>
    <row r="153" spans="1:18" x14ac:dyDescent="0.3">
      <c r="A153" s="2">
        <v>256</v>
      </c>
      <c r="B153" s="41" t="s">
        <v>1617</v>
      </c>
      <c r="C153" s="2">
        <v>14</v>
      </c>
      <c r="D153" s="2" t="s">
        <v>12</v>
      </c>
      <c r="E153" s="294">
        <v>5200</v>
      </c>
      <c r="F153" s="296">
        <v>7200</v>
      </c>
      <c r="G153" s="352">
        <v>0</v>
      </c>
      <c r="H153" s="296">
        <f t="shared" si="28"/>
        <v>0</v>
      </c>
      <c r="I153" s="122">
        <f t="shared" si="29"/>
        <v>0</v>
      </c>
      <c r="J153" s="331">
        <f t="shared" si="30"/>
        <v>0</v>
      </c>
      <c r="K153" s="292">
        <f>'09-RESUMEN'!$F$43/1375</f>
        <v>81431.961035221175</v>
      </c>
      <c r="L153" s="122">
        <f>('ESTADO RESULTADOS'!$C$36+'ESTADO RESULTADOS'!$C$71)/1375</f>
        <v>24762.287272727273</v>
      </c>
      <c r="M153" s="122">
        <v>0</v>
      </c>
      <c r="N153" s="122">
        <f>SUM(E153+K153+L153+M153)</f>
        <v>111394.24830794845</v>
      </c>
      <c r="O153" s="122">
        <f>N153</f>
        <v>111394.24830794845</v>
      </c>
      <c r="P153" s="336">
        <f t="shared" si="31"/>
        <v>-111394.24830794845</v>
      </c>
      <c r="Q153" s="336">
        <f t="shared" si="32"/>
        <v>106194.24830794845</v>
      </c>
      <c r="R153" s="303">
        <f t="shared" si="33"/>
        <v>20.421970828451624</v>
      </c>
    </row>
    <row r="154" spans="1:18" x14ac:dyDescent="0.3">
      <c r="A154" s="2">
        <v>257</v>
      </c>
      <c r="B154" s="41" t="s">
        <v>143</v>
      </c>
      <c r="C154" s="2">
        <v>4</v>
      </c>
      <c r="D154" s="2" t="s">
        <v>35</v>
      </c>
      <c r="E154" s="294">
        <v>23076.06</v>
      </c>
      <c r="F154" s="296">
        <v>27866.666666666668</v>
      </c>
      <c r="G154" s="352">
        <v>29</v>
      </c>
      <c r="H154" s="296">
        <f t="shared" si="28"/>
        <v>669205.74</v>
      </c>
      <c r="I154" s="122">
        <f t="shared" si="29"/>
        <v>808133.33333333337</v>
      </c>
      <c r="J154" s="331">
        <f t="shared" si="30"/>
        <v>138927.59333333338</v>
      </c>
      <c r="K154" s="292">
        <f>'09-RESUMEN'!$F$43/1375</f>
        <v>81431.961035221175</v>
      </c>
      <c r="L154" s="122">
        <f>('ESTADO RESULTADOS'!$C$36+'ESTADO RESULTADOS'!$C$71)/1375</f>
        <v>24762.287272727273</v>
      </c>
      <c r="M154" s="122">
        <v>0</v>
      </c>
      <c r="N154" s="122">
        <f>SUM(H154+K154+L154+M154)</f>
        <v>775399.98830794834</v>
      </c>
      <c r="O154" s="122">
        <f>N154/G154</f>
        <v>26737.930631308562</v>
      </c>
      <c r="P154" s="336">
        <f t="shared" si="31"/>
        <v>32733.345025385031</v>
      </c>
      <c r="Q154" s="336">
        <f t="shared" si="32"/>
        <v>3661.8706313085604</v>
      </c>
      <c r="R154" s="303">
        <f t="shared" si="33"/>
        <v>0.15868699558367244</v>
      </c>
    </row>
    <row r="155" spans="1:18" x14ac:dyDescent="0.3">
      <c r="A155" s="2">
        <v>260</v>
      </c>
      <c r="B155" s="41" t="s">
        <v>144</v>
      </c>
      <c r="C155" s="2">
        <v>5</v>
      </c>
      <c r="D155" s="2" t="s">
        <v>5</v>
      </c>
      <c r="E155" s="294">
        <v>9200</v>
      </c>
      <c r="F155" s="296">
        <v>10266.666666666666</v>
      </c>
      <c r="G155" s="352">
        <v>60</v>
      </c>
      <c r="H155" s="296">
        <f t="shared" si="28"/>
        <v>552000</v>
      </c>
      <c r="I155" s="122">
        <f t="shared" si="29"/>
        <v>616000</v>
      </c>
      <c r="J155" s="331">
        <f t="shared" si="30"/>
        <v>64000</v>
      </c>
      <c r="K155" s="292">
        <f>'09-RESUMEN'!$F$43/1375</f>
        <v>81431.961035221175</v>
      </c>
      <c r="L155" s="122">
        <f>('ESTADO RESULTADOS'!$C$36+'ESTADO RESULTADOS'!$C$71)/1375</f>
        <v>24762.287272727273</v>
      </c>
      <c r="M155" s="122">
        <v>0</v>
      </c>
      <c r="N155" s="122">
        <f>SUM(H155+K155+L155+M155)</f>
        <v>658194.24830794835</v>
      </c>
      <c r="O155" s="122">
        <f>N155/G155</f>
        <v>10969.904138465807</v>
      </c>
      <c r="P155" s="336">
        <f t="shared" si="31"/>
        <v>-42194.24830794835</v>
      </c>
      <c r="Q155" s="336">
        <f t="shared" si="32"/>
        <v>1769.9041384658067</v>
      </c>
      <c r="R155" s="303">
        <f t="shared" si="33"/>
        <v>0.19238088461584854</v>
      </c>
    </row>
    <row r="156" spans="1:18" x14ac:dyDescent="0.3">
      <c r="A156" s="2">
        <v>261</v>
      </c>
      <c r="B156" s="41" t="s">
        <v>1618</v>
      </c>
      <c r="C156" s="2">
        <v>14</v>
      </c>
      <c r="D156" s="2" t="s">
        <v>59</v>
      </c>
      <c r="E156" s="294">
        <v>6000</v>
      </c>
      <c r="F156" s="296">
        <v>6000</v>
      </c>
      <c r="G156" s="352">
        <v>0</v>
      </c>
      <c r="H156" s="296">
        <f t="shared" si="28"/>
        <v>0</v>
      </c>
      <c r="I156" s="122">
        <f t="shared" si="29"/>
        <v>0</v>
      </c>
      <c r="J156" s="331">
        <f t="shared" si="30"/>
        <v>0</v>
      </c>
      <c r="K156" s="292">
        <f>'09-RESUMEN'!$F$43/1375</f>
        <v>81431.961035221175</v>
      </c>
      <c r="L156" s="122">
        <f>('ESTADO RESULTADOS'!$C$36+'ESTADO RESULTADOS'!$C$71)/1375</f>
        <v>24762.287272727273</v>
      </c>
      <c r="M156" s="122">
        <v>0</v>
      </c>
      <c r="N156" s="122">
        <f>SUM(E156+K156+L156+M156)</f>
        <v>112194.24830794845</v>
      </c>
      <c r="O156" s="122">
        <f>N156</f>
        <v>112194.24830794845</v>
      </c>
      <c r="P156" s="336">
        <f t="shared" si="31"/>
        <v>-112194.24830794845</v>
      </c>
      <c r="Q156" s="336">
        <f t="shared" si="32"/>
        <v>106194.24830794845</v>
      </c>
      <c r="R156" s="303">
        <f t="shared" si="33"/>
        <v>17.699041384658074</v>
      </c>
    </row>
    <row r="157" spans="1:18" x14ac:dyDescent="0.3">
      <c r="A157" s="2">
        <v>264</v>
      </c>
      <c r="B157" s="41" t="s">
        <v>145</v>
      </c>
      <c r="C157" s="2">
        <v>5</v>
      </c>
      <c r="D157" s="2" t="s">
        <v>5</v>
      </c>
      <c r="E157" s="294">
        <v>41000</v>
      </c>
      <c r="F157" s="296">
        <v>55466.666666666664</v>
      </c>
      <c r="G157" s="352">
        <v>13</v>
      </c>
      <c r="H157" s="296">
        <f t="shared" si="28"/>
        <v>533000</v>
      </c>
      <c r="I157" s="122">
        <f t="shared" si="29"/>
        <v>721066.66666666663</v>
      </c>
      <c r="J157" s="331">
        <f t="shared" si="30"/>
        <v>188066.66666666663</v>
      </c>
      <c r="K157" s="292">
        <f>'09-RESUMEN'!$F$43/1375</f>
        <v>81431.961035221175</v>
      </c>
      <c r="L157" s="122">
        <f>('ESTADO RESULTADOS'!$C$36+'ESTADO RESULTADOS'!$C$71)/1375</f>
        <v>24762.287272727273</v>
      </c>
      <c r="M157" s="122">
        <v>0</v>
      </c>
      <c r="N157" s="122">
        <f t="shared" ref="N157:N172" si="36">SUM(H157+K157+L157+M157)</f>
        <v>639194.24830794835</v>
      </c>
      <c r="O157" s="122">
        <f t="shared" ref="O157:O172" si="37">N157/G157</f>
        <v>49168.788331380645</v>
      </c>
      <c r="P157" s="336">
        <f t="shared" si="31"/>
        <v>81872.418358718278</v>
      </c>
      <c r="Q157" s="336">
        <f t="shared" si="32"/>
        <v>8168.7883313806451</v>
      </c>
      <c r="R157" s="303">
        <f t="shared" si="33"/>
        <v>0.19923873978977183</v>
      </c>
    </row>
    <row r="158" spans="1:18" x14ac:dyDescent="0.3">
      <c r="A158" s="2">
        <v>265</v>
      </c>
      <c r="B158" s="41" t="s">
        <v>146</v>
      </c>
      <c r="C158" s="2">
        <v>5</v>
      </c>
      <c r="D158" s="2" t="s">
        <v>5</v>
      </c>
      <c r="E158" s="294">
        <v>41000</v>
      </c>
      <c r="F158" s="296">
        <v>64333.333333333336</v>
      </c>
      <c r="G158" s="352">
        <v>40</v>
      </c>
      <c r="H158" s="296">
        <f t="shared" si="28"/>
        <v>1640000</v>
      </c>
      <c r="I158" s="122">
        <f t="shared" si="29"/>
        <v>2573333.3333333335</v>
      </c>
      <c r="J158" s="331">
        <f t="shared" si="30"/>
        <v>933333.33333333349</v>
      </c>
      <c r="K158" s="292">
        <f>'09-RESUMEN'!$F$43/1375</f>
        <v>81431.961035221175</v>
      </c>
      <c r="L158" s="122">
        <f>('ESTADO RESULTADOS'!$C$36+'ESTADO RESULTADOS'!$C$71)/1375</f>
        <v>24762.287272727273</v>
      </c>
      <c r="M158" s="122">
        <v>0</v>
      </c>
      <c r="N158" s="122">
        <f t="shared" si="36"/>
        <v>1746194.2483079485</v>
      </c>
      <c r="O158" s="122">
        <f t="shared" si="37"/>
        <v>43654.856207698715</v>
      </c>
      <c r="P158" s="336">
        <f t="shared" si="31"/>
        <v>827139.08502538502</v>
      </c>
      <c r="Q158" s="336">
        <f t="shared" si="32"/>
        <v>2654.8562076987146</v>
      </c>
      <c r="R158" s="303">
        <f t="shared" si="33"/>
        <v>6.4752590431675972E-2</v>
      </c>
    </row>
    <row r="159" spans="1:18" x14ac:dyDescent="0.3">
      <c r="A159" s="2">
        <v>266</v>
      </c>
      <c r="B159" s="41" t="s">
        <v>147</v>
      </c>
      <c r="C159" s="2">
        <v>4</v>
      </c>
      <c r="D159" s="2" t="s">
        <v>21</v>
      </c>
      <c r="E159" s="294">
        <v>13386</v>
      </c>
      <c r="F159" s="296">
        <v>16500</v>
      </c>
      <c r="G159" s="352">
        <v>8</v>
      </c>
      <c r="H159" s="296">
        <f t="shared" si="28"/>
        <v>107088</v>
      </c>
      <c r="I159" s="122">
        <f t="shared" si="29"/>
        <v>132000</v>
      </c>
      <c r="J159" s="331">
        <f t="shared" si="30"/>
        <v>24912</v>
      </c>
      <c r="K159" s="292">
        <f>'09-RESUMEN'!$F$43/1375</f>
        <v>81431.961035221175</v>
      </c>
      <c r="L159" s="122">
        <f>('ESTADO RESULTADOS'!$C$36+'ESTADO RESULTADOS'!$C$71)/1375</f>
        <v>24762.287272727273</v>
      </c>
      <c r="M159" s="122">
        <v>0</v>
      </c>
      <c r="N159" s="122">
        <f t="shared" si="36"/>
        <v>213282.24830794844</v>
      </c>
      <c r="O159" s="122">
        <f t="shared" si="37"/>
        <v>26660.281038493555</v>
      </c>
      <c r="P159" s="336">
        <f t="shared" si="31"/>
        <v>-81282.248307948437</v>
      </c>
      <c r="Q159" s="336">
        <f t="shared" si="32"/>
        <v>13274.281038493555</v>
      </c>
      <c r="R159" s="303">
        <f t="shared" si="33"/>
        <v>0.99165404441159077</v>
      </c>
    </row>
    <row r="160" spans="1:18" x14ac:dyDescent="0.3">
      <c r="A160" s="2">
        <v>272</v>
      </c>
      <c r="B160" s="41" t="s">
        <v>148</v>
      </c>
      <c r="C160" s="2">
        <v>12</v>
      </c>
      <c r="D160" s="2" t="s">
        <v>12</v>
      </c>
      <c r="E160" s="294">
        <v>16458.75</v>
      </c>
      <c r="F160" s="296">
        <v>18500</v>
      </c>
      <c r="G160" s="352">
        <v>7</v>
      </c>
      <c r="H160" s="296">
        <f t="shared" si="28"/>
        <v>115211.25</v>
      </c>
      <c r="I160" s="122">
        <f t="shared" si="29"/>
        <v>129500</v>
      </c>
      <c r="J160" s="331">
        <f t="shared" si="30"/>
        <v>14288.75</v>
      </c>
      <c r="K160" s="292">
        <f>'09-RESUMEN'!$F$43/1375</f>
        <v>81431.961035221175</v>
      </c>
      <c r="L160" s="122">
        <f>('ESTADO RESULTADOS'!$C$36+'ESTADO RESULTADOS'!$C$71)/1375</f>
        <v>24762.287272727273</v>
      </c>
      <c r="M160" s="122">
        <v>0</v>
      </c>
      <c r="N160" s="122">
        <f t="shared" si="36"/>
        <v>221405.49830794844</v>
      </c>
      <c r="O160" s="122">
        <f t="shared" si="37"/>
        <v>31629.356901135492</v>
      </c>
      <c r="P160" s="336">
        <f t="shared" si="31"/>
        <v>-91905.498307948437</v>
      </c>
      <c r="Q160" s="336">
        <f t="shared" si="32"/>
        <v>15170.606901135492</v>
      </c>
      <c r="R160" s="303">
        <f t="shared" si="33"/>
        <v>0.92173505892825958</v>
      </c>
    </row>
    <row r="161" spans="1:18" x14ac:dyDescent="0.3">
      <c r="A161" s="2">
        <v>273</v>
      </c>
      <c r="B161" s="41" t="s">
        <v>1619</v>
      </c>
      <c r="C161" s="2">
        <v>12</v>
      </c>
      <c r="D161" s="2" t="s">
        <v>12</v>
      </c>
      <c r="E161" s="294">
        <v>37500</v>
      </c>
      <c r="F161" s="296">
        <v>37250</v>
      </c>
      <c r="G161" s="352">
        <v>2</v>
      </c>
      <c r="H161" s="296">
        <f t="shared" si="28"/>
        <v>75000</v>
      </c>
      <c r="I161" s="122">
        <f t="shared" si="29"/>
        <v>74500</v>
      </c>
      <c r="J161" s="331">
        <f t="shared" si="30"/>
        <v>-500</v>
      </c>
      <c r="K161" s="292">
        <f>'09-RESUMEN'!$F$43/1375</f>
        <v>81431.961035221175</v>
      </c>
      <c r="L161" s="122">
        <f>('ESTADO RESULTADOS'!$C$36+'ESTADO RESULTADOS'!$C$71)/1375</f>
        <v>24762.287272727273</v>
      </c>
      <c r="M161" s="122">
        <v>0</v>
      </c>
      <c r="N161" s="122">
        <f t="shared" si="36"/>
        <v>181194.24830794844</v>
      </c>
      <c r="O161" s="122">
        <f t="shared" si="37"/>
        <v>90597.124153974219</v>
      </c>
      <c r="P161" s="336">
        <f t="shared" si="31"/>
        <v>-106694.24830794844</v>
      </c>
      <c r="Q161" s="336">
        <f t="shared" si="32"/>
        <v>53097.124153974219</v>
      </c>
      <c r="R161" s="303">
        <f t="shared" si="33"/>
        <v>1.4159233107726459</v>
      </c>
    </row>
    <row r="162" spans="1:18" x14ac:dyDescent="0.3">
      <c r="A162" s="2">
        <v>274</v>
      </c>
      <c r="B162" s="41" t="s">
        <v>149</v>
      </c>
      <c r="C162" s="2">
        <v>12</v>
      </c>
      <c r="D162" s="2" t="s">
        <v>12</v>
      </c>
      <c r="E162" s="294">
        <v>332000</v>
      </c>
      <c r="F162" s="296">
        <v>361000</v>
      </c>
      <c r="G162" s="352">
        <v>3</v>
      </c>
      <c r="H162" s="296">
        <f t="shared" si="28"/>
        <v>996000</v>
      </c>
      <c r="I162" s="122">
        <f t="shared" si="29"/>
        <v>1083000</v>
      </c>
      <c r="J162" s="331">
        <f t="shared" si="30"/>
        <v>87000</v>
      </c>
      <c r="K162" s="292">
        <f>'09-RESUMEN'!$F$43/1375</f>
        <v>81431.961035221175</v>
      </c>
      <c r="L162" s="122">
        <f>('ESTADO RESULTADOS'!$C$36+'ESTADO RESULTADOS'!$C$71)/1375</f>
        <v>24762.287272727273</v>
      </c>
      <c r="M162" s="122">
        <v>0</v>
      </c>
      <c r="N162" s="122">
        <f t="shared" si="36"/>
        <v>1102194.2483079485</v>
      </c>
      <c r="O162" s="122">
        <f t="shared" si="37"/>
        <v>367398.08276931616</v>
      </c>
      <c r="P162" s="336">
        <f t="shared" si="31"/>
        <v>-19194.248307948466</v>
      </c>
      <c r="Q162" s="336">
        <f t="shared" si="32"/>
        <v>35398.082769316155</v>
      </c>
      <c r="R162" s="303">
        <f t="shared" si="33"/>
        <v>0.10662073123287999</v>
      </c>
    </row>
    <row r="163" spans="1:18" x14ac:dyDescent="0.3">
      <c r="A163" s="2">
        <v>275</v>
      </c>
      <c r="B163" s="41" t="s">
        <v>1620</v>
      </c>
      <c r="C163" s="2">
        <v>8</v>
      </c>
      <c r="D163" s="2" t="s">
        <v>27</v>
      </c>
      <c r="E163" s="294">
        <v>260500</v>
      </c>
      <c r="F163" s="296">
        <v>342600</v>
      </c>
      <c r="G163" s="352">
        <v>3</v>
      </c>
      <c r="H163" s="296">
        <f t="shared" si="28"/>
        <v>781500</v>
      </c>
      <c r="I163" s="122">
        <f t="shared" si="29"/>
        <v>1027800</v>
      </c>
      <c r="J163" s="331">
        <f t="shared" si="30"/>
        <v>246300</v>
      </c>
      <c r="K163" s="292">
        <f>'09-RESUMEN'!$F$43/1375</f>
        <v>81431.961035221175</v>
      </c>
      <c r="L163" s="122">
        <f>('ESTADO RESULTADOS'!$C$36+'ESTADO RESULTADOS'!$C$71)/1375</f>
        <v>24762.287272727273</v>
      </c>
      <c r="M163" s="122">
        <v>0</v>
      </c>
      <c r="N163" s="122">
        <f t="shared" si="36"/>
        <v>887694.24830794835</v>
      </c>
      <c r="O163" s="122">
        <f t="shared" si="37"/>
        <v>295898.0827693161</v>
      </c>
      <c r="P163" s="336">
        <f t="shared" si="31"/>
        <v>140105.75169205165</v>
      </c>
      <c r="Q163" s="336">
        <f t="shared" si="32"/>
        <v>35398.082769316097</v>
      </c>
      <c r="R163" s="303">
        <f t="shared" si="33"/>
        <v>0.13588515458470671</v>
      </c>
    </row>
    <row r="164" spans="1:18" x14ac:dyDescent="0.3">
      <c r="A164" s="2">
        <v>278</v>
      </c>
      <c r="B164" s="41" t="s">
        <v>150</v>
      </c>
      <c r="C164" s="2">
        <v>14</v>
      </c>
      <c r="D164" s="2" t="s">
        <v>32</v>
      </c>
      <c r="E164" s="294">
        <v>33247</v>
      </c>
      <c r="F164" s="296">
        <v>38600</v>
      </c>
      <c r="G164" s="352">
        <v>2</v>
      </c>
      <c r="H164" s="296">
        <f t="shared" si="28"/>
        <v>66494</v>
      </c>
      <c r="I164" s="122">
        <f t="shared" si="29"/>
        <v>77200</v>
      </c>
      <c r="J164" s="331">
        <f t="shared" si="30"/>
        <v>10706</v>
      </c>
      <c r="K164" s="292">
        <f>'09-RESUMEN'!$F$43/1375</f>
        <v>81431.961035221175</v>
      </c>
      <c r="L164" s="122">
        <f>('ESTADO RESULTADOS'!$C$36+'ESTADO RESULTADOS'!$C$71)/1375</f>
        <v>24762.287272727273</v>
      </c>
      <c r="M164" s="122">
        <v>0</v>
      </c>
      <c r="N164" s="122">
        <f t="shared" si="36"/>
        <v>172688.24830794844</v>
      </c>
      <c r="O164" s="122">
        <f t="shared" si="37"/>
        <v>86344.124153974219</v>
      </c>
      <c r="P164" s="336">
        <f t="shared" si="31"/>
        <v>-95488.248307948437</v>
      </c>
      <c r="Q164" s="336">
        <f t="shared" si="32"/>
        <v>53097.124153974219</v>
      </c>
      <c r="R164" s="303">
        <f t="shared" si="33"/>
        <v>1.5970500843376612</v>
      </c>
    </row>
    <row r="165" spans="1:18" x14ac:dyDescent="0.3">
      <c r="A165" s="2">
        <v>279</v>
      </c>
      <c r="B165" s="41" t="s">
        <v>1621</v>
      </c>
      <c r="C165" s="2">
        <v>14</v>
      </c>
      <c r="D165" s="2" t="s">
        <v>32</v>
      </c>
      <c r="E165" s="294">
        <v>40262</v>
      </c>
      <c r="F165" s="296">
        <v>46300</v>
      </c>
      <c r="G165" s="352">
        <v>3</v>
      </c>
      <c r="H165" s="296">
        <f t="shared" si="28"/>
        <v>120786</v>
      </c>
      <c r="I165" s="122">
        <f t="shared" si="29"/>
        <v>138900</v>
      </c>
      <c r="J165" s="331">
        <f t="shared" si="30"/>
        <v>18114</v>
      </c>
      <c r="K165" s="292">
        <f>'09-RESUMEN'!$F$43/1375</f>
        <v>81431.961035221175</v>
      </c>
      <c r="L165" s="122">
        <f>('ESTADO RESULTADOS'!$C$36+'ESTADO RESULTADOS'!$C$71)/1375</f>
        <v>24762.287272727273</v>
      </c>
      <c r="M165" s="122">
        <v>0</v>
      </c>
      <c r="N165" s="122">
        <f t="shared" si="36"/>
        <v>226980.24830794844</v>
      </c>
      <c r="O165" s="122">
        <f t="shared" si="37"/>
        <v>75660.082769316141</v>
      </c>
      <c r="P165" s="336">
        <f t="shared" si="31"/>
        <v>-88080.248307948437</v>
      </c>
      <c r="Q165" s="336">
        <f t="shared" si="32"/>
        <v>35398.082769316141</v>
      </c>
      <c r="R165" s="303">
        <f t="shared" si="33"/>
        <v>0.87919335277224531</v>
      </c>
    </row>
    <row r="166" spans="1:18" x14ac:dyDescent="0.3">
      <c r="A166" s="2">
        <v>286</v>
      </c>
      <c r="B166" s="41" t="s">
        <v>151</v>
      </c>
      <c r="C166" s="2">
        <v>4</v>
      </c>
      <c r="D166" s="2" t="s">
        <v>21</v>
      </c>
      <c r="E166" s="294">
        <v>27300</v>
      </c>
      <c r="F166" s="296">
        <v>30000</v>
      </c>
      <c r="G166" s="352">
        <v>14</v>
      </c>
      <c r="H166" s="296">
        <f t="shared" si="28"/>
        <v>382200</v>
      </c>
      <c r="I166" s="122">
        <f t="shared" si="29"/>
        <v>420000</v>
      </c>
      <c r="J166" s="331">
        <f t="shared" si="30"/>
        <v>37800</v>
      </c>
      <c r="K166" s="292">
        <f>'09-RESUMEN'!$F$43/1375</f>
        <v>81431.961035221175</v>
      </c>
      <c r="L166" s="122">
        <f>('ESTADO RESULTADOS'!$C$36+'ESTADO RESULTADOS'!$C$71)/1375</f>
        <v>24762.287272727273</v>
      </c>
      <c r="M166" s="122">
        <v>0</v>
      </c>
      <c r="N166" s="122">
        <f t="shared" si="36"/>
        <v>488394.24830794847</v>
      </c>
      <c r="O166" s="122">
        <f t="shared" si="37"/>
        <v>34885.30345056775</v>
      </c>
      <c r="P166" s="336">
        <f t="shared" si="31"/>
        <v>-68394.248307948466</v>
      </c>
      <c r="Q166" s="336">
        <f t="shared" si="32"/>
        <v>7585.3034505677497</v>
      </c>
      <c r="R166" s="303">
        <f t="shared" si="33"/>
        <v>0.27784994324423989</v>
      </c>
    </row>
    <row r="167" spans="1:18" x14ac:dyDescent="0.3">
      <c r="A167" s="2">
        <v>287</v>
      </c>
      <c r="B167" s="41" t="s">
        <v>152</v>
      </c>
      <c r="C167" s="2">
        <v>8</v>
      </c>
      <c r="D167" s="2" t="s">
        <v>16</v>
      </c>
      <c r="E167" s="294">
        <v>34500</v>
      </c>
      <c r="F167" s="296">
        <v>38866.666666666664</v>
      </c>
      <c r="G167" s="352">
        <v>269</v>
      </c>
      <c r="H167" s="296">
        <f t="shared" si="28"/>
        <v>9280500</v>
      </c>
      <c r="I167" s="122">
        <f t="shared" si="29"/>
        <v>10455133.333333332</v>
      </c>
      <c r="J167" s="331">
        <f t="shared" si="30"/>
        <v>1174633.3333333321</v>
      </c>
      <c r="K167" s="292">
        <f>'09-RESUMEN'!$F$43/1375</f>
        <v>81431.961035221175</v>
      </c>
      <c r="L167" s="122">
        <f>('ESTADO RESULTADOS'!$C$36+'ESTADO RESULTADOS'!$C$71)/1375</f>
        <v>24762.287272727273</v>
      </c>
      <c r="M167" s="122">
        <v>0</v>
      </c>
      <c r="N167" s="122">
        <f t="shared" si="36"/>
        <v>9386694.2483079489</v>
      </c>
      <c r="O167" s="122">
        <f t="shared" si="37"/>
        <v>34894.774157278618</v>
      </c>
      <c r="P167" s="336">
        <f t="shared" si="31"/>
        <v>1068439.0850253832</v>
      </c>
      <c r="Q167" s="336">
        <f t="shared" si="32"/>
        <v>394.77415727861808</v>
      </c>
      <c r="R167" s="303">
        <f t="shared" si="33"/>
        <v>1.1442729196481684E-2</v>
      </c>
    </row>
    <row r="168" spans="1:18" x14ac:dyDescent="0.3">
      <c r="A168" s="2">
        <v>288</v>
      </c>
      <c r="B168" s="41" t="s">
        <v>1622</v>
      </c>
      <c r="C168" s="2">
        <v>8</v>
      </c>
      <c r="D168" s="2" t="s">
        <v>41</v>
      </c>
      <c r="E168" s="294">
        <v>137300</v>
      </c>
      <c r="F168" s="296">
        <v>150550</v>
      </c>
      <c r="G168" s="352">
        <v>75</v>
      </c>
      <c r="H168" s="296">
        <f t="shared" si="28"/>
        <v>10297500</v>
      </c>
      <c r="I168" s="122">
        <f t="shared" si="29"/>
        <v>11291250</v>
      </c>
      <c r="J168" s="331">
        <f t="shared" si="30"/>
        <v>993750</v>
      </c>
      <c r="K168" s="292">
        <f>'09-RESUMEN'!$F$43/1375</f>
        <v>81431.961035221175</v>
      </c>
      <c r="L168" s="122">
        <f>('ESTADO RESULTADOS'!$C$36+'ESTADO RESULTADOS'!$C$71)/1375</f>
        <v>24762.287272727273</v>
      </c>
      <c r="M168" s="122">
        <v>0</v>
      </c>
      <c r="N168" s="122">
        <f t="shared" si="36"/>
        <v>10403694.248307949</v>
      </c>
      <c r="O168" s="122">
        <f t="shared" si="37"/>
        <v>138715.92331077266</v>
      </c>
      <c r="P168" s="336">
        <f t="shared" si="31"/>
        <v>887555.75169205107</v>
      </c>
      <c r="Q168" s="336">
        <f t="shared" si="32"/>
        <v>1415.9233107726614</v>
      </c>
      <c r="R168" s="303">
        <f t="shared" si="33"/>
        <v>1.0312624259087119E-2</v>
      </c>
    </row>
    <row r="169" spans="1:18" x14ac:dyDescent="0.3">
      <c r="A169" s="2">
        <v>289</v>
      </c>
      <c r="B169" s="41" t="s">
        <v>153</v>
      </c>
      <c r="C169" s="2">
        <v>8</v>
      </c>
      <c r="D169" s="2" t="s">
        <v>39</v>
      </c>
      <c r="E169" s="294">
        <v>680500</v>
      </c>
      <c r="F169" s="296">
        <v>713333.33333333337</v>
      </c>
      <c r="G169" s="352">
        <v>9</v>
      </c>
      <c r="H169" s="296">
        <f t="shared" si="28"/>
        <v>6124500</v>
      </c>
      <c r="I169" s="122">
        <f t="shared" si="29"/>
        <v>6420000</v>
      </c>
      <c r="J169" s="331">
        <f t="shared" si="30"/>
        <v>295500</v>
      </c>
      <c r="K169" s="292">
        <f>'09-RESUMEN'!$F$43/1375</f>
        <v>81431.961035221175</v>
      </c>
      <c r="L169" s="122">
        <f>('ESTADO RESULTADOS'!$C$36+'ESTADO RESULTADOS'!$C$71)/1375</f>
        <v>24762.287272727273</v>
      </c>
      <c r="M169" s="122">
        <v>0</v>
      </c>
      <c r="N169" s="122">
        <f t="shared" si="36"/>
        <v>6230694.248307948</v>
      </c>
      <c r="O169" s="122">
        <f t="shared" si="37"/>
        <v>692299.36092310539</v>
      </c>
      <c r="P169" s="336">
        <f t="shared" si="31"/>
        <v>189305.751692052</v>
      </c>
      <c r="Q169" s="336">
        <f t="shared" si="32"/>
        <v>11799.360923105385</v>
      </c>
      <c r="R169" s="303">
        <f t="shared" si="33"/>
        <v>1.7339251907575879E-2</v>
      </c>
    </row>
    <row r="170" spans="1:18" x14ac:dyDescent="0.3">
      <c r="A170" s="2">
        <v>296</v>
      </c>
      <c r="B170" s="41" t="s">
        <v>154</v>
      </c>
      <c r="C170" s="2">
        <v>8</v>
      </c>
      <c r="D170" s="2" t="s">
        <v>41</v>
      </c>
      <c r="E170" s="294">
        <v>98988</v>
      </c>
      <c r="F170" s="296">
        <v>111333.33333333333</v>
      </c>
      <c r="G170" s="352">
        <v>6</v>
      </c>
      <c r="H170" s="296">
        <f t="shared" si="28"/>
        <v>593928</v>
      </c>
      <c r="I170" s="122">
        <f t="shared" si="29"/>
        <v>668000</v>
      </c>
      <c r="J170" s="331">
        <f t="shared" si="30"/>
        <v>74072</v>
      </c>
      <c r="K170" s="292">
        <f>'09-RESUMEN'!$F$43/1375</f>
        <v>81431.961035221175</v>
      </c>
      <c r="L170" s="122">
        <f>('ESTADO RESULTADOS'!$C$36+'ESTADO RESULTADOS'!$C$71)/1375</f>
        <v>24762.287272727273</v>
      </c>
      <c r="M170" s="122">
        <v>0</v>
      </c>
      <c r="N170" s="122">
        <f t="shared" si="36"/>
        <v>700122.24830794835</v>
      </c>
      <c r="O170" s="122">
        <f t="shared" si="37"/>
        <v>116687.04138465806</v>
      </c>
      <c r="P170" s="336">
        <f t="shared" si="31"/>
        <v>-32122.24830794835</v>
      </c>
      <c r="Q170" s="336">
        <f t="shared" si="32"/>
        <v>17699.041384658063</v>
      </c>
      <c r="R170" s="303">
        <f t="shared" si="33"/>
        <v>0.17879986851596216</v>
      </c>
    </row>
    <row r="171" spans="1:18" x14ac:dyDescent="0.3">
      <c r="A171" s="2">
        <v>297</v>
      </c>
      <c r="B171" s="41" t="s">
        <v>155</v>
      </c>
      <c r="C171" s="2">
        <v>8</v>
      </c>
      <c r="D171" s="2" t="s">
        <v>16</v>
      </c>
      <c r="E171" s="294">
        <v>26422</v>
      </c>
      <c r="F171" s="296">
        <v>31583.333333333332</v>
      </c>
      <c r="G171" s="352">
        <v>14</v>
      </c>
      <c r="H171" s="296">
        <f t="shared" si="28"/>
        <v>369908</v>
      </c>
      <c r="I171" s="122">
        <f t="shared" si="29"/>
        <v>442166.66666666663</v>
      </c>
      <c r="J171" s="331">
        <f t="shared" si="30"/>
        <v>72258.666666666628</v>
      </c>
      <c r="K171" s="292">
        <f>'09-RESUMEN'!$F$43/1375</f>
        <v>81431.961035221175</v>
      </c>
      <c r="L171" s="122">
        <f>('ESTADO RESULTADOS'!$C$36+'ESTADO RESULTADOS'!$C$71)/1375</f>
        <v>24762.287272727273</v>
      </c>
      <c r="M171" s="122">
        <v>0</v>
      </c>
      <c r="N171" s="122">
        <f t="shared" si="36"/>
        <v>476102.24830794847</v>
      </c>
      <c r="O171" s="122">
        <f t="shared" si="37"/>
        <v>34007.30345056775</v>
      </c>
      <c r="P171" s="336">
        <f t="shared" si="31"/>
        <v>-33935.581641281839</v>
      </c>
      <c r="Q171" s="336">
        <f t="shared" si="32"/>
        <v>7585.3034505677497</v>
      </c>
      <c r="R171" s="303">
        <f t="shared" si="33"/>
        <v>0.2870828646797271</v>
      </c>
    </row>
    <row r="172" spans="1:18" x14ac:dyDescent="0.3">
      <c r="A172" s="2">
        <v>299</v>
      </c>
      <c r="B172" s="41" t="s">
        <v>156</v>
      </c>
      <c r="C172" s="2">
        <v>9</v>
      </c>
      <c r="D172" s="2" t="s">
        <v>56</v>
      </c>
      <c r="E172" s="294">
        <v>9778.23</v>
      </c>
      <c r="F172" s="296">
        <v>10833.333333333334</v>
      </c>
      <c r="G172" s="352">
        <v>69</v>
      </c>
      <c r="H172" s="296">
        <f t="shared" si="28"/>
        <v>674697.87</v>
      </c>
      <c r="I172" s="122">
        <f t="shared" si="29"/>
        <v>747500</v>
      </c>
      <c r="J172" s="331">
        <f t="shared" si="30"/>
        <v>72802.13</v>
      </c>
      <c r="K172" s="292">
        <f>'09-RESUMEN'!$F$43/1375</f>
        <v>81431.961035221175</v>
      </c>
      <c r="L172" s="122">
        <f>('ESTADO RESULTADOS'!$C$36+'ESTADO RESULTADOS'!$C$71)/1375</f>
        <v>24762.287272727273</v>
      </c>
      <c r="M172" s="122">
        <v>0</v>
      </c>
      <c r="N172" s="122">
        <f t="shared" si="36"/>
        <v>780892.11830794846</v>
      </c>
      <c r="O172" s="122">
        <f t="shared" si="37"/>
        <v>11317.27707692679</v>
      </c>
      <c r="P172" s="336">
        <f t="shared" si="31"/>
        <v>-33392.118307948462</v>
      </c>
      <c r="Q172" s="336">
        <f t="shared" si="32"/>
        <v>1539.0470769267904</v>
      </c>
      <c r="R172" s="303">
        <f t="shared" si="33"/>
        <v>0.15739526242753449</v>
      </c>
    </row>
    <row r="173" spans="1:18" x14ac:dyDescent="0.3">
      <c r="A173" s="2">
        <v>302</v>
      </c>
      <c r="B173" s="41" t="s">
        <v>1623</v>
      </c>
      <c r="C173" s="2">
        <v>9</v>
      </c>
      <c r="D173" s="2" t="s">
        <v>12</v>
      </c>
      <c r="E173" s="294">
        <v>12000</v>
      </c>
      <c r="F173" s="296">
        <v>16000</v>
      </c>
      <c r="G173" s="352">
        <v>0</v>
      </c>
      <c r="H173" s="296">
        <f t="shared" si="28"/>
        <v>0</v>
      </c>
      <c r="I173" s="122">
        <f t="shared" si="29"/>
        <v>0</v>
      </c>
      <c r="J173" s="331">
        <f t="shared" si="30"/>
        <v>0</v>
      </c>
      <c r="K173" s="292">
        <f>'09-RESUMEN'!$F$43/1375</f>
        <v>81431.961035221175</v>
      </c>
      <c r="L173" s="122">
        <f>('ESTADO RESULTADOS'!$C$36+'ESTADO RESULTADOS'!$C$71)/1375</f>
        <v>24762.287272727273</v>
      </c>
      <c r="M173" s="122">
        <v>0</v>
      </c>
      <c r="N173" s="122">
        <f>SUM(E173+K173+L173+M173)</f>
        <v>118194.24830794845</v>
      </c>
      <c r="O173" s="122">
        <f>N173</f>
        <v>118194.24830794845</v>
      </c>
      <c r="P173" s="336">
        <f t="shared" si="31"/>
        <v>-118194.24830794845</v>
      </c>
      <c r="Q173" s="336">
        <f t="shared" si="32"/>
        <v>106194.24830794845</v>
      </c>
      <c r="R173" s="303">
        <f t="shared" si="33"/>
        <v>8.8495206923290368</v>
      </c>
    </row>
    <row r="174" spans="1:18" x14ac:dyDescent="0.3">
      <c r="A174" s="2">
        <v>307</v>
      </c>
      <c r="B174" s="41" t="s">
        <v>157</v>
      </c>
      <c r="C174" s="2">
        <v>14</v>
      </c>
      <c r="D174" s="2" t="s">
        <v>59</v>
      </c>
      <c r="E174" s="294">
        <v>7466</v>
      </c>
      <c r="F174" s="296">
        <v>8500</v>
      </c>
      <c r="G174" s="352">
        <v>7</v>
      </c>
      <c r="H174" s="296">
        <f t="shared" si="28"/>
        <v>52262</v>
      </c>
      <c r="I174" s="122">
        <f t="shared" si="29"/>
        <v>59500</v>
      </c>
      <c r="J174" s="331">
        <f t="shared" si="30"/>
        <v>7238</v>
      </c>
      <c r="K174" s="292">
        <f>'09-RESUMEN'!$F$43/1375</f>
        <v>81431.961035221175</v>
      </c>
      <c r="L174" s="122">
        <f>('ESTADO RESULTADOS'!$C$36+'ESTADO RESULTADOS'!$C$71)/1375</f>
        <v>24762.287272727273</v>
      </c>
      <c r="M174" s="122">
        <v>0</v>
      </c>
      <c r="N174" s="122">
        <f t="shared" ref="N174:N185" si="38">SUM(H174+K174+L174+M174)</f>
        <v>158456.24830794844</v>
      </c>
      <c r="O174" s="122">
        <f t="shared" ref="O174:O185" si="39">N174/G174</f>
        <v>22636.606901135492</v>
      </c>
      <c r="P174" s="336">
        <f t="shared" si="31"/>
        <v>-98956.248307948437</v>
      </c>
      <c r="Q174" s="336">
        <f t="shared" si="32"/>
        <v>15170.606901135492</v>
      </c>
      <c r="R174" s="303">
        <f t="shared" si="33"/>
        <v>2.0319591348962618</v>
      </c>
    </row>
    <row r="175" spans="1:18" x14ac:dyDescent="0.3">
      <c r="A175" s="2">
        <v>311</v>
      </c>
      <c r="B175" s="41" t="s">
        <v>158</v>
      </c>
      <c r="C175" s="2">
        <v>2</v>
      </c>
      <c r="D175" s="2" t="s">
        <v>5</v>
      </c>
      <c r="E175" s="294">
        <v>1749.6121000000001</v>
      </c>
      <c r="F175" s="296">
        <v>2083.3333333333335</v>
      </c>
      <c r="G175" s="352">
        <v>1221</v>
      </c>
      <c r="H175" s="296">
        <f t="shared" si="28"/>
        <v>2136276.3741000001</v>
      </c>
      <c r="I175" s="122">
        <f t="shared" si="29"/>
        <v>2543750</v>
      </c>
      <c r="J175" s="331">
        <f t="shared" si="30"/>
        <v>407473.62589999987</v>
      </c>
      <c r="K175" s="292">
        <f>'09-RESUMEN'!$F$43/1375</f>
        <v>81431.961035221175</v>
      </c>
      <c r="L175" s="122">
        <f>('ESTADO RESULTADOS'!$C$36+'ESTADO RESULTADOS'!$C$71)/1375</f>
        <v>24762.287272727273</v>
      </c>
      <c r="M175" s="122">
        <v>0</v>
      </c>
      <c r="N175" s="122">
        <f t="shared" si="38"/>
        <v>2242470.6224079486</v>
      </c>
      <c r="O175" s="122">
        <f t="shared" si="39"/>
        <v>1836.5852763373862</v>
      </c>
      <c r="P175" s="336">
        <f t="shared" si="31"/>
        <v>301279.3775920514</v>
      </c>
      <c r="Q175" s="336">
        <f t="shared" si="32"/>
        <v>86.973176337386121</v>
      </c>
      <c r="R175" s="303">
        <f t="shared" si="33"/>
        <v>4.9709976478435489E-2</v>
      </c>
    </row>
    <row r="176" spans="1:18" x14ac:dyDescent="0.3">
      <c r="A176" s="2">
        <v>312</v>
      </c>
      <c r="B176" s="41" t="s">
        <v>159</v>
      </c>
      <c r="C176" s="2">
        <v>7</v>
      </c>
      <c r="D176" s="2" t="s">
        <v>160</v>
      </c>
      <c r="E176" s="294">
        <v>2420</v>
      </c>
      <c r="F176" s="296">
        <v>3383.3333333333335</v>
      </c>
      <c r="G176" s="352">
        <v>5</v>
      </c>
      <c r="H176" s="296">
        <f t="shared" si="28"/>
        <v>12100</v>
      </c>
      <c r="I176" s="122">
        <f t="shared" si="29"/>
        <v>16916.666666666668</v>
      </c>
      <c r="J176" s="331">
        <f t="shared" si="30"/>
        <v>4816.6666666666679</v>
      </c>
      <c r="K176" s="292">
        <f>'09-RESUMEN'!$F$43/1375</f>
        <v>81431.961035221175</v>
      </c>
      <c r="L176" s="122">
        <f>('ESTADO RESULTADOS'!$C$36+'ESTADO RESULTADOS'!$C$71)/1375</f>
        <v>24762.287272727273</v>
      </c>
      <c r="M176" s="122">
        <v>0</v>
      </c>
      <c r="N176" s="122">
        <f t="shared" si="38"/>
        <v>118294.24830794845</v>
      </c>
      <c r="O176" s="122">
        <f t="shared" si="39"/>
        <v>23658.849661589691</v>
      </c>
      <c r="P176" s="336">
        <f t="shared" si="31"/>
        <v>-101377.58164128178</v>
      </c>
      <c r="Q176" s="336">
        <f t="shared" si="32"/>
        <v>21238.849661589691</v>
      </c>
      <c r="R176" s="303">
        <f t="shared" si="33"/>
        <v>8.7763841576816901</v>
      </c>
    </row>
    <row r="177" spans="1:18" x14ac:dyDescent="0.3">
      <c r="A177" s="2">
        <v>315</v>
      </c>
      <c r="B177" s="41" t="s">
        <v>161</v>
      </c>
      <c r="C177" s="2">
        <v>14</v>
      </c>
      <c r="D177" s="2" t="s">
        <v>81</v>
      </c>
      <c r="E177" s="294">
        <v>11333</v>
      </c>
      <c r="F177" s="296">
        <v>14200</v>
      </c>
      <c r="G177" s="352">
        <v>6</v>
      </c>
      <c r="H177" s="296">
        <f t="shared" si="28"/>
        <v>67998</v>
      </c>
      <c r="I177" s="122">
        <f t="shared" si="29"/>
        <v>85200</v>
      </c>
      <c r="J177" s="331">
        <f t="shared" si="30"/>
        <v>17202</v>
      </c>
      <c r="K177" s="292">
        <f>'09-RESUMEN'!$F$43/1375</f>
        <v>81431.961035221175</v>
      </c>
      <c r="L177" s="122">
        <f>('ESTADO RESULTADOS'!$C$36+'ESTADO RESULTADOS'!$C$71)/1375</f>
        <v>24762.287272727273</v>
      </c>
      <c r="M177" s="122">
        <v>0</v>
      </c>
      <c r="N177" s="122">
        <f t="shared" si="38"/>
        <v>174192.24830794844</v>
      </c>
      <c r="O177" s="122">
        <f t="shared" si="39"/>
        <v>29032.041384658074</v>
      </c>
      <c r="P177" s="336">
        <f t="shared" si="31"/>
        <v>-88992.248307948437</v>
      </c>
      <c r="Q177" s="336">
        <f t="shared" si="32"/>
        <v>17699.041384658074</v>
      </c>
      <c r="R177" s="303">
        <f t="shared" si="33"/>
        <v>1.5617260552949859</v>
      </c>
    </row>
    <row r="178" spans="1:18" x14ac:dyDescent="0.3">
      <c r="A178" s="2">
        <v>316</v>
      </c>
      <c r="B178" s="41" t="s">
        <v>162</v>
      </c>
      <c r="C178" s="2">
        <v>9</v>
      </c>
      <c r="D178" s="2" t="s">
        <v>12</v>
      </c>
      <c r="E178" s="294">
        <v>9855.58</v>
      </c>
      <c r="F178" s="296">
        <v>12733.333333333334</v>
      </c>
      <c r="G178" s="352">
        <v>21</v>
      </c>
      <c r="H178" s="296">
        <f t="shared" si="28"/>
        <v>206967.18</v>
      </c>
      <c r="I178" s="122">
        <f t="shared" si="29"/>
        <v>267400</v>
      </c>
      <c r="J178" s="331">
        <f t="shared" si="30"/>
        <v>60432.820000000007</v>
      </c>
      <c r="K178" s="292">
        <f>'09-RESUMEN'!$F$43/1375</f>
        <v>81431.961035221175</v>
      </c>
      <c r="L178" s="122">
        <f>('ESTADO RESULTADOS'!$C$36+'ESTADO RESULTADOS'!$C$71)/1375</f>
        <v>24762.287272727273</v>
      </c>
      <c r="M178" s="122">
        <v>0</v>
      </c>
      <c r="N178" s="122">
        <f t="shared" si="38"/>
        <v>313161.42830794846</v>
      </c>
      <c r="O178" s="122">
        <f t="shared" si="39"/>
        <v>14912.448967045164</v>
      </c>
      <c r="P178" s="336">
        <f t="shared" si="31"/>
        <v>-45761.428307948459</v>
      </c>
      <c r="Q178" s="336">
        <f t="shared" si="32"/>
        <v>5056.868967045164</v>
      </c>
      <c r="R178" s="303">
        <f t="shared" si="33"/>
        <v>0.51309704421709978</v>
      </c>
    </row>
    <row r="179" spans="1:18" x14ac:dyDescent="0.3">
      <c r="A179" s="2">
        <v>317</v>
      </c>
      <c r="B179" s="41" t="s">
        <v>163</v>
      </c>
      <c r="C179" s="2">
        <v>9</v>
      </c>
      <c r="D179" s="2" t="s">
        <v>12</v>
      </c>
      <c r="E179" s="294">
        <v>13400.59</v>
      </c>
      <c r="F179" s="296">
        <v>15000</v>
      </c>
      <c r="G179" s="352">
        <v>45</v>
      </c>
      <c r="H179" s="296">
        <f t="shared" si="28"/>
        <v>603026.55000000005</v>
      </c>
      <c r="I179" s="122">
        <f t="shared" si="29"/>
        <v>675000</v>
      </c>
      <c r="J179" s="331">
        <f t="shared" si="30"/>
        <v>71973.449999999953</v>
      </c>
      <c r="K179" s="292">
        <f>'09-RESUMEN'!$F$43/1375</f>
        <v>81431.961035221175</v>
      </c>
      <c r="L179" s="122">
        <f>('ESTADO RESULTADOS'!$C$36+'ESTADO RESULTADOS'!$C$71)/1375</f>
        <v>24762.287272727273</v>
      </c>
      <c r="M179" s="122">
        <v>0</v>
      </c>
      <c r="N179" s="122">
        <f t="shared" si="38"/>
        <v>709220.7983079484</v>
      </c>
      <c r="O179" s="122">
        <f t="shared" si="39"/>
        <v>15760.462184621076</v>
      </c>
      <c r="P179" s="336">
        <f t="shared" si="31"/>
        <v>-34220.798307948397</v>
      </c>
      <c r="Q179" s="336">
        <f t="shared" si="32"/>
        <v>2359.8721846210756</v>
      </c>
      <c r="R179" s="303">
        <f t="shared" si="33"/>
        <v>0.17610211077430737</v>
      </c>
    </row>
    <row r="180" spans="1:18" x14ac:dyDescent="0.3">
      <c r="A180" s="2">
        <v>319</v>
      </c>
      <c r="B180" s="41" t="s">
        <v>164</v>
      </c>
      <c r="C180" s="2">
        <v>5</v>
      </c>
      <c r="D180" s="2" t="s">
        <v>35</v>
      </c>
      <c r="E180" s="294">
        <v>14700</v>
      </c>
      <c r="F180" s="296">
        <v>18500</v>
      </c>
      <c r="G180" s="352">
        <v>10</v>
      </c>
      <c r="H180" s="296">
        <f t="shared" si="28"/>
        <v>147000</v>
      </c>
      <c r="I180" s="122">
        <f t="shared" si="29"/>
        <v>185000</v>
      </c>
      <c r="J180" s="331">
        <f t="shared" si="30"/>
        <v>38000</v>
      </c>
      <c r="K180" s="292">
        <f>'09-RESUMEN'!$F$43/1375</f>
        <v>81431.961035221175</v>
      </c>
      <c r="L180" s="122">
        <f>('ESTADO RESULTADOS'!$C$36+'ESTADO RESULTADOS'!$C$71)/1375</f>
        <v>24762.287272727273</v>
      </c>
      <c r="M180" s="122">
        <v>0</v>
      </c>
      <c r="N180" s="122">
        <f t="shared" si="38"/>
        <v>253194.24830794844</v>
      </c>
      <c r="O180" s="122">
        <f t="shared" si="39"/>
        <v>25319.424830794844</v>
      </c>
      <c r="P180" s="336">
        <f t="shared" si="31"/>
        <v>-68194.248307948437</v>
      </c>
      <c r="Q180" s="336">
        <f t="shared" si="32"/>
        <v>10619.424830794844</v>
      </c>
      <c r="R180" s="303">
        <f t="shared" si="33"/>
        <v>0.72240985243502343</v>
      </c>
    </row>
    <row r="181" spans="1:18" x14ac:dyDescent="0.3">
      <c r="A181" s="2">
        <v>327</v>
      </c>
      <c r="B181" s="41" t="s">
        <v>165</v>
      </c>
      <c r="C181" s="2">
        <v>14</v>
      </c>
      <c r="D181" s="2" t="s">
        <v>32</v>
      </c>
      <c r="E181" s="294">
        <v>39528</v>
      </c>
      <c r="F181" s="296">
        <v>45200</v>
      </c>
      <c r="G181" s="352">
        <v>3</v>
      </c>
      <c r="H181" s="296">
        <f t="shared" si="28"/>
        <v>118584</v>
      </c>
      <c r="I181" s="122">
        <f t="shared" si="29"/>
        <v>135600</v>
      </c>
      <c r="J181" s="331">
        <f t="shared" si="30"/>
        <v>17016</v>
      </c>
      <c r="K181" s="292">
        <f>'09-RESUMEN'!$F$43/1375</f>
        <v>81431.961035221175</v>
      </c>
      <c r="L181" s="122">
        <f>('ESTADO RESULTADOS'!$C$36+'ESTADO RESULTADOS'!$C$71)/1375</f>
        <v>24762.287272727273</v>
      </c>
      <c r="M181" s="122">
        <v>0</v>
      </c>
      <c r="N181" s="122">
        <f t="shared" si="38"/>
        <v>224778.24830794844</v>
      </c>
      <c r="O181" s="122">
        <f t="shared" si="39"/>
        <v>74926.082769316141</v>
      </c>
      <c r="P181" s="336">
        <f t="shared" si="31"/>
        <v>-89178.248307948437</v>
      </c>
      <c r="Q181" s="336">
        <f t="shared" si="32"/>
        <v>35398.082769316141</v>
      </c>
      <c r="R181" s="303">
        <f t="shared" si="33"/>
        <v>0.89551919574266703</v>
      </c>
    </row>
    <row r="182" spans="1:18" x14ac:dyDescent="0.3">
      <c r="A182" s="2">
        <v>328</v>
      </c>
      <c r="B182" s="41" t="s">
        <v>166</v>
      </c>
      <c r="C182" s="2">
        <v>14</v>
      </c>
      <c r="D182" s="2" t="s">
        <v>100</v>
      </c>
      <c r="E182" s="294">
        <v>12423</v>
      </c>
      <c r="F182" s="296">
        <v>13600</v>
      </c>
      <c r="G182" s="352">
        <v>16</v>
      </c>
      <c r="H182" s="296">
        <f t="shared" si="28"/>
        <v>198768</v>
      </c>
      <c r="I182" s="122">
        <f t="shared" si="29"/>
        <v>217600</v>
      </c>
      <c r="J182" s="331">
        <f t="shared" si="30"/>
        <v>18832</v>
      </c>
      <c r="K182" s="292">
        <f>'09-RESUMEN'!$F$43/1375</f>
        <v>81431.961035221175</v>
      </c>
      <c r="L182" s="122">
        <f>('ESTADO RESULTADOS'!$C$36+'ESTADO RESULTADOS'!$C$71)/1375</f>
        <v>24762.287272727273</v>
      </c>
      <c r="M182" s="122">
        <v>0</v>
      </c>
      <c r="N182" s="122">
        <f t="shared" si="38"/>
        <v>304962.24830794847</v>
      </c>
      <c r="O182" s="122">
        <f t="shared" si="39"/>
        <v>19060.140519246779</v>
      </c>
      <c r="P182" s="336">
        <f t="shared" si="31"/>
        <v>-87362.248307948466</v>
      </c>
      <c r="Q182" s="336">
        <f t="shared" si="32"/>
        <v>6637.1405192467791</v>
      </c>
      <c r="R182" s="303">
        <f t="shared" si="33"/>
        <v>0.53426229729105523</v>
      </c>
    </row>
    <row r="183" spans="1:18" x14ac:dyDescent="0.3">
      <c r="A183" s="2">
        <v>330</v>
      </c>
      <c r="B183" s="41" t="s">
        <v>167</v>
      </c>
      <c r="C183" s="2">
        <v>13</v>
      </c>
      <c r="D183" s="2" t="s">
        <v>12</v>
      </c>
      <c r="E183" s="294">
        <v>179640.1152</v>
      </c>
      <c r="F183" s="296">
        <v>230000</v>
      </c>
      <c r="G183" s="352">
        <v>2</v>
      </c>
      <c r="H183" s="296">
        <f t="shared" si="28"/>
        <v>359280.2304</v>
      </c>
      <c r="I183" s="122">
        <f t="shared" si="29"/>
        <v>460000</v>
      </c>
      <c r="J183" s="331">
        <f t="shared" si="30"/>
        <v>100719.7696</v>
      </c>
      <c r="K183" s="292">
        <f>'09-RESUMEN'!$F$43/1375</f>
        <v>81431.961035221175</v>
      </c>
      <c r="L183" s="122">
        <f>('ESTADO RESULTADOS'!$C$36+'ESTADO RESULTADOS'!$C$71)/1375</f>
        <v>24762.287272727273</v>
      </c>
      <c r="M183" s="122">
        <v>0</v>
      </c>
      <c r="N183" s="122">
        <f t="shared" si="38"/>
        <v>465474.47870794847</v>
      </c>
      <c r="O183" s="122">
        <f t="shared" si="39"/>
        <v>232737.23935397423</v>
      </c>
      <c r="P183" s="336">
        <f t="shared" si="31"/>
        <v>-5474.4787079484668</v>
      </c>
      <c r="Q183" s="336">
        <f t="shared" si="32"/>
        <v>53097.124153974233</v>
      </c>
      <c r="R183" s="303">
        <f t="shared" si="33"/>
        <v>0.29557498387739972</v>
      </c>
    </row>
    <row r="184" spans="1:18" x14ac:dyDescent="0.3">
      <c r="A184" s="2">
        <v>333</v>
      </c>
      <c r="B184" s="41" t="s">
        <v>168</v>
      </c>
      <c r="C184" s="2">
        <v>6</v>
      </c>
      <c r="D184" s="2" t="s">
        <v>12</v>
      </c>
      <c r="E184" s="294">
        <v>20427</v>
      </c>
      <c r="F184" s="296">
        <v>24833.333333333332</v>
      </c>
      <c r="G184" s="352">
        <v>10</v>
      </c>
      <c r="H184" s="296">
        <f t="shared" si="28"/>
        <v>204270</v>
      </c>
      <c r="I184" s="122">
        <f t="shared" si="29"/>
        <v>248333.33333333331</v>
      </c>
      <c r="J184" s="331">
        <f t="shared" si="30"/>
        <v>44063.333333333314</v>
      </c>
      <c r="K184" s="292">
        <f>'09-RESUMEN'!$F$43/1375</f>
        <v>81431.961035221175</v>
      </c>
      <c r="L184" s="122">
        <f>('ESTADO RESULTADOS'!$C$36+'ESTADO RESULTADOS'!$C$71)/1375</f>
        <v>24762.287272727273</v>
      </c>
      <c r="M184" s="122">
        <v>0</v>
      </c>
      <c r="N184" s="122">
        <f t="shared" si="38"/>
        <v>310464.24830794847</v>
      </c>
      <c r="O184" s="122">
        <f t="shared" si="39"/>
        <v>31046.424830794847</v>
      </c>
      <c r="P184" s="336">
        <f t="shared" si="31"/>
        <v>-62130.914974615152</v>
      </c>
      <c r="Q184" s="336">
        <f t="shared" si="32"/>
        <v>10619.424830794847</v>
      </c>
      <c r="R184" s="303">
        <f t="shared" si="33"/>
        <v>0.5198719748761369</v>
      </c>
    </row>
    <row r="185" spans="1:18" x14ac:dyDescent="0.3">
      <c r="A185" s="2">
        <v>334</v>
      </c>
      <c r="B185" s="41" t="s">
        <v>169</v>
      </c>
      <c r="C185" s="2">
        <v>6</v>
      </c>
      <c r="D185" s="2" t="s">
        <v>16</v>
      </c>
      <c r="E185" s="294">
        <v>181625.71</v>
      </c>
      <c r="F185" s="296">
        <v>208833.33333333334</v>
      </c>
      <c r="G185" s="352">
        <v>2</v>
      </c>
      <c r="H185" s="296">
        <f t="shared" si="28"/>
        <v>363251.42</v>
      </c>
      <c r="I185" s="122">
        <f t="shared" si="29"/>
        <v>417666.66666666669</v>
      </c>
      <c r="J185" s="331">
        <f t="shared" si="30"/>
        <v>54415.246666666702</v>
      </c>
      <c r="K185" s="292">
        <f>'09-RESUMEN'!$F$43/1375</f>
        <v>81431.961035221175</v>
      </c>
      <c r="L185" s="122">
        <f>('ESTADO RESULTADOS'!$C$36+'ESTADO RESULTADOS'!$C$71)/1375</f>
        <v>24762.287272727273</v>
      </c>
      <c r="M185" s="122">
        <v>0</v>
      </c>
      <c r="N185" s="122">
        <f t="shared" si="38"/>
        <v>469445.66830794845</v>
      </c>
      <c r="O185" s="122">
        <f t="shared" si="39"/>
        <v>234722.83415397423</v>
      </c>
      <c r="P185" s="336">
        <f t="shared" si="31"/>
        <v>-51779.001641281764</v>
      </c>
      <c r="Q185" s="336">
        <f t="shared" si="32"/>
        <v>53097.124153974233</v>
      </c>
      <c r="R185" s="303">
        <f t="shared" si="33"/>
        <v>0.29234365637978366</v>
      </c>
    </row>
    <row r="186" spans="1:18" x14ac:dyDescent="0.3">
      <c r="A186" s="2">
        <v>338</v>
      </c>
      <c r="B186" s="41" t="s">
        <v>1624</v>
      </c>
      <c r="C186" s="2">
        <v>14</v>
      </c>
      <c r="D186" s="2" t="s">
        <v>12</v>
      </c>
      <c r="E186" s="294">
        <v>8250</v>
      </c>
      <c r="F186" s="296">
        <v>9300</v>
      </c>
      <c r="G186" s="352">
        <v>0</v>
      </c>
      <c r="H186" s="296">
        <f t="shared" si="28"/>
        <v>0</v>
      </c>
      <c r="I186" s="122">
        <f t="shared" si="29"/>
        <v>0</v>
      </c>
      <c r="J186" s="331">
        <f t="shared" si="30"/>
        <v>0</v>
      </c>
      <c r="K186" s="292">
        <f>'09-RESUMEN'!$F$43/1375</f>
        <v>81431.961035221175</v>
      </c>
      <c r="L186" s="122">
        <f>('ESTADO RESULTADOS'!$C$36+'ESTADO RESULTADOS'!$C$71)/1375</f>
        <v>24762.287272727273</v>
      </c>
      <c r="M186" s="122">
        <v>0</v>
      </c>
      <c r="N186" s="122">
        <f>SUM(E186+K186+L186+M186)</f>
        <v>114444.24830794845</v>
      </c>
      <c r="O186" s="122">
        <f>N186</f>
        <v>114444.24830794845</v>
      </c>
      <c r="P186" s="336">
        <f t="shared" si="31"/>
        <v>-114444.24830794845</v>
      </c>
      <c r="Q186" s="336">
        <f t="shared" si="32"/>
        <v>106194.24830794845</v>
      </c>
      <c r="R186" s="303">
        <f t="shared" si="33"/>
        <v>12.872030097933147</v>
      </c>
    </row>
    <row r="187" spans="1:18" x14ac:dyDescent="0.3">
      <c r="A187" s="2">
        <v>339</v>
      </c>
      <c r="B187" s="41" t="s">
        <v>170</v>
      </c>
      <c r="C187" s="2">
        <v>14</v>
      </c>
      <c r="D187" s="2" t="s">
        <v>12</v>
      </c>
      <c r="E187" s="294">
        <v>8618</v>
      </c>
      <c r="F187" s="296">
        <v>10000</v>
      </c>
      <c r="G187" s="352">
        <v>52</v>
      </c>
      <c r="H187" s="296">
        <f t="shared" si="28"/>
        <v>448136</v>
      </c>
      <c r="I187" s="122">
        <f t="shared" si="29"/>
        <v>520000</v>
      </c>
      <c r="J187" s="331">
        <f t="shared" si="30"/>
        <v>71864</v>
      </c>
      <c r="K187" s="292">
        <f>'09-RESUMEN'!$F$43/1375</f>
        <v>81431.961035221175</v>
      </c>
      <c r="L187" s="122">
        <f>('ESTADO RESULTADOS'!$C$36+'ESTADO RESULTADOS'!$C$71)/1375</f>
        <v>24762.287272727273</v>
      </c>
      <c r="M187" s="122">
        <v>0</v>
      </c>
      <c r="N187" s="122">
        <f>SUM(H187+K187+L187+M187)</f>
        <v>554330.24830794835</v>
      </c>
      <c r="O187" s="122">
        <f>N187/G187</f>
        <v>10660.197082845161</v>
      </c>
      <c r="P187" s="336">
        <f t="shared" si="31"/>
        <v>-34330.24830794835</v>
      </c>
      <c r="Q187" s="336">
        <f t="shared" si="32"/>
        <v>2042.1970828451613</v>
      </c>
      <c r="R187" s="303">
        <f t="shared" si="33"/>
        <v>0.23696879587435152</v>
      </c>
    </row>
    <row r="188" spans="1:18" x14ac:dyDescent="0.3">
      <c r="A188" s="2">
        <v>340</v>
      </c>
      <c r="B188" s="41" t="s">
        <v>1625</v>
      </c>
      <c r="C188" s="2">
        <v>14</v>
      </c>
      <c r="D188" s="2" t="s">
        <v>12</v>
      </c>
      <c r="E188" s="294">
        <v>5593</v>
      </c>
      <c r="F188" s="296">
        <v>6800</v>
      </c>
      <c r="G188" s="352">
        <v>1</v>
      </c>
      <c r="H188" s="296">
        <f t="shared" si="28"/>
        <v>5593</v>
      </c>
      <c r="I188" s="122">
        <f t="shared" si="29"/>
        <v>6800</v>
      </c>
      <c r="J188" s="331">
        <f t="shared" si="30"/>
        <v>1207</v>
      </c>
      <c r="K188" s="292">
        <f>'09-RESUMEN'!$F$43/1375</f>
        <v>81431.961035221175</v>
      </c>
      <c r="L188" s="122">
        <f>('ESTADO RESULTADOS'!$C$36+'ESTADO RESULTADOS'!$C$71)/1375</f>
        <v>24762.287272727273</v>
      </c>
      <c r="M188" s="122">
        <v>0</v>
      </c>
      <c r="N188" s="122">
        <f>SUM(H188+K188+L188+M188)</f>
        <v>111787.24830794845</v>
      </c>
      <c r="O188" s="122">
        <f>N188/G188</f>
        <v>111787.24830794845</v>
      </c>
      <c r="P188" s="336">
        <f t="shared" si="31"/>
        <v>-104987.24830794845</v>
      </c>
      <c r="Q188" s="336">
        <f t="shared" si="32"/>
        <v>106194.24830794845</v>
      </c>
      <c r="R188" s="303">
        <f t="shared" si="33"/>
        <v>18.986992366877963</v>
      </c>
    </row>
    <row r="189" spans="1:18" x14ac:dyDescent="0.3">
      <c r="A189" s="2">
        <v>342</v>
      </c>
      <c r="B189" s="41" t="s">
        <v>171</v>
      </c>
      <c r="C189" s="2">
        <v>10</v>
      </c>
      <c r="D189" s="2" t="s">
        <v>12</v>
      </c>
      <c r="E189" s="294">
        <v>452.2</v>
      </c>
      <c r="F189" s="296">
        <v>550</v>
      </c>
      <c r="G189" s="352">
        <v>77</v>
      </c>
      <c r="H189" s="296">
        <f t="shared" si="28"/>
        <v>34819.4</v>
      </c>
      <c r="I189" s="122">
        <f t="shared" si="29"/>
        <v>42350</v>
      </c>
      <c r="J189" s="331">
        <f t="shared" si="30"/>
        <v>7530.5999999999985</v>
      </c>
      <c r="K189" s="292">
        <f>'09-RESUMEN'!$F$43/1375</f>
        <v>81431.961035221175</v>
      </c>
      <c r="L189" s="122">
        <f>('ESTADO RESULTADOS'!$C$36+'ESTADO RESULTADOS'!$C$71)/1375</f>
        <v>24762.287272727273</v>
      </c>
      <c r="M189" s="122">
        <v>0</v>
      </c>
      <c r="N189" s="122">
        <f>SUM(H189+K189+L189+M189)</f>
        <v>141013.64830794843</v>
      </c>
      <c r="O189" s="122">
        <f>N189/G189</f>
        <v>1831.3460819214083</v>
      </c>
      <c r="P189" s="336">
        <f t="shared" si="31"/>
        <v>-98663.648307948431</v>
      </c>
      <c r="Q189" s="336">
        <f t="shared" si="32"/>
        <v>1379.1460819214083</v>
      </c>
      <c r="R189" s="303">
        <f t="shared" si="33"/>
        <v>3.0498586508655645</v>
      </c>
    </row>
    <row r="190" spans="1:18" x14ac:dyDescent="0.3">
      <c r="A190" s="2">
        <v>343</v>
      </c>
      <c r="B190" s="41" t="s">
        <v>172</v>
      </c>
      <c r="C190" s="2">
        <v>10</v>
      </c>
      <c r="D190" s="2" t="s">
        <v>12</v>
      </c>
      <c r="E190" s="294">
        <v>248.42</v>
      </c>
      <c r="F190" s="296">
        <v>450</v>
      </c>
      <c r="G190" s="352">
        <v>187</v>
      </c>
      <c r="H190" s="296">
        <f t="shared" si="28"/>
        <v>46454.54</v>
      </c>
      <c r="I190" s="122">
        <f t="shared" si="29"/>
        <v>84150</v>
      </c>
      <c r="J190" s="331">
        <f t="shared" si="30"/>
        <v>37695.46</v>
      </c>
      <c r="K190" s="292">
        <f>'09-RESUMEN'!$F$43/1375</f>
        <v>81431.961035221175</v>
      </c>
      <c r="L190" s="122">
        <f>('ESTADO RESULTADOS'!$C$36+'ESTADO RESULTADOS'!$C$71)/1375</f>
        <v>24762.287272727273</v>
      </c>
      <c r="M190" s="122">
        <v>0</v>
      </c>
      <c r="N190" s="122">
        <f>SUM(H190+K190+L190+M190)</f>
        <v>152648.78830794845</v>
      </c>
      <c r="O190" s="122">
        <f>N190/G190</f>
        <v>816.30368079116818</v>
      </c>
      <c r="P190" s="336">
        <f t="shared" si="31"/>
        <v>-68498.788307948445</v>
      </c>
      <c r="Q190" s="336">
        <f t="shared" si="32"/>
        <v>567.88368079116822</v>
      </c>
      <c r="R190" s="303">
        <f t="shared" si="33"/>
        <v>2.2859821302277119</v>
      </c>
    </row>
    <row r="191" spans="1:18" x14ac:dyDescent="0.3">
      <c r="A191" s="2">
        <v>344</v>
      </c>
      <c r="B191" s="41" t="s">
        <v>173</v>
      </c>
      <c r="C191" s="2">
        <v>16</v>
      </c>
      <c r="D191" s="2" t="s">
        <v>12</v>
      </c>
      <c r="E191" s="294">
        <v>368.9</v>
      </c>
      <c r="F191" s="296">
        <v>500</v>
      </c>
      <c r="G191" s="352">
        <v>50</v>
      </c>
      <c r="H191" s="296">
        <f t="shared" si="28"/>
        <v>18445</v>
      </c>
      <c r="I191" s="122">
        <f t="shared" si="29"/>
        <v>25000</v>
      </c>
      <c r="J191" s="331">
        <f t="shared" si="30"/>
        <v>6555</v>
      </c>
      <c r="K191" s="292">
        <f>'09-RESUMEN'!$F$43/1375</f>
        <v>81431.961035221175</v>
      </c>
      <c r="L191" s="122">
        <f>('ESTADO RESULTADOS'!$C$36+'ESTADO RESULTADOS'!$C$71)/1375</f>
        <v>24762.287272727273</v>
      </c>
      <c r="M191" s="122">
        <v>0</v>
      </c>
      <c r="N191" s="122">
        <f>SUM(H191+K191+L191+M191)</f>
        <v>124639.24830794845</v>
      </c>
      <c r="O191" s="122">
        <f>N191/G191</f>
        <v>2492.7849661589689</v>
      </c>
      <c r="P191" s="336">
        <f t="shared" si="31"/>
        <v>-99639.248307948452</v>
      </c>
      <c r="Q191" s="336">
        <f t="shared" si="32"/>
        <v>2123.8849661589688</v>
      </c>
      <c r="R191" s="303">
        <f t="shared" si="33"/>
        <v>5.7573460725371888</v>
      </c>
    </row>
    <row r="192" spans="1:18" x14ac:dyDescent="0.3">
      <c r="A192" s="2">
        <v>345</v>
      </c>
      <c r="B192" s="41" t="s">
        <v>174</v>
      </c>
      <c r="C192" s="2">
        <v>10</v>
      </c>
      <c r="D192" s="2" t="s">
        <v>12</v>
      </c>
      <c r="E192" s="294">
        <v>23566</v>
      </c>
      <c r="F192" s="296">
        <v>30000</v>
      </c>
      <c r="G192" s="352">
        <v>0</v>
      </c>
      <c r="H192" s="296">
        <f t="shared" si="28"/>
        <v>0</v>
      </c>
      <c r="I192" s="122">
        <f t="shared" si="29"/>
        <v>0</v>
      </c>
      <c r="J192" s="331">
        <f t="shared" si="30"/>
        <v>0</v>
      </c>
      <c r="K192" s="292">
        <f>'09-RESUMEN'!$F$43/1375</f>
        <v>81431.961035221175</v>
      </c>
      <c r="L192" s="122">
        <f>('ESTADO RESULTADOS'!$C$36+'ESTADO RESULTADOS'!$C$71)/1375</f>
        <v>24762.287272727273</v>
      </c>
      <c r="M192" s="122">
        <v>0</v>
      </c>
      <c r="N192" s="122">
        <f>SUM(E192+K192+L192+M192)</f>
        <v>129760.24830794845</v>
      </c>
      <c r="O192" s="122">
        <f>N192</f>
        <v>129760.24830794845</v>
      </c>
      <c r="P192" s="336">
        <f t="shared" si="31"/>
        <v>-129760.24830794845</v>
      </c>
      <c r="Q192" s="336">
        <f t="shared" si="32"/>
        <v>106194.24830794845</v>
      </c>
      <c r="R192" s="303">
        <f t="shared" si="33"/>
        <v>4.5062483369238926</v>
      </c>
    </row>
    <row r="193" spans="1:18" x14ac:dyDescent="0.3">
      <c r="A193" s="2">
        <v>353</v>
      </c>
      <c r="B193" s="41" t="s">
        <v>175</v>
      </c>
      <c r="C193" s="2">
        <v>14</v>
      </c>
      <c r="D193" s="2" t="s">
        <v>176</v>
      </c>
      <c r="E193" s="294">
        <v>12361.6</v>
      </c>
      <c r="F193" s="296">
        <v>14516.666666666666</v>
      </c>
      <c r="G193" s="352">
        <v>9</v>
      </c>
      <c r="H193" s="296">
        <f t="shared" si="28"/>
        <v>111254.40000000001</v>
      </c>
      <c r="I193" s="122">
        <f t="shared" si="29"/>
        <v>130650</v>
      </c>
      <c r="J193" s="331">
        <f t="shared" si="30"/>
        <v>19395.599999999991</v>
      </c>
      <c r="K193" s="292">
        <f>'09-RESUMEN'!$F$43/1375</f>
        <v>81431.961035221175</v>
      </c>
      <c r="L193" s="122">
        <f>('ESTADO RESULTADOS'!$C$36+'ESTADO RESULTADOS'!$C$71)/1375</f>
        <v>24762.287272727273</v>
      </c>
      <c r="M193" s="122">
        <v>0</v>
      </c>
      <c r="N193" s="122">
        <f t="shared" ref="N193:N206" si="40">SUM(H193+K193+L193+M193)</f>
        <v>217448.64830794846</v>
      </c>
      <c r="O193" s="122">
        <f t="shared" ref="O193:O206" si="41">N193/G193</f>
        <v>24160.960923105384</v>
      </c>
      <c r="P193" s="336">
        <f t="shared" si="31"/>
        <v>-86798.648307948461</v>
      </c>
      <c r="Q193" s="336">
        <f t="shared" si="32"/>
        <v>11799.360923105383</v>
      </c>
      <c r="R193" s="303">
        <f t="shared" si="33"/>
        <v>0.95451728927528656</v>
      </c>
    </row>
    <row r="194" spans="1:18" x14ac:dyDescent="0.3">
      <c r="A194" s="2">
        <v>355</v>
      </c>
      <c r="B194" s="41" t="s">
        <v>177</v>
      </c>
      <c r="C194" s="2">
        <v>1</v>
      </c>
      <c r="D194" s="2" t="s">
        <v>178</v>
      </c>
      <c r="E194" s="321">
        <v>220000</v>
      </c>
      <c r="F194" s="322">
        <v>244000</v>
      </c>
      <c r="G194" s="353">
        <v>18</v>
      </c>
      <c r="H194" s="322">
        <f t="shared" si="28"/>
        <v>3960000</v>
      </c>
      <c r="I194" s="122">
        <f t="shared" si="29"/>
        <v>4392000</v>
      </c>
      <c r="J194" s="331">
        <f t="shared" si="30"/>
        <v>432000</v>
      </c>
      <c r="K194" s="292">
        <f>'09-RESUMEN'!$F$43/1375</f>
        <v>81431.961035221175</v>
      </c>
      <c r="L194" s="122">
        <f>('ESTADO RESULTADOS'!$C$36+'ESTADO RESULTADOS'!$C$71)/1375</f>
        <v>24762.287272727273</v>
      </c>
      <c r="M194" s="122">
        <v>0</v>
      </c>
      <c r="N194" s="122">
        <f t="shared" si="40"/>
        <v>4066194.2483079485</v>
      </c>
      <c r="O194" s="122">
        <f t="shared" si="41"/>
        <v>225899.68046155269</v>
      </c>
      <c r="P194" s="336">
        <f t="shared" si="31"/>
        <v>325805.75169205153</v>
      </c>
      <c r="Q194" s="336">
        <f t="shared" si="32"/>
        <v>5899.6804615526926</v>
      </c>
      <c r="R194" s="303">
        <f t="shared" si="33"/>
        <v>2.6816729370694056E-2</v>
      </c>
    </row>
    <row r="195" spans="1:18" x14ac:dyDescent="0.3">
      <c r="A195" s="2">
        <v>356</v>
      </c>
      <c r="B195" s="41" t="s">
        <v>179</v>
      </c>
      <c r="C195" s="2">
        <v>1</v>
      </c>
      <c r="D195" s="2" t="s">
        <v>5</v>
      </c>
      <c r="E195" s="321">
        <v>3060</v>
      </c>
      <c r="F195" s="322">
        <v>4600</v>
      </c>
      <c r="G195" s="353">
        <v>127</v>
      </c>
      <c r="H195" s="322">
        <f t="shared" si="28"/>
        <v>388620</v>
      </c>
      <c r="I195" s="122">
        <f t="shared" si="29"/>
        <v>584200</v>
      </c>
      <c r="J195" s="331">
        <f t="shared" si="30"/>
        <v>195580</v>
      </c>
      <c r="K195" s="292">
        <f>'09-RESUMEN'!$F$43/1375+('09-RESUMEN'!$F$42/17)</f>
        <v>283519.42464527232</v>
      </c>
      <c r="L195" s="122">
        <f>('ESTADO RESULTADOS'!$C$36+'ESTADO RESULTADOS'!$C$71)/1375</f>
        <v>24762.287272727273</v>
      </c>
      <c r="M195" s="122">
        <f>'ESTADO RESULTADOS'!$C$37/17</f>
        <v>106174.11764705883</v>
      </c>
      <c r="N195" s="122">
        <f t="shared" si="40"/>
        <v>803075.82956505835</v>
      </c>
      <c r="O195" s="122">
        <f t="shared" si="41"/>
        <v>6323.4317288587272</v>
      </c>
      <c r="P195" s="336">
        <f t="shared" si="31"/>
        <v>-218875.82956505835</v>
      </c>
      <c r="Q195" s="336">
        <f t="shared" si="32"/>
        <v>3263.4317288587272</v>
      </c>
      <c r="R195" s="303">
        <f t="shared" si="33"/>
        <v>1.0664809571433749</v>
      </c>
    </row>
    <row r="196" spans="1:18" x14ac:dyDescent="0.3">
      <c r="A196" s="2">
        <v>358</v>
      </c>
      <c r="B196" s="41" t="s">
        <v>180</v>
      </c>
      <c r="C196" s="2">
        <v>14</v>
      </c>
      <c r="D196" s="2" t="s">
        <v>181</v>
      </c>
      <c r="E196" s="294">
        <v>1000</v>
      </c>
      <c r="F196" s="296">
        <v>1600</v>
      </c>
      <c r="G196" s="352">
        <v>6</v>
      </c>
      <c r="H196" s="296">
        <f t="shared" ref="H196:H259" si="42">E196*G196</f>
        <v>6000</v>
      </c>
      <c r="I196" s="122">
        <f t="shared" ref="I196:I259" si="43">F196*G196</f>
        <v>9600</v>
      </c>
      <c r="J196" s="331">
        <f t="shared" ref="J196:J259" si="44">I196-H196</f>
        <v>3600</v>
      </c>
      <c r="K196" s="292">
        <f>'09-RESUMEN'!$F$43/1375</f>
        <v>81431.961035221175</v>
      </c>
      <c r="L196" s="122">
        <f>('ESTADO RESULTADOS'!$C$36+'ESTADO RESULTADOS'!$C$71)/1375</f>
        <v>24762.287272727273</v>
      </c>
      <c r="M196" s="122">
        <v>0</v>
      </c>
      <c r="N196" s="122">
        <f t="shared" si="40"/>
        <v>112194.24830794845</v>
      </c>
      <c r="O196" s="122">
        <f t="shared" si="41"/>
        <v>18699.041384658074</v>
      </c>
      <c r="P196" s="336">
        <f t="shared" si="31"/>
        <v>-102594.24830794845</v>
      </c>
      <c r="Q196" s="336">
        <f t="shared" si="32"/>
        <v>17699.041384658074</v>
      </c>
      <c r="R196" s="303">
        <f t="shared" si="33"/>
        <v>17.699041384658074</v>
      </c>
    </row>
    <row r="197" spans="1:18" x14ac:dyDescent="0.3">
      <c r="A197" s="2">
        <v>360</v>
      </c>
      <c r="B197" s="41" t="s">
        <v>182</v>
      </c>
      <c r="C197" s="2">
        <v>12</v>
      </c>
      <c r="D197" s="2" t="s">
        <v>12</v>
      </c>
      <c r="E197" s="294">
        <v>3200</v>
      </c>
      <c r="F197" s="296">
        <v>3700</v>
      </c>
      <c r="G197" s="352">
        <v>16</v>
      </c>
      <c r="H197" s="296">
        <f t="shared" si="42"/>
        <v>51200</v>
      </c>
      <c r="I197" s="122">
        <f t="shared" si="43"/>
        <v>59200</v>
      </c>
      <c r="J197" s="331">
        <f t="shared" si="44"/>
        <v>8000</v>
      </c>
      <c r="K197" s="292">
        <f>'09-RESUMEN'!$F$43/1375</f>
        <v>81431.961035221175</v>
      </c>
      <c r="L197" s="122">
        <f>('ESTADO RESULTADOS'!$C$36+'ESTADO RESULTADOS'!$C$71)/1375</f>
        <v>24762.287272727273</v>
      </c>
      <c r="M197" s="122">
        <v>0</v>
      </c>
      <c r="N197" s="122">
        <f t="shared" si="40"/>
        <v>157394.24830794844</v>
      </c>
      <c r="O197" s="122">
        <f t="shared" si="41"/>
        <v>9837.1405192467773</v>
      </c>
      <c r="P197" s="336">
        <f t="shared" ref="P197:P260" si="45">I197-N197</f>
        <v>-98194.248307948437</v>
      </c>
      <c r="Q197" s="336">
        <f t="shared" ref="Q197:Q260" si="46">O197-E197</f>
        <v>6637.1405192467773</v>
      </c>
      <c r="R197" s="303">
        <f t="shared" ref="R197:R260" si="47">Q197/E197</f>
        <v>2.074106412264618</v>
      </c>
    </row>
    <row r="198" spans="1:18" x14ac:dyDescent="0.3">
      <c r="A198" s="2">
        <v>361</v>
      </c>
      <c r="B198" s="41" t="s">
        <v>183</v>
      </c>
      <c r="C198" s="2">
        <v>12</v>
      </c>
      <c r="D198" s="2" t="s">
        <v>12</v>
      </c>
      <c r="E198" s="294">
        <v>5265.75</v>
      </c>
      <c r="F198" s="296">
        <v>7200</v>
      </c>
      <c r="G198" s="352">
        <v>4</v>
      </c>
      <c r="H198" s="296">
        <f t="shared" si="42"/>
        <v>21063</v>
      </c>
      <c r="I198" s="122">
        <f t="shared" si="43"/>
        <v>28800</v>
      </c>
      <c r="J198" s="331">
        <f t="shared" si="44"/>
        <v>7737</v>
      </c>
      <c r="K198" s="292">
        <f>'09-RESUMEN'!$F$43/1375</f>
        <v>81431.961035221175</v>
      </c>
      <c r="L198" s="122">
        <f>('ESTADO RESULTADOS'!$C$36+'ESTADO RESULTADOS'!$C$71)/1375</f>
        <v>24762.287272727273</v>
      </c>
      <c r="M198" s="122">
        <v>0</v>
      </c>
      <c r="N198" s="122">
        <f t="shared" si="40"/>
        <v>127257.24830794845</v>
      </c>
      <c r="O198" s="122">
        <f t="shared" si="41"/>
        <v>31814.312076987113</v>
      </c>
      <c r="P198" s="336">
        <f t="shared" si="45"/>
        <v>-98457.248307948452</v>
      </c>
      <c r="Q198" s="336">
        <f t="shared" si="46"/>
        <v>26548.562076987113</v>
      </c>
      <c r="R198" s="303">
        <f t="shared" si="47"/>
        <v>5.0417437358376516</v>
      </c>
    </row>
    <row r="199" spans="1:18" x14ac:dyDescent="0.3">
      <c r="A199" s="2">
        <v>362</v>
      </c>
      <c r="B199" s="41" t="s">
        <v>184</v>
      </c>
      <c r="C199" s="2">
        <v>12</v>
      </c>
      <c r="D199" s="2" t="s">
        <v>12</v>
      </c>
      <c r="E199" s="294">
        <v>3500</v>
      </c>
      <c r="F199" s="296">
        <v>4800</v>
      </c>
      <c r="G199" s="352">
        <v>5</v>
      </c>
      <c r="H199" s="296">
        <f t="shared" si="42"/>
        <v>17500</v>
      </c>
      <c r="I199" s="122">
        <f t="shared" si="43"/>
        <v>24000</v>
      </c>
      <c r="J199" s="331">
        <f t="shared" si="44"/>
        <v>6500</v>
      </c>
      <c r="K199" s="292">
        <f>'09-RESUMEN'!$F$43/1375</f>
        <v>81431.961035221175</v>
      </c>
      <c r="L199" s="122">
        <f>('ESTADO RESULTADOS'!$C$36+'ESTADO RESULTADOS'!$C$71)/1375</f>
        <v>24762.287272727273</v>
      </c>
      <c r="M199" s="122">
        <v>0</v>
      </c>
      <c r="N199" s="122">
        <f t="shared" si="40"/>
        <v>123694.24830794845</v>
      </c>
      <c r="O199" s="122">
        <f t="shared" si="41"/>
        <v>24738.849661589691</v>
      </c>
      <c r="P199" s="336">
        <f t="shared" si="45"/>
        <v>-99694.248307948452</v>
      </c>
      <c r="Q199" s="336">
        <f t="shared" si="46"/>
        <v>21238.849661589691</v>
      </c>
      <c r="R199" s="303">
        <f t="shared" si="47"/>
        <v>6.0682427604541971</v>
      </c>
    </row>
    <row r="200" spans="1:18" x14ac:dyDescent="0.3">
      <c r="A200" s="2">
        <v>363</v>
      </c>
      <c r="B200" s="41" t="s">
        <v>185</v>
      </c>
      <c r="C200" s="2">
        <v>12</v>
      </c>
      <c r="D200" s="2" t="s">
        <v>12</v>
      </c>
      <c r="E200" s="294">
        <v>1250</v>
      </c>
      <c r="F200" s="296">
        <v>1700</v>
      </c>
      <c r="G200" s="352">
        <v>2</v>
      </c>
      <c r="H200" s="296">
        <f t="shared" si="42"/>
        <v>2500</v>
      </c>
      <c r="I200" s="122">
        <f t="shared" si="43"/>
        <v>3400</v>
      </c>
      <c r="J200" s="331">
        <f t="shared" si="44"/>
        <v>900</v>
      </c>
      <c r="K200" s="292">
        <f>'09-RESUMEN'!$F$43/1375</f>
        <v>81431.961035221175</v>
      </c>
      <c r="L200" s="122">
        <f>('ESTADO RESULTADOS'!$C$36+'ESTADO RESULTADOS'!$C$71)/1375</f>
        <v>24762.287272727273</v>
      </c>
      <c r="M200" s="122">
        <v>0</v>
      </c>
      <c r="N200" s="122">
        <f t="shared" si="40"/>
        <v>108694.24830794845</v>
      </c>
      <c r="O200" s="122">
        <f t="shared" si="41"/>
        <v>54347.124153974226</v>
      </c>
      <c r="P200" s="336">
        <f t="shared" si="45"/>
        <v>-105294.24830794845</v>
      </c>
      <c r="Q200" s="336">
        <f t="shared" si="46"/>
        <v>53097.124153974226</v>
      </c>
      <c r="R200" s="303">
        <f t="shared" si="47"/>
        <v>42.47769932317938</v>
      </c>
    </row>
    <row r="201" spans="1:18" x14ac:dyDescent="0.3">
      <c r="A201" s="2">
        <v>364</v>
      </c>
      <c r="B201" s="41" t="s">
        <v>186</v>
      </c>
      <c r="C201" s="2">
        <v>14</v>
      </c>
      <c r="D201" s="2" t="s">
        <v>21</v>
      </c>
      <c r="E201" s="294">
        <v>3822</v>
      </c>
      <c r="F201" s="296">
        <v>4600</v>
      </c>
      <c r="G201" s="352">
        <v>153</v>
      </c>
      <c r="H201" s="296">
        <f t="shared" si="42"/>
        <v>584766</v>
      </c>
      <c r="I201" s="122">
        <f t="shared" si="43"/>
        <v>703800</v>
      </c>
      <c r="J201" s="331">
        <f t="shared" si="44"/>
        <v>119034</v>
      </c>
      <c r="K201" s="292">
        <f>'09-RESUMEN'!$F$43/1375</f>
        <v>81431.961035221175</v>
      </c>
      <c r="L201" s="122">
        <f>('ESTADO RESULTADOS'!$C$36+'ESTADO RESULTADOS'!$C$71)/1375</f>
        <v>24762.287272727273</v>
      </c>
      <c r="M201" s="122">
        <v>0</v>
      </c>
      <c r="N201" s="122">
        <f t="shared" si="40"/>
        <v>690960.24830794835</v>
      </c>
      <c r="O201" s="122">
        <f t="shared" si="41"/>
        <v>4516.0800543003161</v>
      </c>
      <c r="P201" s="336">
        <f t="shared" si="45"/>
        <v>12839.75169205165</v>
      </c>
      <c r="Q201" s="336">
        <f t="shared" si="46"/>
        <v>694.08005430031608</v>
      </c>
      <c r="R201" s="303">
        <f t="shared" si="47"/>
        <v>0.18160127009427421</v>
      </c>
    </row>
    <row r="202" spans="1:18" x14ac:dyDescent="0.3">
      <c r="A202" s="2">
        <v>366</v>
      </c>
      <c r="B202" s="41" t="s">
        <v>187</v>
      </c>
      <c r="C202" s="2">
        <v>6</v>
      </c>
      <c r="D202" s="2" t="s">
        <v>21</v>
      </c>
      <c r="E202" s="294">
        <v>12444</v>
      </c>
      <c r="F202" s="296">
        <v>17200</v>
      </c>
      <c r="G202" s="352">
        <v>51</v>
      </c>
      <c r="H202" s="296">
        <f t="shared" si="42"/>
        <v>634644</v>
      </c>
      <c r="I202" s="122">
        <f t="shared" si="43"/>
        <v>877200</v>
      </c>
      <c r="J202" s="331">
        <f t="shared" si="44"/>
        <v>242556</v>
      </c>
      <c r="K202" s="292">
        <f>'09-RESUMEN'!$F$43/1375</f>
        <v>81431.961035221175</v>
      </c>
      <c r="L202" s="122">
        <f>('ESTADO RESULTADOS'!$C$36+'ESTADO RESULTADOS'!$C$71)/1375</f>
        <v>24762.287272727273</v>
      </c>
      <c r="M202" s="122">
        <v>0</v>
      </c>
      <c r="N202" s="122">
        <f t="shared" si="40"/>
        <v>740838.24830794835</v>
      </c>
      <c r="O202" s="122">
        <f t="shared" si="41"/>
        <v>14526.240162900947</v>
      </c>
      <c r="P202" s="336">
        <f t="shared" si="45"/>
        <v>136361.75169205165</v>
      </c>
      <c r="Q202" s="336">
        <f t="shared" si="46"/>
        <v>2082.2401629009473</v>
      </c>
      <c r="R202" s="303">
        <f t="shared" si="47"/>
        <v>0.16732884626333552</v>
      </c>
    </row>
    <row r="203" spans="1:18" x14ac:dyDescent="0.3">
      <c r="A203" s="2">
        <v>367</v>
      </c>
      <c r="B203" s="41" t="s">
        <v>188</v>
      </c>
      <c r="C203" s="2">
        <v>6</v>
      </c>
      <c r="D203" s="2" t="s">
        <v>16</v>
      </c>
      <c r="E203" s="294">
        <v>39611.89</v>
      </c>
      <c r="F203" s="296">
        <v>45666.666666666664</v>
      </c>
      <c r="G203" s="352">
        <v>12</v>
      </c>
      <c r="H203" s="296">
        <f t="shared" si="42"/>
        <v>475342.68</v>
      </c>
      <c r="I203" s="122">
        <f t="shared" si="43"/>
        <v>548000</v>
      </c>
      <c r="J203" s="331">
        <f t="shared" si="44"/>
        <v>72657.320000000007</v>
      </c>
      <c r="K203" s="292">
        <f>'09-RESUMEN'!$F$43/1375</f>
        <v>81431.961035221175</v>
      </c>
      <c r="L203" s="122">
        <f>('ESTADO RESULTADOS'!$C$36+'ESTADO RESULTADOS'!$C$71)/1375</f>
        <v>24762.287272727273</v>
      </c>
      <c r="M203" s="122">
        <v>0</v>
      </c>
      <c r="N203" s="122">
        <f t="shared" si="40"/>
        <v>581536.9283079484</v>
      </c>
      <c r="O203" s="122">
        <f t="shared" si="41"/>
        <v>48461.410692329031</v>
      </c>
      <c r="P203" s="336">
        <f t="shared" si="45"/>
        <v>-33536.928307948401</v>
      </c>
      <c r="Q203" s="336">
        <f t="shared" si="46"/>
        <v>8849.5206923290316</v>
      </c>
      <c r="R203" s="303">
        <f t="shared" si="47"/>
        <v>0.22340566664021919</v>
      </c>
    </row>
    <row r="204" spans="1:18" x14ac:dyDescent="0.3">
      <c r="A204" s="2">
        <v>368</v>
      </c>
      <c r="B204" s="41" t="s">
        <v>189</v>
      </c>
      <c r="C204" s="2">
        <v>12</v>
      </c>
      <c r="D204" s="2" t="s">
        <v>12</v>
      </c>
      <c r="E204" s="294">
        <v>17300</v>
      </c>
      <c r="F204" s="296">
        <v>19800</v>
      </c>
      <c r="G204" s="352">
        <v>24</v>
      </c>
      <c r="H204" s="296">
        <f t="shared" si="42"/>
        <v>415200</v>
      </c>
      <c r="I204" s="122">
        <f t="shared" si="43"/>
        <v>475200</v>
      </c>
      <c r="J204" s="331">
        <f t="shared" si="44"/>
        <v>60000</v>
      </c>
      <c r="K204" s="292">
        <f>'09-RESUMEN'!$F$43/1375</f>
        <v>81431.961035221175</v>
      </c>
      <c r="L204" s="122">
        <f>('ESTADO RESULTADOS'!$C$36+'ESTADO RESULTADOS'!$C$71)/1375</f>
        <v>24762.287272727273</v>
      </c>
      <c r="M204" s="122">
        <v>0</v>
      </c>
      <c r="N204" s="122">
        <f t="shared" si="40"/>
        <v>521394.24830794847</v>
      </c>
      <c r="O204" s="122">
        <f t="shared" si="41"/>
        <v>21724.760346164519</v>
      </c>
      <c r="P204" s="336">
        <f t="shared" si="45"/>
        <v>-46194.248307948466</v>
      </c>
      <c r="Q204" s="336">
        <f t="shared" si="46"/>
        <v>4424.7603461645194</v>
      </c>
      <c r="R204" s="303">
        <f t="shared" si="47"/>
        <v>0.2557664939979491</v>
      </c>
    </row>
    <row r="205" spans="1:18" x14ac:dyDescent="0.3">
      <c r="A205" s="2">
        <v>371</v>
      </c>
      <c r="B205" s="41" t="s">
        <v>1626</v>
      </c>
      <c r="C205" s="2">
        <v>6</v>
      </c>
      <c r="D205" s="2" t="s">
        <v>32</v>
      </c>
      <c r="E205" s="294">
        <v>19000</v>
      </c>
      <c r="F205" s="296">
        <v>23000</v>
      </c>
      <c r="G205" s="352">
        <v>13</v>
      </c>
      <c r="H205" s="296">
        <f t="shared" si="42"/>
        <v>247000</v>
      </c>
      <c r="I205" s="122">
        <f t="shared" si="43"/>
        <v>299000</v>
      </c>
      <c r="J205" s="331">
        <f t="shared" si="44"/>
        <v>52000</v>
      </c>
      <c r="K205" s="292">
        <f>'09-RESUMEN'!$F$43/1375</f>
        <v>81431.961035221175</v>
      </c>
      <c r="L205" s="122">
        <f>('ESTADO RESULTADOS'!$C$36+'ESTADO RESULTADOS'!$C$71)/1375</f>
        <v>24762.287272727273</v>
      </c>
      <c r="M205" s="122">
        <v>0</v>
      </c>
      <c r="N205" s="122">
        <f t="shared" si="40"/>
        <v>353194.24830794847</v>
      </c>
      <c r="O205" s="122">
        <f t="shared" si="41"/>
        <v>27168.788331380652</v>
      </c>
      <c r="P205" s="336">
        <f t="shared" si="45"/>
        <v>-54194.248307948466</v>
      </c>
      <c r="Q205" s="336">
        <f t="shared" si="46"/>
        <v>8168.7883313806524</v>
      </c>
      <c r="R205" s="303">
        <f t="shared" si="47"/>
        <v>0.42993622796740277</v>
      </c>
    </row>
    <row r="206" spans="1:18" x14ac:dyDescent="0.3">
      <c r="A206" s="2">
        <v>372</v>
      </c>
      <c r="B206" s="41" t="s">
        <v>190</v>
      </c>
      <c r="C206" s="2">
        <v>6</v>
      </c>
      <c r="D206" s="2" t="s">
        <v>16</v>
      </c>
      <c r="E206" s="294">
        <v>70000</v>
      </c>
      <c r="F206" s="296">
        <v>82000</v>
      </c>
      <c r="G206" s="352">
        <v>3</v>
      </c>
      <c r="H206" s="296">
        <f t="shared" si="42"/>
        <v>210000</v>
      </c>
      <c r="I206" s="122">
        <f t="shared" si="43"/>
        <v>246000</v>
      </c>
      <c r="J206" s="331">
        <f t="shared" si="44"/>
        <v>36000</v>
      </c>
      <c r="K206" s="292">
        <f>'09-RESUMEN'!$F$43/1375</f>
        <v>81431.961035221175</v>
      </c>
      <c r="L206" s="122">
        <f>('ESTADO RESULTADOS'!$C$36+'ESTADO RESULTADOS'!$C$71)/1375</f>
        <v>24762.287272727273</v>
      </c>
      <c r="M206" s="122">
        <v>0</v>
      </c>
      <c r="N206" s="122">
        <f t="shared" si="40"/>
        <v>316194.24830794847</v>
      </c>
      <c r="O206" s="122">
        <f t="shared" si="41"/>
        <v>105398.08276931616</v>
      </c>
      <c r="P206" s="336">
        <f t="shared" si="45"/>
        <v>-70194.248307948466</v>
      </c>
      <c r="Q206" s="336">
        <f t="shared" si="46"/>
        <v>35398.082769316155</v>
      </c>
      <c r="R206" s="303">
        <f t="shared" si="47"/>
        <v>0.5056868967045165</v>
      </c>
    </row>
    <row r="207" spans="1:18" x14ac:dyDescent="0.3">
      <c r="A207" s="2">
        <v>373</v>
      </c>
      <c r="B207" s="41" t="s">
        <v>1627</v>
      </c>
      <c r="C207" s="2">
        <v>7</v>
      </c>
      <c r="D207" s="2" t="s">
        <v>446</v>
      </c>
      <c r="E207" s="294">
        <v>90200</v>
      </c>
      <c r="F207" s="296">
        <v>113100</v>
      </c>
      <c r="G207" s="352">
        <v>0</v>
      </c>
      <c r="H207" s="296">
        <f t="shared" si="42"/>
        <v>0</v>
      </c>
      <c r="I207" s="122">
        <f t="shared" si="43"/>
        <v>0</v>
      </c>
      <c r="J207" s="331">
        <f t="shared" si="44"/>
        <v>0</v>
      </c>
      <c r="K207" s="292">
        <f>'09-RESUMEN'!$F$43/1375</f>
        <v>81431.961035221175</v>
      </c>
      <c r="L207" s="122">
        <f>('ESTADO RESULTADOS'!$C$36+'ESTADO RESULTADOS'!$C$71)/1375</f>
        <v>24762.287272727273</v>
      </c>
      <c r="M207" s="122">
        <v>0</v>
      </c>
      <c r="N207" s="122">
        <f>SUM(E207+K207+L207+M207)</f>
        <v>196394.24830794844</v>
      </c>
      <c r="O207" s="122">
        <f>N207</f>
        <v>196394.24830794844</v>
      </c>
      <c r="P207" s="336">
        <f t="shared" si="45"/>
        <v>-196394.24830794844</v>
      </c>
      <c r="Q207" s="336">
        <f t="shared" si="46"/>
        <v>106194.24830794844</v>
      </c>
      <c r="R207" s="303">
        <f t="shared" si="47"/>
        <v>1.1773198260304705</v>
      </c>
    </row>
    <row r="208" spans="1:18" x14ac:dyDescent="0.3">
      <c r="A208" s="2">
        <v>374</v>
      </c>
      <c r="B208" s="41" t="s">
        <v>1628</v>
      </c>
      <c r="C208" s="2">
        <v>7</v>
      </c>
      <c r="D208" s="2" t="s">
        <v>21</v>
      </c>
      <c r="E208" s="294">
        <v>2200</v>
      </c>
      <c r="F208" s="296">
        <v>2600</v>
      </c>
      <c r="G208" s="352">
        <v>7</v>
      </c>
      <c r="H208" s="296">
        <f t="shared" si="42"/>
        <v>15400</v>
      </c>
      <c r="I208" s="122">
        <f t="shared" si="43"/>
        <v>18200</v>
      </c>
      <c r="J208" s="331">
        <f t="shared" si="44"/>
        <v>2800</v>
      </c>
      <c r="K208" s="292">
        <f>'09-RESUMEN'!$F$43/1375</f>
        <v>81431.961035221175</v>
      </c>
      <c r="L208" s="122">
        <f>('ESTADO RESULTADOS'!$C$36+'ESTADO RESULTADOS'!$C$71)/1375</f>
        <v>24762.287272727273</v>
      </c>
      <c r="M208" s="122">
        <v>0</v>
      </c>
      <c r="N208" s="122">
        <f>SUM(H208+K208+L208+M208)</f>
        <v>121594.24830794845</v>
      </c>
      <c r="O208" s="122">
        <f>N208/G208</f>
        <v>17370.606901135492</v>
      </c>
      <c r="P208" s="336">
        <f t="shared" si="45"/>
        <v>-103394.24830794845</v>
      </c>
      <c r="Q208" s="336">
        <f t="shared" si="46"/>
        <v>15170.606901135492</v>
      </c>
      <c r="R208" s="303">
        <f t="shared" si="47"/>
        <v>6.895730409607042</v>
      </c>
    </row>
    <row r="209" spans="1:18" x14ac:dyDescent="0.3">
      <c r="A209" s="2">
        <v>375</v>
      </c>
      <c r="B209" s="41" t="s">
        <v>191</v>
      </c>
      <c r="C209" s="2">
        <v>9</v>
      </c>
      <c r="D209" s="2" t="s">
        <v>12</v>
      </c>
      <c r="E209" s="294">
        <v>7461.0144</v>
      </c>
      <c r="F209" s="296">
        <v>9000</v>
      </c>
      <c r="G209" s="352">
        <v>25</v>
      </c>
      <c r="H209" s="296">
        <f t="shared" si="42"/>
        <v>186525.36</v>
      </c>
      <c r="I209" s="122">
        <f t="shared" si="43"/>
        <v>225000</v>
      </c>
      <c r="J209" s="331">
        <f t="shared" si="44"/>
        <v>38474.640000000014</v>
      </c>
      <c r="K209" s="292">
        <f>'09-RESUMEN'!$F$43/1375</f>
        <v>81431.961035221175</v>
      </c>
      <c r="L209" s="122">
        <f>('ESTADO RESULTADOS'!$C$36+'ESTADO RESULTADOS'!$C$71)/1375</f>
        <v>24762.287272727273</v>
      </c>
      <c r="M209" s="122">
        <v>0</v>
      </c>
      <c r="N209" s="122">
        <f>SUM(H209+K209+L209+M209)</f>
        <v>292719.60830794845</v>
      </c>
      <c r="O209" s="122">
        <f>N209/G209</f>
        <v>11708.784332317939</v>
      </c>
      <c r="P209" s="336">
        <f t="shared" si="45"/>
        <v>-67719.608307948452</v>
      </c>
      <c r="Q209" s="336">
        <f t="shared" si="46"/>
        <v>4247.7699323179386</v>
      </c>
      <c r="R209" s="303">
        <f t="shared" si="47"/>
        <v>0.56932874064925254</v>
      </c>
    </row>
    <row r="210" spans="1:18" x14ac:dyDescent="0.3">
      <c r="A210" s="2">
        <v>376</v>
      </c>
      <c r="B210" s="41" t="s">
        <v>192</v>
      </c>
      <c r="C210" s="2">
        <v>9</v>
      </c>
      <c r="D210" s="2" t="s">
        <v>12</v>
      </c>
      <c r="E210" s="294">
        <v>6466.2219999999998</v>
      </c>
      <c r="F210" s="296">
        <v>8000</v>
      </c>
      <c r="G210" s="352">
        <v>36</v>
      </c>
      <c r="H210" s="296">
        <f t="shared" si="42"/>
        <v>232783.992</v>
      </c>
      <c r="I210" s="122">
        <f t="shared" si="43"/>
        <v>288000</v>
      </c>
      <c r="J210" s="331">
        <f t="shared" si="44"/>
        <v>55216.008000000002</v>
      </c>
      <c r="K210" s="292">
        <f>'09-RESUMEN'!$F$43/1375</f>
        <v>81431.961035221175</v>
      </c>
      <c r="L210" s="122">
        <f>('ESTADO RESULTADOS'!$C$36+'ESTADO RESULTADOS'!$C$71)/1375</f>
        <v>24762.287272727273</v>
      </c>
      <c r="M210" s="122">
        <v>0</v>
      </c>
      <c r="N210" s="122">
        <f>SUM(H210+K210+L210+M210)</f>
        <v>338978.24030794849</v>
      </c>
      <c r="O210" s="122">
        <f>N210/G210</f>
        <v>9416.0622307763479</v>
      </c>
      <c r="P210" s="336">
        <f t="shared" si="45"/>
        <v>-50978.240307948494</v>
      </c>
      <c r="Q210" s="336">
        <f t="shared" si="46"/>
        <v>2949.8402307763481</v>
      </c>
      <c r="R210" s="303">
        <f t="shared" si="47"/>
        <v>0.45619222952387783</v>
      </c>
    </row>
    <row r="211" spans="1:18" x14ac:dyDescent="0.3">
      <c r="A211" s="2">
        <v>377</v>
      </c>
      <c r="B211" s="41" t="s">
        <v>1629</v>
      </c>
      <c r="C211" s="2">
        <v>12</v>
      </c>
      <c r="D211" s="2" t="s">
        <v>12</v>
      </c>
      <c r="E211" s="294">
        <v>11000.36</v>
      </c>
      <c r="F211" s="296">
        <v>17500</v>
      </c>
      <c r="G211" s="352">
        <v>0</v>
      </c>
      <c r="H211" s="296">
        <f t="shared" si="42"/>
        <v>0</v>
      </c>
      <c r="I211" s="122">
        <f t="shared" si="43"/>
        <v>0</v>
      </c>
      <c r="J211" s="331">
        <f t="shared" si="44"/>
        <v>0</v>
      </c>
      <c r="K211" s="292">
        <f>'09-RESUMEN'!$F$43/1375</f>
        <v>81431.961035221175</v>
      </c>
      <c r="L211" s="122">
        <f>('ESTADO RESULTADOS'!$C$36+'ESTADO RESULTADOS'!$C$71)/1375</f>
        <v>24762.287272727273</v>
      </c>
      <c r="M211" s="122">
        <v>0</v>
      </c>
      <c r="N211" s="122">
        <f>SUM(E211+K211+L211+M211)</f>
        <v>117194.60830794845</v>
      </c>
      <c r="O211" s="122">
        <f>N211</f>
        <v>117194.60830794845</v>
      </c>
      <c r="P211" s="336">
        <f t="shared" si="45"/>
        <v>-117194.60830794845</v>
      </c>
      <c r="Q211" s="336">
        <f t="shared" si="46"/>
        <v>106194.24830794845</v>
      </c>
      <c r="R211" s="303">
        <f t="shared" si="47"/>
        <v>9.6537066339600202</v>
      </c>
    </row>
    <row r="212" spans="1:18" x14ac:dyDescent="0.3">
      <c r="A212" s="2">
        <v>378</v>
      </c>
      <c r="B212" s="41" t="s">
        <v>193</v>
      </c>
      <c r="C212" s="2">
        <v>12</v>
      </c>
      <c r="D212" s="2" t="s">
        <v>12</v>
      </c>
      <c r="E212" s="294">
        <v>6873.44</v>
      </c>
      <c r="F212" s="296">
        <v>7500</v>
      </c>
      <c r="G212" s="352">
        <v>3</v>
      </c>
      <c r="H212" s="296">
        <f t="shared" si="42"/>
        <v>20620.32</v>
      </c>
      <c r="I212" s="122">
        <f t="shared" si="43"/>
        <v>22500</v>
      </c>
      <c r="J212" s="331">
        <f t="shared" si="44"/>
        <v>1879.6800000000003</v>
      </c>
      <c r="K212" s="292">
        <f>'09-RESUMEN'!$F$43/1375</f>
        <v>81431.961035221175</v>
      </c>
      <c r="L212" s="122">
        <f>('ESTADO RESULTADOS'!$C$36+'ESTADO RESULTADOS'!$C$71)/1375</f>
        <v>24762.287272727273</v>
      </c>
      <c r="M212" s="122">
        <v>0</v>
      </c>
      <c r="N212" s="122">
        <f t="shared" ref="N212:N229" si="48">SUM(H212+K212+L212+M212)</f>
        <v>126814.56830794846</v>
      </c>
      <c r="O212" s="122">
        <f t="shared" ref="O212:O229" si="49">N212/G212</f>
        <v>42271.522769316151</v>
      </c>
      <c r="P212" s="336">
        <f t="shared" si="45"/>
        <v>-104314.56830794846</v>
      </c>
      <c r="Q212" s="336">
        <f t="shared" si="46"/>
        <v>35398.082769316148</v>
      </c>
      <c r="R212" s="303">
        <f t="shared" si="47"/>
        <v>5.1499806165931687</v>
      </c>
    </row>
    <row r="213" spans="1:18" x14ac:dyDescent="0.3">
      <c r="A213" s="2">
        <v>379</v>
      </c>
      <c r="B213" s="41" t="s">
        <v>194</v>
      </c>
      <c r="C213" s="2">
        <v>13</v>
      </c>
      <c r="D213" s="2" t="s">
        <v>12</v>
      </c>
      <c r="E213" s="294">
        <v>3451</v>
      </c>
      <c r="F213" s="296">
        <v>4500</v>
      </c>
      <c r="G213" s="352">
        <v>5</v>
      </c>
      <c r="H213" s="296">
        <f t="shared" si="42"/>
        <v>17255</v>
      </c>
      <c r="I213" s="122">
        <f t="shared" si="43"/>
        <v>22500</v>
      </c>
      <c r="J213" s="331">
        <f t="shared" si="44"/>
        <v>5245</v>
      </c>
      <c r="K213" s="292">
        <f>'09-RESUMEN'!$F$43/1375</f>
        <v>81431.961035221175</v>
      </c>
      <c r="L213" s="122">
        <f>('ESTADO RESULTADOS'!$C$36+'ESTADO RESULTADOS'!$C$71)/1375</f>
        <v>24762.287272727273</v>
      </c>
      <c r="M213" s="122">
        <v>0</v>
      </c>
      <c r="N213" s="122">
        <f t="shared" si="48"/>
        <v>123449.24830794845</v>
      </c>
      <c r="O213" s="122">
        <f t="shared" si="49"/>
        <v>24689.849661589691</v>
      </c>
      <c r="P213" s="336">
        <f t="shared" si="45"/>
        <v>-100949.24830794845</v>
      </c>
      <c r="Q213" s="336">
        <f t="shared" si="46"/>
        <v>21238.849661589691</v>
      </c>
      <c r="R213" s="303">
        <f t="shared" si="47"/>
        <v>6.1544044223673406</v>
      </c>
    </row>
    <row r="214" spans="1:18" x14ac:dyDescent="0.3">
      <c r="A214" s="2">
        <v>383</v>
      </c>
      <c r="B214" s="41" t="s">
        <v>195</v>
      </c>
      <c r="C214" s="2">
        <v>6</v>
      </c>
      <c r="D214" s="2" t="s">
        <v>32</v>
      </c>
      <c r="E214" s="294">
        <v>13402</v>
      </c>
      <c r="F214" s="296">
        <v>15800</v>
      </c>
      <c r="G214" s="352">
        <v>145</v>
      </c>
      <c r="H214" s="296">
        <f t="shared" si="42"/>
        <v>1943290</v>
      </c>
      <c r="I214" s="122">
        <f t="shared" si="43"/>
        <v>2291000</v>
      </c>
      <c r="J214" s="331">
        <f t="shared" si="44"/>
        <v>347710</v>
      </c>
      <c r="K214" s="292">
        <f>'09-RESUMEN'!$F$43/1375</f>
        <v>81431.961035221175</v>
      </c>
      <c r="L214" s="122">
        <f>('ESTADO RESULTADOS'!$C$36+'ESTADO RESULTADOS'!$C$71)/1375</f>
        <v>24762.287272727273</v>
      </c>
      <c r="M214" s="122">
        <v>0</v>
      </c>
      <c r="N214" s="122">
        <f t="shared" si="48"/>
        <v>2049484.2483079485</v>
      </c>
      <c r="O214" s="122">
        <f t="shared" si="49"/>
        <v>14134.374126261713</v>
      </c>
      <c r="P214" s="336">
        <f t="shared" si="45"/>
        <v>241515.75169205153</v>
      </c>
      <c r="Q214" s="336">
        <f t="shared" si="46"/>
        <v>732.37412626171317</v>
      </c>
      <c r="R214" s="303">
        <f t="shared" si="47"/>
        <v>5.4646629328586271E-2</v>
      </c>
    </row>
    <row r="215" spans="1:18" x14ac:dyDescent="0.3">
      <c r="A215" s="2">
        <v>384</v>
      </c>
      <c r="B215" s="41" t="s">
        <v>196</v>
      </c>
      <c r="C215" s="2">
        <v>6</v>
      </c>
      <c r="D215" s="2" t="s">
        <v>5</v>
      </c>
      <c r="E215" s="294">
        <v>7300</v>
      </c>
      <c r="F215" s="296">
        <v>8500</v>
      </c>
      <c r="G215" s="352">
        <v>167</v>
      </c>
      <c r="H215" s="296">
        <f t="shared" si="42"/>
        <v>1219100</v>
      </c>
      <c r="I215" s="122">
        <f t="shared" si="43"/>
        <v>1419500</v>
      </c>
      <c r="J215" s="331">
        <f t="shared" si="44"/>
        <v>200400</v>
      </c>
      <c r="K215" s="292">
        <f>'09-RESUMEN'!$F$43/1375</f>
        <v>81431.961035221175</v>
      </c>
      <c r="L215" s="122">
        <f>('ESTADO RESULTADOS'!$C$36+'ESTADO RESULTADOS'!$C$71)/1375</f>
        <v>24762.287272727273</v>
      </c>
      <c r="M215" s="122">
        <v>0</v>
      </c>
      <c r="N215" s="122">
        <f t="shared" si="48"/>
        <v>1325294.2483079485</v>
      </c>
      <c r="O215" s="122">
        <f t="shared" si="49"/>
        <v>7935.8937024428051</v>
      </c>
      <c r="P215" s="336">
        <f t="shared" si="45"/>
        <v>94205.751692051534</v>
      </c>
      <c r="Q215" s="336">
        <f t="shared" si="46"/>
        <v>635.89370244280508</v>
      </c>
      <c r="R215" s="303">
        <f t="shared" si="47"/>
        <v>8.7108726362028099E-2</v>
      </c>
    </row>
    <row r="216" spans="1:18" x14ac:dyDescent="0.3">
      <c r="A216" s="2">
        <v>385</v>
      </c>
      <c r="B216" s="41" t="s">
        <v>197</v>
      </c>
      <c r="C216" s="2">
        <v>6</v>
      </c>
      <c r="D216" s="2" t="s">
        <v>16</v>
      </c>
      <c r="E216" s="294">
        <v>48454</v>
      </c>
      <c r="F216" s="296">
        <v>57250</v>
      </c>
      <c r="G216" s="352">
        <v>50</v>
      </c>
      <c r="H216" s="296">
        <f t="shared" si="42"/>
        <v>2422700</v>
      </c>
      <c r="I216" s="122">
        <f t="shared" si="43"/>
        <v>2862500</v>
      </c>
      <c r="J216" s="331">
        <f t="shared" si="44"/>
        <v>439800</v>
      </c>
      <c r="K216" s="292">
        <f>'09-RESUMEN'!$F$43/1375</f>
        <v>81431.961035221175</v>
      </c>
      <c r="L216" s="122">
        <f>('ESTADO RESULTADOS'!$C$36+'ESTADO RESULTADOS'!$C$71)/1375</f>
        <v>24762.287272727273</v>
      </c>
      <c r="M216" s="122">
        <v>0</v>
      </c>
      <c r="N216" s="122">
        <f t="shared" si="48"/>
        <v>2528894.2483079485</v>
      </c>
      <c r="O216" s="122">
        <f t="shared" si="49"/>
        <v>50577.88496615897</v>
      </c>
      <c r="P216" s="336">
        <f t="shared" si="45"/>
        <v>333605.75169205153</v>
      </c>
      <c r="Q216" s="336">
        <f t="shared" si="46"/>
        <v>2123.8849661589702</v>
      </c>
      <c r="R216" s="303">
        <f t="shared" si="47"/>
        <v>4.383301618357556E-2</v>
      </c>
    </row>
    <row r="217" spans="1:18" x14ac:dyDescent="0.3">
      <c r="A217" s="2">
        <v>386</v>
      </c>
      <c r="B217" s="41" t="s">
        <v>1630</v>
      </c>
      <c r="C217" s="2">
        <v>9</v>
      </c>
      <c r="D217" s="2" t="s">
        <v>12</v>
      </c>
      <c r="E217" s="294">
        <v>16855.650000000001</v>
      </c>
      <c r="F217" s="296">
        <v>19500</v>
      </c>
      <c r="G217" s="352">
        <v>5</v>
      </c>
      <c r="H217" s="296">
        <f t="shared" si="42"/>
        <v>84278.25</v>
      </c>
      <c r="I217" s="122">
        <f t="shared" si="43"/>
        <v>97500</v>
      </c>
      <c r="J217" s="331">
        <f t="shared" si="44"/>
        <v>13221.75</v>
      </c>
      <c r="K217" s="292">
        <f>'09-RESUMEN'!$F$43/1375</f>
        <v>81431.961035221175</v>
      </c>
      <c r="L217" s="122">
        <f>('ESTADO RESULTADOS'!$C$36+'ESTADO RESULTADOS'!$C$71)/1375</f>
        <v>24762.287272727273</v>
      </c>
      <c r="M217" s="122">
        <v>0</v>
      </c>
      <c r="N217" s="122">
        <f t="shared" si="48"/>
        <v>190472.49830794844</v>
      </c>
      <c r="O217" s="122">
        <f t="shared" si="49"/>
        <v>38094.499661589689</v>
      </c>
      <c r="P217" s="336">
        <f t="shared" si="45"/>
        <v>-92972.498307948437</v>
      </c>
      <c r="Q217" s="336">
        <f t="shared" si="46"/>
        <v>21238.849661589687</v>
      </c>
      <c r="R217" s="303">
        <f t="shared" si="47"/>
        <v>1.260043348170476</v>
      </c>
    </row>
    <row r="218" spans="1:18" x14ac:dyDescent="0.3">
      <c r="A218" s="2">
        <v>387</v>
      </c>
      <c r="B218" s="41" t="s">
        <v>198</v>
      </c>
      <c r="C218" s="2">
        <v>9</v>
      </c>
      <c r="D218" s="2" t="s">
        <v>12</v>
      </c>
      <c r="E218" s="294">
        <v>16855.650000000001</v>
      </c>
      <c r="F218" s="296">
        <v>19350</v>
      </c>
      <c r="G218" s="352">
        <v>4</v>
      </c>
      <c r="H218" s="296">
        <f t="shared" si="42"/>
        <v>67422.600000000006</v>
      </c>
      <c r="I218" s="122">
        <f t="shared" si="43"/>
        <v>77400</v>
      </c>
      <c r="J218" s="331">
        <f t="shared" si="44"/>
        <v>9977.3999999999942</v>
      </c>
      <c r="K218" s="292">
        <f>'09-RESUMEN'!$F$43/1375</f>
        <v>81431.961035221175</v>
      </c>
      <c r="L218" s="122">
        <f>('ESTADO RESULTADOS'!$C$36+'ESTADO RESULTADOS'!$C$71)/1375</f>
        <v>24762.287272727273</v>
      </c>
      <c r="M218" s="122">
        <v>0</v>
      </c>
      <c r="N218" s="122">
        <f t="shared" si="48"/>
        <v>173616.84830794844</v>
      </c>
      <c r="O218" s="122">
        <f t="shared" si="49"/>
        <v>43404.212076987111</v>
      </c>
      <c r="P218" s="336">
        <f t="shared" si="45"/>
        <v>-96216.848307948443</v>
      </c>
      <c r="Q218" s="336">
        <f t="shared" si="46"/>
        <v>26548.562076987109</v>
      </c>
      <c r="R218" s="303">
        <f t="shared" si="47"/>
        <v>1.575054185213095</v>
      </c>
    </row>
    <row r="219" spans="1:18" x14ac:dyDescent="0.3">
      <c r="A219" s="2">
        <v>388</v>
      </c>
      <c r="B219" s="41" t="s">
        <v>199</v>
      </c>
      <c r="C219" s="2">
        <v>5</v>
      </c>
      <c r="D219" s="2" t="s">
        <v>16</v>
      </c>
      <c r="E219" s="294">
        <v>28500</v>
      </c>
      <c r="F219" s="296">
        <v>33000</v>
      </c>
      <c r="G219" s="352">
        <v>52</v>
      </c>
      <c r="H219" s="296">
        <f t="shared" si="42"/>
        <v>1482000</v>
      </c>
      <c r="I219" s="122">
        <f t="shared" si="43"/>
        <v>1716000</v>
      </c>
      <c r="J219" s="331">
        <f t="shared" si="44"/>
        <v>234000</v>
      </c>
      <c r="K219" s="292">
        <f>'09-RESUMEN'!$F$43/1375</f>
        <v>81431.961035221175</v>
      </c>
      <c r="L219" s="122">
        <f>('ESTADO RESULTADOS'!$C$36+'ESTADO RESULTADOS'!$C$71)/1375</f>
        <v>24762.287272727273</v>
      </c>
      <c r="M219" s="122">
        <v>0</v>
      </c>
      <c r="N219" s="122">
        <f t="shared" si="48"/>
        <v>1588194.2483079485</v>
      </c>
      <c r="O219" s="122">
        <f t="shared" si="49"/>
        <v>30542.197082845163</v>
      </c>
      <c r="P219" s="336">
        <f t="shared" si="45"/>
        <v>127805.75169205153</v>
      </c>
      <c r="Q219" s="336">
        <f t="shared" si="46"/>
        <v>2042.1970828451631</v>
      </c>
      <c r="R219" s="303">
        <f t="shared" si="47"/>
        <v>7.1656037994567129E-2</v>
      </c>
    </row>
    <row r="220" spans="1:18" x14ac:dyDescent="0.3">
      <c r="A220" s="2">
        <v>389</v>
      </c>
      <c r="B220" s="41" t="s">
        <v>200</v>
      </c>
      <c r="C220" s="2">
        <v>6</v>
      </c>
      <c r="D220" s="2" t="s">
        <v>21</v>
      </c>
      <c r="E220" s="294">
        <v>19500</v>
      </c>
      <c r="F220" s="296">
        <v>25000</v>
      </c>
      <c r="G220" s="352">
        <v>29</v>
      </c>
      <c r="H220" s="296">
        <f t="shared" si="42"/>
        <v>565500</v>
      </c>
      <c r="I220" s="122">
        <f t="shared" si="43"/>
        <v>725000</v>
      </c>
      <c r="J220" s="331">
        <f t="shared" si="44"/>
        <v>159500</v>
      </c>
      <c r="K220" s="292">
        <f>'09-RESUMEN'!$F$43/1375</f>
        <v>81431.961035221175</v>
      </c>
      <c r="L220" s="122">
        <f>('ESTADO RESULTADOS'!$C$36+'ESTADO RESULTADOS'!$C$71)/1375</f>
        <v>24762.287272727273</v>
      </c>
      <c r="M220" s="122">
        <v>0</v>
      </c>
      <c r="N220" s="122">
        <f t="shared" si="48"/>
        <v>671694.24830794835</v>
      </c>
      <c r="O220" s="122">
        <f t="shared" si="49"/>
        <v>23161.870631308564</v>
      </c>
      <c r="P220" s="336">
        <f t="shared" si="45"/>
        <v>53305.75169205165</v>
      </c>
      <c r="Q220" s="336">
        <f t="shared" si="46"/>
        <v>3661.870631308564</v>
      </c>
      <c r="R220" s="303">
        <f t="shared" si="47"/>
        <v>0.18778823750300327</v>
      </c>
    </row>
    <row r="221" spans="1:18" x14ac:dyDescent="0.3">
      <c r="A221" s="2">
        <v>391</v>
      </c>
      <c r="B221" s="41" t="s">
        <v>201</v>
      </c>
      <c r="C221" s="2">
        <v>7</v>
      </c>
      <c r="D221" s="2" t="s">
        <v>5</v>
      </c>
      <c r="E221" s="294">
        <v>6200</v>
      </c>
      <c r="F221" s="296">
        <v>7750</v>
      </c>
      <c r="G221" s="352">
        <v>203</v>
      </c>
      <c r="H221" s="296">
        <f t="shared" si="42"/>
        <v>1258600</v>
      </c>
      <c r="I221" s="122">
        <f t="shared" si="43"/>
        <v>1573250</v>
      </c>
      <c r="J221" s="331">
        <f t="shared" si="44"/>
        <v>314650</v>
      </c>
      <c r="K221" s="292">
        <f>'09-RESUMEN'!$F$43/1375</f>
        <v>81431.961035221175</v>
      </c>
      <c r="L221" s="122">
        <f>('ESTADO RESULTADOS'!$C$36+'ESTADO RESULTADOS'!$C$71)/1375</f>
        <v>24762.287272727273</v>
      </c>
      <c r="M221" s="122">
        <v>0</v>
      </c>
      <c r="N221" s="122">
        <f t="shared" si="48"/>
        <v>1364794.2483079485</v>
      </c>
      <c r="O221" s="122">
        <f t="shared" si="49"/>
        <v>6723.1243759012241</v>
      </c>
      <c r="P221" s="336">
        <f t="shared" si="45"/>
        <v>208455.75169205153</v>
      </c>
      <c r="Q221" s="336">
        <f t="shared" si="46"/>
        <v>523.12437590122408</v>
      </c>
      <c r="R221" s="303">
        <f t="shared" si="47"/>
        <v>8.4374899338907114E-2</v>
      </c>
    </row>
    <row r="222" spans="1:18" x14ac:dyDescent="0.3">
      <c r="A222" s="2">
        <v>395</v>
      </c>
      <c r="B222" s="41" t="s">
        <v>202</v>
      </c>
      <c r="C222" s="2">
        <v>6</v>
      </c>
      <c r="D222" s="2" t="s">
        <v>16</v>
      </c>
      <c r="E222" s="294">
        <v>37500</v>
      </c>
      <c r="F222" s="296">
        <v>42500</v>
      </c>
      <c r="G222" s="352">
        <v>6</v>
      </c>
      <c r="H222" s="296">
        <f t="shared" si="42"/>
        <v>225000</v>
      </c>
      <c r="I222" s="122">
        <f t="shared" si="43"/>
        <v>255000</v>
      </c>
      <c r="J222" s="331">
        <f t="shared" si="44"/>
        <v>30000</v>
      </c>
      <c r="K222" s="292">
        <f>'09-RESUMEN'!$F$43/1375</f>
        <v>81431.961035221175</v>
      </c>
      <c r="L222" s="122">
        <f>('ESTADO RESULTADOS'!$C$36+'ESTADO RESULTADOS'!$C$71)/1375</f>
        <v>24762.287272727273</v>
      </c>
      <c r="M222" s="122">
        <v>0</v>
      </c>
      <c r="N222" s="122">
        <f t="shared" si="48"/>
        <v>331194.24830794847</v>
      </c>
      <c r="O222" s="122">
        <f t="shared" si="49"/>
        <v>55199.041384658078</v>
      </c>
      <c r="P222" s="336">
        <f t="shared" si="45"/>
        <v>-76194.248307948466</v>
      </c>
      <c r="Q222" s="336">
        <f t="shared" si="46"/>
        <v>17699.041384658078</v>
      </c>
      <c r="R222" s="303">
        <f t="shared" si="47"/>
        <v>0.47197443692421542</v>
      </c>
    </row>
    <row r="223" spans="1:18" x14ac:dyDescent="0.3">
      <c r="A223" s="2">
        <v>396</v>
      </c>
      <c r="B223" s="41" t="s">
        <v>203</v>
      </c>
      <c r="C223" s="2">
        <v>9</v>
      </c>
      <c r="D223" s="2" t="s">
        <v>12</v>
      </c>
      <c r="E223" s="294">
        <v>56346.5</v>
      </c>
      <c r="F223" s="296">
        <v>72416.666666666672</v>
      </c>
      <c r="G223" s="352">
        <v>12</v>
      </c>
      <c r="H223" s="296">
        <f t="shared" si="42"/>
        <v>676158</v>
      </c>
      <c r="I223" s="122">
        <f t="shared" si="43"/>
        <v>869000</v>
      </c>
      <c r="J223" s="331">
        <f t="shared" si="44"/>
        <v>192842</v>
      </c>
      <c r="K223" s="292">
        <f>'09-RESUMEN'!$F$43/1375</f>
        <v>81431.961035221175</v>
      </c>
      <c r="L223" s="122">
        <f>('ESTADO RESULTADOS'!$C$36+'ESTADO RESULTADOS'!$C$71)/1375</f>
        <v>24762.287272727273</v>
      </c>
      <c r="M223" s="122">
        <v>0</v>
      </c>
      <c r="N223" s="122">
        <f t="shared" si="48"/>
        <v>782352.24830794835</v>
      </c>
      <c r="O223" s="122">
        <f t="shared" si="49"/>
        <v>65196.020692329032</v>
      </c>
      <c r="P223" s="336">
        <f t="shared" si="45"/>
        <v>86647.75169205165</v>
      </c>
      <c r="Q223" s="336">
        <f t="shared" si="46"/>
        <v>8849.5206923290316</v>
      </c>
      <c r="R223" s="303">
        <f t="shared" si="47"/>
        <v>0.15705537508681164</v>
      </c>
    </row>
    <row r="224" spans="1:18" x14ac:dyDescent="0.3">
      <c r="A224" s="2">
        <v>397</v>
      </c>
      <c r="B224" s="41" t="s">
        <v>204</v>
      </c>
      <c r="C224" s="2">
        <v>14</v>
      </c>
      <c r="D224" s="2" t="s">
        <v>59</v>
      </c>
      <c r="E224" s="294">
        <v>6139</v>
      </c>
      <c r="F224" s="296">
        <v>7200</v>
      </c>
      <c r="G224" s="352">
        <v>4</v>
      </c>
      <c r="H224" s="296">
        <f t="shared" si="42"/>
        <v>24556</v>
      </c>
      <c r="I224" s="122">
        <f t="shared" si="43"/>
        <v>28800</v>
      </c>
      <c r="J224" s="331">
        <f t="shared" si="44"/>
        <v>4244</v>
      </c>
      <c r="K224" s="292">
        <f>'09-RESUMEN'!$F$43/1375</f>
        <v>81431.961035221175</v>
      </c>
      <c r="L224" s="122">
        <f>('ESTADO RESULTADOS'!$C$36+'ESTADO RESULTADOS'!$C$71)/1375</f>
        <v>24762.287272727273</v>
      </c>
      <c r="M224" s="122">
        <v>0</v>
      </c>
      <c r="N224" s="122">
        <f t="shared" si="48"/>
        <v>130750.24830794845</v>
      </c>
      <c r="O224" s="122">
        <f t="shared" si="49"/>
        <v>32687.562076987113</v>
      </c>
      <c r="P224" s="336">
        <f t="shared" si="45"/>
        <v>-101950.24830794845</v>
      </c>
      <c r="Q224" s="336">
        <f t="shared" si="46"/>
        <v>26548.562076987113</v>
      </c>
      <c r="R224" s="303">
        <f t="shared" si="47"/>
        <v>4.3245743731857162</v>
      </c>
    </row>
    <row r="225" spans="1:18" x14ac:dyDescent="0.3">
      <c r="A225" s="2">
        <v>400</v>
      </c>
      <c r="B225" s="41" t="s">
        <v>205</v>
      </c>
      <c r="C225" s="2">
        <v>12</v>
      </c>
      <c r="D225" s="2" t="s">
        <v>12</v>
      </c>
      <c r="E225" s="294">
        <v>8200</v>
      </c>
      <c r="F225" s="296">
        <v>9500</v>
      </c>
      <c r="G225" s="352">
        <v>2</v>
      </c>
      <c r="H225" s="296">
        <f t="shared" si="42"/>
        <v>16400</v>
      </c>
      <c r="I225" s="122">
        <f t="shared" si="43"/>
        <v>19000</v>
      </c>
      <c r="J225" s="331">
        <f t="shared" si="44"/>
        <v>2600</v>
      </c>
      <c r="K225" s="292">
        <f>'09-RESUMEN'!$F$43/1375</f>
        <v>81431.961035221175</v>
      </c>
      <c r="L225" s="122">
        <f>('ESTADO RESULTADOS'!$C$36+'ESTADO RESULTADOS'!$C$71)/1375</f>
        <v>24762.287272727273</v>
      </c>
      <c r="M225" s="122">
        <v>0</v>
      </c>
      <c r="N225" s="122">
        <f t="shared" si="48"/>
        <v>122594.24830794845</v>
      </c>
      <c r="O225" s="122">
        <f t="shared" si="49"/>
        <v>61297.124153974226</v>
      </c>
      <c r="P225" s="336">
        <f t="shared" si="45"/>
        <v>-103594.24830794845</v>
      </c>
      <c r="Q225" s="336">
        <f t="shared" si="46"/>
        <v>53097.124153974226</v>
      </c>
      <c r="R225" s="303">
        <f t="shared" si="47"/>
        <v>6.4752590431675889</v>
      </c>
    </row>
    <row r="226" spans="1:18" x14ac:dyDescent="0.3">
      <c r="A226" s="2">
        <v>401</v>
      </c>
      <c r="B226" s="41" t="s">
        <v>206</v>
      </c>
      <c r="C226" s="2">
        <v>12</v>
      </c>
      <c r="D226" s="2" t="s">
        <v>12</v>
      </c>
      <c r="E226" s="294">
        <v>14900</v>
      </c>
      <c r="F226" s="296">
        <v>16800</v>
      </c>
      <c r="G226" s="352">
        <v>13</v>
      </c>
      <c r="H226" s="296">
        <f t="shared" si="42"/>
        <v>193700</v>
      </c>
      <c r="I226" s="122">
        <f t="shared" si="43"/>
        <v>218400</v>
      </c>
      <c r="J226" s="331">
        <f t="shared" si="44"/>
        <v>24700</v>
      </c>
      <c r="K226" s="292">
        <f>'09-RESUMEN'!$F$43/1375</f>
        <v>81431.961035221175</v>
      </c>
      <c r="L226" s="122">
        <f>('ESTADO RESULTADOS'!$C$36+'ESTADO RESULTADOS'!$C$71)/1375</f>
        <v>24762.287272727273</v>
      </c>
      <c r="M226" s="122">
        <v>0</v>
      </c>
      <c r="N226" s="122">
        <f t="shared" si="48"/>
        <v>299894.24830794847</v>
      </c>
      <c r="O226" s="122">
        <f t="shared" si="49"/>
        <v>23068.788331380652</v>
      </c>
      <c r="P226" s="336">
        <f t="shared" si="45"/>
        <v>-81494.248307948466</v>
      </c>
      <c r="Q226" s="336">
        <f t="shared" si="46"/>
        <v>8168.7883313806524</v>
      </c>
      <c r="R226" s="303">
        <f t="shared" si="47"/>
        <v>0.54824082760943971</v>
      </c>
    </row>
    <row r="227" spans="1:18" x14ac:dyDescent="0.3">
      <c r="A227" s="2">
        <v>402</v>
      </c>
      <c r="B227" s="41" t="s">
        <v>207</v>
      </c>
      <c r="C227" s="2">
        <v>9</v>
      </c>
      <c r="D227" s="2" t="s">
        <v>208</v>
      </c>
      <c r="E227" s="294">
        <v>100</v>
      </c>
      <c r="F227" s="296">
        <v>200</v>
      </c>
      <c r="G227" s="352">
        <v>610</v>
      </c>
      <c r="H227" s="296">
        <f t="shared" si="42"/>
        <v>61000</v>
      </c>
      <c r="I227" s="122">
        <f t="shared" si="43"/>
        <v>122000</v>
      </c>
      <c r="J227" s="331">
        <f t="shared" si="44"/>
        <v>61000</v>
      </c>
      <c r="K227" s="292">
        <f>'09-RESUMEN'!$F$43/1375</f>
        <v>81431.961035221175</v>
      </c>
      <c r="L227" s="122">
        <f>('ESTADO RESULTADOS'!$C$36+'ESTADO RESULTADOS'!$C$71)/1375</f>
        <v>24762.287272727273</v>
      </c>
      <c r="M227" s="122">
        <v>0</v>
      </c>
      <c r="N227" s="122">
        <f t="shared" si="48"/>
        <v>167194.24830794844</v>
      </c>
      <c r="O227" s="122">
        <f t="shared" si="49"/>
        <v>274.08893165237447</v>
      </c>
      <c r="P227" s="336">
        <f t="shared" si="45"/>
        <v>-45194.248307948437</v>
      </c>
      <c r="Q227" s="336">
        <f t="shared" si="46"/>
        <v>174.08893165237447</v>
      </c>
      <c r="R227" s="303">
        <f t="shared" si="47"/>
        <v>1.7408893165237447</v>
      </c>
    </row>
    <row r="228" spans="1:18" x14ac:dyDescent="0.3">
      <c r="A228" s="2">
        <v>406</v>
      </c>
      <c r="B228" s="41" t="s">
        <v>209</v>
      </c>
      <c r="C228" s="2">
        <v>4</v>
      </c>
      <c r="D228" s="2" t="s">
        <v>5</v>
      </c>
      <c r="E228" s="294">
        <v>19400</v>
      </c>
      <c r="F228" s="296">
        <v>24500</v>
      </c>
      <c r="G228" s="352">
        <v>44</v>
      </c>
      <c r="H228" s="296">
        <f t="shared" si="42"/>
        <v>853600</v>
      </c>
      <c r="I228" s="122">
        <f t="shared" si="43"/>
        <v>1078000</v>
      </c>
      <c r="J228" s="331">
        <f t="shared" si="44"/>
        <v>224400</v>
      </c>
      <c r="K228" s="292">
        <f>'09-RESUMEN'!$F$43/1375</f>
        <v>81431.961035221175</v>
      </c>
      <c r="L228" s="122">
        <f>('ESTADO RESULTADOS'!$C$36+'ESTADO RESULTADOS'!$C$71)/1375</f>
        <v>24762.287272727273</v>
      </c>
      <c r="M228" s="122">
        <v>0</v>
      </c>
      <c r="N228" s="122">
        <f t="shared" si="48"/>
        <v>959794.24830794835</v>
      </c>
      <c r="O228" s="122">
        <f t="shared" si="49"/>
        <v>21813.505643362463</v>
      </c>
      <c r="P228" s="336">
        <f t="shared" si="45"/>
        <v>118205.75169205165</v>
      </c>
      <c r="Q228" s="336">
        <f t="shared" si="46"/>
        <v>2413.5056433624632</v>
      </c>
      <c r="R228" s="303">
        <f t="shared" si="47"/>
        <v>0.12440750738981769</v>
      </c>
    </row>
    <row r="229" spans="1:18" x14ac:dyDescent="0.3">
      <c r="A229" s="2">
        <v>407</v>
      </c>
      <c r="B229" s="41" t="s">
        <v>210</v>
      </c>
      <c r="C229" s="2">
        <v>5</v>
      </c>
      <c r="D229" s="2" t="s">
        <v>50</v>
      </c>
      <c r="E229" s="294">
        <v>6551.82</v>
      </c>
      <c r="F229" s="296">
        <v>7900</v>
      </c>
      <c r="G229" s="352">
        <v>117</v>
      </c>
      <c r="H229" s="296">
        <f t="shared" si="42"/>
        <v>766562.94</v>
      </c>
      <c r="I229" s="122">
        <f t="shared" si="43"/>
        <v>924300</v>
      </c>
      <c r="J229" s="331">
        <f t="shared" si="44"/>
        <v>157737.06000000006</v>
      </c>
      <c r="K229" s="292">
        <f>'09-RESUMEN'!$F$43/1375</f>
        <v>81431.961035221175</v>
      </c>
      <c r="L229" s="122">
        <f>('ESTADO RESULTADOS'!$C$36+'ESTADO RESULTADOS'!$C$71)/1375</f>
        <v>24762.287272727273</v>
      </c>
      <c r="M229" s="122">
        <v>0</v>
      </c>
      <c r="N229" s="122">
        <f t="shared" si="48"/>
        <v>872757.18830794829</v>
      </c>
      <c r="O229" s="122">
        <f t="shared" si="49"/>
        <v>7459.463147931182</v>
      </c>
      <c r="P229" s="336">
        <f t="shared" si="45"/>
        <v>51542.811692051706</v>
      </c>
      <c r="Q229" s="336">
        <f t="shared" si="46"/>
        <v>907.64314793118228</v>
      </c>
      <c r="R229" s="303">
        <f t="shared" si="47"/>
        <v>0.13853297983326501</v>
      </c>
    </row>
    <row r="230" spans="1:18" x14ac:dyDescent="0.3">
      <c r="A230" s="2">
        <v>409</v>
      </c>
      <c r="B230" s="41" t="s">
        <v>211</v>
      </c>
      <c r="C230" s="2">
        <v>14</v>
      </c>
      <c r="D230" s="2" t="s">
        <v>32</v>
      </c>
      <c r="E230" s="294">
        <v>16125</v>
      </c>
      <c r="F230" s="296">
        <v>21600</v>
      </c>
      <c r="G230" s="352">
        <v>0</v>
      </c>
      <c r="H230" s="296">
        <f t="shared" si="42"/>
        <v>0</v>
      </c>
      <c r="I230" s="122">
        <f t="shared" si="43"/>
        <v>0</v>
      </c>
      <c r="J230" s="331">
        <f t="shared" si="44"/>
        <v>0</v>
      </c>
      <c r="K230" s="292">
        <f>'09-RESUMEN'!$F$43/1375</f>
        <v>81431.961035221175</v>
      </c>
      <c r="L230" s="122">
        <f>('ESTADO RESULTADOS'!$C$36+'ESTADO RESULTADOS'!$C$71)/1375</f>
        <v>24762.287272727273</v>
      </c>
      <c r="M230" s="122">
        <v>0</v>
      </c>
      <c r="N230" s="122">
        <f>SUM(E230+K230+L230+M230)</f>
        <v>122319.24830794845</v>
      </c>
      <c r="O230" s="122">
        <f>N230</f>
        <v>122319.24830794845</v>
      </c>
      <c r="P230" s="336">
        <f t="shared" si="45"/>
        <v>-122319.24830794845</v>
      </c>
      <c r="Q230" s="336">
        <f t="shared" si="46"/>
        <v>106194.24830794845</v>
      </c>
      <c r="R230" s="303">
        <f t="shared" si="47"/>
        <v>6.5856898175471912</v>
      </c>
    </row>
    <row r="231" spans="1:18" x14ac:dyDescent="0.3">
      <c r="A231" s="2">
        <v>410</v>
      </c>
      <c r="B231" s="41" t="s">
        <v>212</v>
      </c>
      <c r="C231" s="2">
        <v>6</v>
      </c>
      <c r="D231" s="2" t="s">
        <v>35</v>
      </c>
      <c r="E231" s="294">
        <v>8500</v>
      </c>
      <c r="F231" s="296">
        <v>9800</v>
      </c>
      <c r="G231" s="352">
        <v>15</v>
      </c>
      <c r="H231" s="296">
        <f t="shared" si="42"/>
        <v>127500</v>
      </c>
      <c r="I231" s="122">
        <f t="shared" si="43"/>
        <v>147000</v>
      </c>
      <c r="J231" s="331">
        <f t="shared" si="44"/>
        <v>19500</v>
      </c>
      <c r="K231" s="292">
        <f>'09-RESUMEN'!$F$43/1375</f>
        <v>81431.961035221175</v>
      </c>
      <c r="L231" s="122">
        <f>('ESTADO RESULTADOS'!$C$36+'ESTADO RESULTADOS'!$C$71)/1375</f>
        <v>24762.287272727273</v>
      </c>
      <c r="M231" s="122">
        <v>0</v>
      </c>
      <c r="N231" s="122">
        <f>SUM(H231+K231+L231+M231)</f>
        <v>233694.24830794844</v>
      </c>
      <c r="O231" s="122">
        <f>N231/G231</f>
        <v>15579.616553863229</v>
      </c>
      <c r="P231" s="336">
        <f t="shared" si="45"/>
        <v>-86694.248307948437</v>
      </c>
      <c r="Q231" s="336">
        <f t="shared" si="46"/>
        <v>7079.6165538632285</v>
      </c>
      <c r="R231" s="303">
        <f t="shared" si="47"/>
        <v>0.83289606516037984</v>
      </c>
    </row>
    <row r="232" spans="1:18" x14ac:dyDescent="0.3">
      <c r="A232" s="2">
        <v>414</v>
      </c>
      <c r="B232" s="41" t="s">
        <v>213</v>
      </c>
      <c r="C232" s="2">
        <v>4</v>
      </c>
      <c r="D232" s="2" t="s">
        <v>32</v>
      </c>
      <c r="E232" s="294">
        <v>32987</v>
      </c>
      <c r="F232" s="296">
        <v>37750</v>
      </c>
      <c r="G232" s="352">
        <v>10</v>
      </c>
      <c r="H232" s="296">
        <f t="shared" si="42"/>
        <v>329870</v>
      </c>
      <c r="I232" s="122">
        <f t="shared" si="43"/>
        <v>377500</v>
      </c>
      <c r="J232" s="331">
        <f t="shared" si="44"/>
        <v>47630</v>
      </c>
      <c r="K232" s="292">
        <f>'09-RESUMEN'!$F$43/1375</f>
        <v>81431.961035221175</v>
      </c>
      <c r="L232" s="122">
        <f>('ESTADO RESULTADOS'!$C$36+'ESTADO RESULTADOS'!$C$71)/1375</f>
        <v>24762.287272727273</v>
      </c>
      <c r="M232" s="122">
        <v>0</v>
      </c>
      <c r="N232" s="122">
        <f>SUM(H232+K232+L232+M232)</f>
        <v>436064.24830794847</v>
      </c>
      <c r="O232" s="122">
        <f>N232/G232</f>
        <v>43606.424830794844</v>
      </c>
      <c r="P232" s="336">
        <f t="shared" si="45"/>
        <v>-58564.248307948466</v>
      </c>
      <c r="Q232" s="336">
        <f t="shared" si="46"/>
        <v>10619.424830794844</v>
      </c>
      <c r="R232" s="303">
        <f t="shared" si="47"/>
        <v>0.32192757240109265</v>
      </c>
    </row>
    <row r="233" spans="1:18" x14ac:dyDescent="0.3">
      <c r="A233" s="2">
        <v>417</v>
      </c>
      <c r="B233" s="41" t="s">
        <v>1631</v>
      </c>
      <c r="C233" s="2">
        <v>5</v>
      </c>
      <c r="D233" s="2" t="s">
        <v>1632</v>
      </c>
      <c r="E233" s="294">
        <v>81000</v>
      </c>
      <c r="F233" s="296">
        <v>92000</v>
      </c>
      <c r="G233" s="352">
        <v>0</v>
      </c>
      <c r="H233" s="296">
        <f t="shared" si="42"/>
        <v>0</v>
      </c>
      <c r="I233" s="122">
        <f t="shared" si="43"/>
        <v>0</v>
      </c>
      <c r="J233" s="331">
        <f t="shared" si="44"/>
        <v>0</v>
      </c>
      <c r="K233" s="292">
        <f>'09-RESUMEN'!$F$43/1375</f>
        <v>81431.961035221175</v>
      </c>
      <c r="L233" s="122">
        <f>('ESTADO RESULTADOS'!$C$36+'ESTADO RESULTADOS'!$C$71)/1375</f>
        <v>24762.287272727273</v>
      </c>
      <c r="M233" s="122">
        <v>0</v>
      </c>
      <c r="N233" s="122">
        <f>SUM(E233+K233+L233+M233)</f>
        <v>187194.24830794844</v>
      </c>
      <c r="O233" s="122">
        <f>N233</f>
        <v>187194.24830794844</v>
      </c>
      <c r="P233" s="336">
        <f t="shared" si="45"/>
        <v>-187194.24830794844</v>
      </c>
      <c r="Q233" s="336">
        <f t="shared" si="46"/>
        <v>106194.24830794844</v>
      </c>
      <c r="R233" s="303">
        <f t="shared" si="47"/>
        <v>1.3110401025672647</v>
      </c>
    </row>
    <row r="234" spans="1:18" x14ac:dyDescent="0.3">
      <c r="A234" s="2">
        <v>422</v>
      </c>
      <c r="B234" s="41" t="s">
        <v>214</v>
      </c>
      <c r="C234" s="2">
        <v>2</v>
      </c>
      <c r="D234" s="2" t="s">
        <v>215</v>
      </c>
      <c r="E234" s="294">
        <v>35500</v>
      </c>
      <c r="F234" s="296">
        <v>38083.333333333336</v>
      </c>
      <c r="G234" s="352">
        <v>156</v>
      </c>
      <c r="H234" s="296">
        <f t="shared" si="42"/>
        <v>5538000</v>
      </c>
      <c r="I234" s="122">
        <f t="shared" si="43"/>
        <v>5941000</v>
      </c>
      <c r="J234" s="331">
        <f t="shared" si="44"/>
        <v>403000</v>
      </c>
      <c r="K234" s="292">
        <f>'09-RESUMEN'!$F$43/1375</f>
        <v>81431.961035221175</v>
      </c>
      <c r="L234" s="122">
        <f>('ESTADO RESULTADOS'!$C$36+'ESTADO RESULTADOS'!$C$71)/1375</f>
        <v>24762.287272727273</v>
      </c>
      <c r="M234" s="122">
        <v>0</v>
      </c>
      <c r="N234" s="122">
        <f>SUM(H234+K234+L234+M234)</f>
        <v>5644194.248307948</v>
      </c>
      <c r="O234" s="122">
        <f>N234/G234</f>
        <v>36180.732360948386</v>
      </c>
      <c r="P234" s="336">
        <f t="shared" si="45"/>
        <v>296805.751692052</v>
      </c>
      <c r="Q234" s="336">
        <f t="shared" si="46"/>
        <v>680.73236094838649</v>
      </c>
      <c r="R234" s="303">
        <f t="shared" si="47"/>
        <v>1.9175559463334831E-2</v>
      </c>
    </row>
    <row r="235" spans="1:18" x14ac:dyDescent="0.3">
      <c r="A235" s="2">
        <v>423</v>
      </c>
      <c r="B235" s="41" t="s">
        <v>216</v>
      </c>
      <c r="C235" s="2">
        <v>2</v>
      </c>
      <c r="D235" s="2" t="s">
        <v>59</v>
      </c>
      <c r="E235" s="294">
        <v>7800</v>
      </c>
      <c r="F235" s="296">
        <v>8683.3333333333339</v>
      </c>
      <c r="G235" s="352">
        <v>127</v>
      </c>
      <c r="H235" s="296">
        <f t="shared" si="42"/>
        <v>990600</v>
      </c>
      <c r="I235" s="122">
        <f t="shared" si="43"/>
        <v>1102783.3333333335</v>
      </c>
      <c r="J235" s="331">
        <f t="shared" si="44"/>
        <v>112183.33333333349</v>
      </c>
      <c r="K235" s="292">
        <f>'09-RESUMEN'!$F$43/1375</f>
        <v>81431.961035221175</v>
      </c>
      <c r="L235" s="122">
        <f>('ESTADO RESULTADOS'!$C$36+'ESTADO RESULTADOS'!$C$71)/1375</f>
        <v>24762.287272727273</v>
      </c>
      <c r="M235" s="122">
        <v>0</v>
      </c>
      <c r="N235" s="122">
        <f>SUM(H235+K235+L235+M235)</f>
        <v>1096794.2483079485</v>
      </c>
      <c r="O235" s="122">
        <f>N235/G235</f>
        <v>8636.1751835271534</v>
      </c>
      <c r="P235" s="336">
        <f t="shared" si="45"/>
        <v>5989.0850253850222</v>
      </c>
      <c r="Q235" s="336">
        <f t="shared" si="46"/>
        <v>836.17518352715342</v>
      </c>
      <c r="R235" s="303">
        <f t="shared" si="47"/>
        <v>0.1072019466060453</v>
      </c>
    </row>
    <row r="236" spans="1:18" x14ac:dyDescent="0.3">
      <c r="A236" s="2">
        <v>424</v>
      </c>
      <c r="B236" s="41" t="s">
        <v>217</v>
      </c>
      <c r="C236" s="2">
        <v>10</v>
      </c>
      <c r="D236" s="2" t="s">
        <v>12</v>
      </c>
      <c r="E236" s="294">
        <v>5712</v>
      </c>
      <c r="F236" s="296">
        <v>7000</v>
      </c>
      <c r="G236" s="352">
        <v>0</v>
      </c>
      <c r="H236" s="296">
        <f t="shared" si="42"/>
        <v>0</v>
      </c>
      <c r="I236" s="122">
        <f t="shared" si="43"/>
        <v>0</v>
      </c>
      <c r="J236" s="331">
        <f t="shared" si="44"/>
        <v>0</v>
      </c>
      <c r="K236" s="292">
        <f>'09-RESUMEN'!$F$43/1375</f>
        <v>81431.961035221175</v>
      </c>
      <c r="L236" s="122">
        <f>('ESTADO RESULTADOS'!$C$36+'ESTADO RESULTADOS'!$C$71)/1375</f>
        <v>24762.287272727273</v>
      </c>
      <c r="M236" s="122">
        <v>0</v>
      </c>
      <c r="N236" s="122">
        <f>SUM(E236+K236+L236+M236)</f>
        <v>111906.24830794845</v>
      </c>
      <c r="O236" s="122">
        <f>N236</f>
        <v>111906.24830794845</v>
      </c>
      <c r="P236" s="336">
        <f t="shared" si="45"/>
        <v>-111906.24830794845</v>
      </c>
      <c r="Q236" s="336">
        <f t="shared" si="46"/>
        <v>106194.24830794845</v>
      </c>
      <c r="R236" s="303">
        <f t="shared" si="47"/>
        <v>18.591430025901339</v>
      </c>
    </row>
    <row r="237" spans="1:18" x14ac:dyDescent="0.3">
      <c r="A237" s="2">
        <v>425</v>
      </c>
      <c r="B237" s="41" t="s">
        <v>218</v>
      </c>
      <c r="C237" s="2">
        <v>6</v>
      </c>
      <c r="D237" s="2" t="s">
        <v>12</v>
      </c>
      <c r="E237" s="294">
        <v>40082</v>
      </c>
      <c r="F237" s="296">
        <v>45200</v>
      </c>
      <c r="G237" s="352">
        <v>4</v>
      </c>
      <c r="H237" s="296">
        <f t="shared" si="42"/>
        <v>160328</v>
      </c>
      <c r="I237" s="122">
        <f t="shared" si="43"/>
        <v>180800</v>
      </c>
      <c r="J237" s="331">
        <f t="shared" si="44"/>
        <v>20472</v>
      </c>
      <c r="K237" s="292">
        <f>'09-RESUMEN'!$F$43/1375</f>
        <v>81431.961035221175</v>
      </c>
      <c r="L237" s="122">
        <f>('ESTADO RESULTADOS'!$C$36+'ESTADO RESULTADOS'!$C$71)/1375</f>
        <v>24762.287272727273</v>
      </c>
      <c r="M237" s="122">
        <v>0</v>
      </c>
      <c r="N237" s="122">
        <f t="shared" ref="N237:N247" si="50">SUM(H237+K237+L237+M237)</f>
        <v>266522.24830794847</v>
      </c>
      <c r="O237" s="122">
        <f t="shared" ref="O237:O247" si="51">N237/G237</f>
        <v>66630.562076987117</v>
      </c>
      <c r="P237" s="336">
        <f t="shared" si="45"/>
        <v>-85722.248307948466</v>
      </c>
      <c r="Q237" s="336">
        <f t="shared" si="46"/>
        <v>26548.562076987117</v>
      </c>
      <c r="R237" s="303">
        <f t="shared" si="47"/>
        <v>0.66235622167025388</v>
      </c>
    </row>
    <row r="238" spans="1:18" x14ac:dyDescent="0.3">
      <c r="A238" s="2">
        <v>428</v>
      </c>
      <c r="B238" s="41" t="s">
        <v>219</v>
      </c>
      <c r="C238" s="2">
        <v>14</v>
      </c>
      <c r="D238" s="2" t="s">
        <v>21</v>
      </c>
      <c r="E238" s="294">
        <v>3540.5</v>
      </c>
      <c r="F238" s="296">
        <v>4466.666666666667</v>
      </c>
      <c r="G238" s="352">
        <v>27</v>
      </c>
      <c r="H238" s="296">
        <f t="shared" si="42"/>
        <v>95593.5</v>
      </c>
      <c r="I238" s="122">
        <f t="shared" si="43"/>
        <v>120600.00000000001</v>
      </c>
      <c r="J238" s="331">
        <f t="shared" si="44"/>
        <v>25006.500000000015</v>
      </c>
      <c r="K238" s="292">
        <f>'09-RESUMEN'!$F$43/1375</f>
        <v>81431.961035221175</v>
      </c>
      <c r="L238" s="122">
        <f>('ESTADO RESULTADOS'!$C$36+'ESTADO RESULTADOS'!$C$71)/1375</f>
        <v>24762.287272727273</v>
      </c>
      <c r="M238" s="122">
        <v>0</v>
      </c>
      <c r="N238" s="122">
        <f t="shared" si="50"/>
        <v>201787.74830794844</v>
      </c>
      <c r="O238" s="122">
        <f t="shared" si="51"/>
        <v>7473.6203077017935</v>
      </c>
      <c r="P238" s="336">
        <f t="shared" si="45"/>
        <v>-81187.748307948423</v>
      </c>
      <c r="Q238" s="336">
        <f t="shared" si="46"/>
        <v>3933.1203077017935</v>
      </c>
      <c r="R238" s="303">
        <f t="shared" si="47"/>
        <v>1.110894028442817</v>
      </c>
    </row>
    <row r="239" spans="1:18" x14ac:dyDescent="0.3">
      <c r="A239" s="2">
        <v>429</v>
      </c>
      <c r="B239" s="41" t="s">
        <v>220</v>
      </c>
      <c r="C239" s="2">
        <v>2</v>
      </c>
      <c r="D239" s="2" t="s">
        <v>35</v>
      </c>
      <c r="E239" s="294">
        <v>3794.7473</v>
      </c>
      <c r="F239" s="296">
        <v>4500</v>
      </c>
      <c r="G239" s="352">
        <v>21</v>
      </c>
      <c r="H239" s="296">
        <f t="shared" si="42"/>
        <v>79689.693299999999</v>
      </c>
      <c r="I239" s="122">
        <f t="shared" si="43"/>
        <v>94500</v>
      </c>
      <c r="J239" s="331">
        <f t="shared" si="44"/>
        <v>14810.306700000001</v>
      </c>
      <c r="K239" s="292">
        <f>'09-RESUMEN'!$F$43/1375</f>
        <v>81431.961035221175</v>
      </c>
      <c r="L239" s="122">
        <f>('ESTADO RESULTADOS'!$C$36+'ESTADO RESULTADOS'!$C$71)/1375</f>
        <v>24762.287272727273</v>
      </c>
      <c r="M239" s="122">
        <v>0</v>
      </c>
      <c r="N239" s="122">
        <f t="shared" si="50"/>
        <v>185883.94160794842</v>
      </c>
      <c r="O239" s="122">
        <f t="shared" si="51"/>
        <v>8851.6162670451631</v>
      </c>
      <c r="P239" s="336">
        <f t="shared" si="45"/>
        <v>-91383.941607948422</v>
      </c>
      <c r="Q239" s="336">
        <f t="shared" si="46"/>
        <v>5056.8689670451631</v>
      </c>
      <c r="R239" s="303">
        <f t="shared" si="47"/>
        <v>1.3325970261696116</v>
      </c>
    </row>
    <row r="240" spans="1:18" x14ac:dyDescent="0.3">
      <c r="A240" s="2">
        <v>430</v>
      </c>
      <c r="B240" s="41" t="s">
        <v>221</v>
      </c>
      <c r="C240" s="2">
        <v>4</v>
      </c>
      <c r="D240" s="2" t="s">
        <v>32</v>
      </c>
      <c r="E240" s="294">
        <v>21802</v>
      </c>
      <c r="F240" s="296">
        <v>26000</v>
      </c>
      <c r="G240" s="352">
        <v>6</v>
      </c>
      <c r="H240" s="296">
        <f t="shared" si="42"/>
        <v>130812</v>
      </c>
      <c r="I240" s="122">
        <f t="shared" si="43"/>
        <v>156000</v>
      </c>
      <c r="J240" s="331">
        <f t="shared" si="44"/>
        <v>25188</v>
      </c>
      <c r="K240" s="292">
        <f>'09-RESUMEN'!$F$43/1375</f>
        <v>81431.961035221175</v>
      </c>
      <c r="L240" s="122">
        <f>('ESTADO RESULTADOS'!$C$36+'ESTADO RESULTADOS'!$C$71)/1375</f>
        <v>24762.287272727273</v>
      </c>
      <c r="M240" s="122">
        <v>0</v>
      </c>
      <c r="N240" s="122">
        <f t="shared" si="50"/>
        <v>237006.24830794844</v>
      </c>
      <c r="O240" s="122">
        <f t="shared" si="51"/>
        <v>39501.04138465807</v>
      </c>
      <c r="P240" s="336">
        <f t="shared" si="45"/>
        <v>-81006.248307948437</v>
      </c>
      <c r="Q240" s="336">
        <f t="shared" si="46"/>
        <v>17699.04138465807</v>
      </c>
      <c r="R240" s="303">
        <f t="shared" si="47"/>
        <v>0.81180815451142418</v>
      </c>
    </row>
    <row r="241" spans="1:18" x14ac:dyDescent="0.3">
      <c r="A241" s="2">
        <v>431</v>
      </c>
      <c r="B241" s="41" t="s">
        <v>222</v>
      </c>
      <c r="C241" s="2">
        <v>2</v>
      </c>
      <c r="D241" s="2" t="s">
        <v>5</v>
      </c>
      <c r="E241" s="294">
        <v>7134.8680999999997</v>
      </c>
      <c r="F241" s="296">
        <v>7833.333333333333</v>
      </c>
      <c r="G241" s="352">
        <v>220</v>
      </c>
      <c r="H241" s="296">
        <f t="shared" si="42"/>
        <v>1569670.9819999998</v>
      </c>
      <c r="I241" s="122">
        <f t="shared" si="43"/>
        <v>1723333.3333333333</v>
      </c>
      <c r="J241" s="331">
        <f t="shared" si="44"/>
        <v>153662.35133333341</v>
      </c>
      <c r="K241" s="292">
        <f>'09-RESUMEN'!$F$43/1375</f>
        <v>81431.961035221175</v>
      </c>
      <c r="L241" s="122">
        <f>('ESTADO RESULTADOS'!$C$36+'ESTADO RESULTADOS'!$C$71)/1375</f>
        <v>24762.287272727273</v>
      </c>
      <c r="M241" s="122">
        <v>0</v>
      </c>
      <c r="N241" s="122">
        <f t="shared" si="50"/>
        <v>1675865.2303079483</v>
      </c>
      <c r="O241" s="122">
        <f t="shared" si="51"/>
        <v>7617.5692286724925</v>
      </c>
      <c r="P241" s="336">
        <f t="shared" si="45"/>
        <v>47468.103025384946</v>
      </c>
      <c r="Q241" s="336">
        <f t="shared" si="46"/>
        <v>482.70112867249281</v>
      </c>
      <c r="R241" s="303">
        <f t="shared" si="47"/>
        <v>6.7653826518880258E-2</v>
      </c>
    </row>
    <row r="242" spans="1:18" x14ac:dyDescent="0.3">
      <c r="A242" s="2">
        <v>432</v>
      </c>
      <c r="B242" s="41" t="s">
        <v>223</v>
      </c>
      <c r="C242" s="2">
        <v>2</v>
      </c>
      <c r="D242" s="2" t="s">
        <v>35</v>
      </c>
      <c r="E242" s="294">
        <v>3717.1338999999998</v>
      </c>
      <c r="F242" s="296">
        <v>4700</v>
      </c>
      <c r="G242" s="352">
        <v>61</v>
      </c>
      <c r="H242" s="296">
        <f t="shared" si="42"/>
        <v>226745.1679</v>
      </c>
      <c r="I242" s="122">
        <f t="shared" si="43"/>
        <v>286700</v>
      </c>
      <c r="J242" s="331">
        <f t="shared" si="44"/>
        <v>59954.8321</v>
      </c>
      <c r="K242" s="292">
        <f>'09-RESUMEN'!$F$43/1375</f>
        <v>81431.961035221175</v>
      </c>
      <c r="L242" s="122">
        <f>('ESTADO RESULTADOS'!$C$36+'ESTADO RESULTADOS'!$C$71)/1375</f>
        <v>24762.287272727273</v>
      </c>
      <c r="M242" s="122">
        <v>0</v>
      </c>
      <c r="N242" s="122">
        <f t="shared" si="50"/>
        <v>332939.41620794847</v>
      </c>
      <c r="O242" s="122">
        <f t="shared" si="51"/>
        <v>5458.0232165237458</v>
      </c>
      <c r="P242" s="336">
        <f t="shared" si="45"/>
        <v>-46239.416207948467</v>
      </c>
      <c r="Q242" s="336">
        <f t="shared" si="46"/>
        <v>1740.8893165237459</v>
      </c>
      <c r="R242" s="303">
        <f t="shared" si="47"/>
        <v>0.46834183630666254</v>
      </c>
    </row>
    <row r="243" spans="1:18" x14ac:dyDescent="0.3">
      <c r="A243" s="2">
        <v>434</v>
      </c>
      <c r="B243" s="41" t="s">
        <v>224</v>
      </c>
      <c r="C243" s="2">
        <v>5</v>
      </c>
      <c r="D243" s="2" t="s">
        <v>16</v>
      </c>
      <c r="E243" s="294">
        <v>18500</v>
      </c>
      <c r="F243" s="296">
        <v>24000</v>
      </c>
      <c r="G243" s="352">
        <v>21</v>
      </c>
      <c r="H243" s="296">
        <f t="shared" si="42"/>
        <v>388500</v>
      </c>
      <c r="I243" s="122">
        <f t="shared" si="43"/>
        <v>504000</v>
      </c>
      <c r="J243" s="331">
        <f t="shared" si="44"/>
        <v>115500</v>
      </c>
      <c r="K243" s="292">
        <f>'09-RESUMEN'!$F$43/1375</f>
        <v>81431.961035221175</v>
      </c>
      <c r="L243" s="122">
        <f>('ESTADO RESULTADOS'!$C$36+'ESTADO RESULTADOS'!$C$71)/1375</f>
        <v>24762.287272727273</v>
      </c>
      <c r="M243" s="122">
        <v>0</v>
      </c>
      <c r="N243" s="122">
        <f t="shared" si="50"/>
        <v>494694.24830794847</v>
      </c>
      <c r="O243" s="122">
        <f t="shared" si="51"/>
        <v>23556.868967045164</v>
      </c>
      <c r="P243" s="336">
        <f t="shared" si="45"/>
        <v>9305.7516920515336</v>
      </c>
      <c r="Q243" s="336">
        <f t="shared" si="46"/>
        <v>5056.868967045164</v>
      </c>
      <c r="R243" s="303">
        <f t="shared" si="47"/>
        <v>0.27334426848892779</v>
      </c>
    </row>
    <row r="244" spans="1:18" x14ac:dyDescent="0.3">
      <c r="A244" s="2">
        <v>437</v>
      </c>
      <c r="B244" s="41" t="s">
        <v>225</v>
      </c>
      <c r="C244" s="2">
        <v>2</v>
      </c>
      <c r="D244" s="2" t="s">
        <v>112</v>
      </c>
      <c r="E244" s="294">
        <v>65000.001499999998</v>
      </c>
      <c r="F244" s="296">
        <v>70000</v>
      </c>
      <c r="G244" s="352">
        <v>18.5</v>
      </c>
      <c r="H244" s="296">
        <f t="shared" si="42"/>
        <v>1202500.0277499999</v>
      </c>
      <c r="I244" s="122">
        <f t="shared" si="43"/>
        <v>1295000</v>
      </c>
      <c r="J244" s="331">
        <f t="shared" si="44"/>
        <v>92499.972250000108</v>
      </c>
      <c r="K244" s="292">
        <f>'09-RESUMEN'!$F$43/1375</f>
        <v>81431.961035221175</v>
      </c>
      <c r="L244" s="122">
        <f>('ESTADO RESULTADOS'!$C$36+'ESTADO RESULTADOS'!$C$71)/1375</f>
        <v>24762.287272727273</v>
      </c>
      <c r="M244" s="122">
        <v>0</v>
      </c>
      <c r="N244" s="122">
        <f t="shared" si="50"/>
        <v>1308694.2760579484</v>
      </c>
      <c r="O244" s="122">
        <f t="shared" si="51"/>
        <v>70740.231138267482</v>
      </c>
      <c r="P244" s="336">
        <f t="shared" si="45"/>
        <v>-13694.276057948358</v>
      </c>
      <c r="Q244" s="336">
        <f t="shared" si="46"/>
        <v>5740.2296382674831</v>
      </c>
      <c r="R244" s="303">
        <f t="shared" si="47"/>
        <v>8.8311223166163827E-2</v>
      </c>
    </row>
    <row r="245" spans="1:18" x14ac:dyDescent="0.3">
      <c r="A245" s="2">
        <v>438</v>
      </c>
      <c r="B245" s="41" t="s">
        <v>226</v>
      </c>
      <c r="C245" s="2">
        <v>10</v>
      </c>
      <c r="D245" s="2" t="s">
        <v>227</v>
      </c>
      <c r="E245" s="294">
        <v>132944.42000000001</v>
      </c>
      <c r="F245" s="296">
        <v>160416.66666666666</v>
      </c>
      <c r="G245" s="352">
        <v>4</v>
      </c>
      <c r="H245" s="296">
        <f t="shared" si="42"/>
        <v>531777.68000000005</v>
      </c>
      <c r="I245" s="122">
        <f t="shared" si="43"/>
        <v>641666.66666666663</v>
      </c>
      <c r="J245" s="331">
        <f t="shared" si="44"/>
        <v>109888.98666666658</v>
      </c>
      <c r="K245" s="292">
        <f>'09-RESUMEN'!$F$43/1375</f>
        <v>81431.961035221175</v>
      </c>
      <c r="L245" s="122">
        <f>('ESTADO RESULTADOS'!$C$36+'ESTADO RESULTADOS'!$C$71)/1375</f>
        <v>24762.287272727273</v>
      </c>
      <c r="M245" s="122">
        <v>0</v>
      </c>
      <c r="N245" s="122">
        <f t="shared" si="50"/>
        <v>637971.92830794852</v>
      </c>
      <c r="O245" s="122">
        <f t="shared" si="51"/>
        <v>159492.98207698713</v>
      </c>
      <c r="P245" s="336">
        <f t="shared" si="45"/>
        <v>3694.7383587181102</v>
      </c>
      <c r="Q245" s="336">
        <f t="shared" si="46"/>
        <v>26548.562076987117</v>
      </c>
      <c r="R245" s="303">
        <f t="shared" si="47"/>
        <v>0.19969670089942185</v>
      </c>
    </row>
    <row r="246" spans="1:18" x14ac:dyDescent="0.3">
      <c r="A246" s="2">
        <v>443</v>
      </c>
      <c r="B246" s="41" t="s">
        <v>228</v>
      </c>
      <c r="C246" s="2">
        <v>6</v>
      </c>
      <c r="D246" s="2" t="s">
        <v>32</v>
      </c>
      <c r="E246" s="294">
        <v>100188</v>
      </c>
      <c r="F246" s="296">
        <v>109333.33333333333</v>
      </c>
      <c r="G246" s="352">
        <v>3</v>
      </c>
      <c r="H246" s="296">
        <f t="shared" si="42"/>
        <v>300564</v>
      </c>
      <c r="I246" s="122">
        <f t="shared" si="43"/>
        <v>328000</v>
      </c>
      <c r="J246" s="331">
        <f t="shared" si="44"/>
        <v>27436</v>
      </c>
      <c r="K246" s="292">
        <f>'09-RESUMEN'!$F$43/1375</f>
        <v>81431.961035221175</v>
      </c>
      <c r="L246" s="122">
        <f>('ESTADO RESULTADOS'!$C$36+'ESTADO RESULTADOS'!$C$71)/1375</f>
        <v>24762.287272727273</v>
      </c>
      <c r="M246" s="122">
        <v>0</v>
      </c>
      <c r="N246" s="122">
        <f t="shared" si="50"/>
        <v>406758.24830794847</v>
      </c>
      <c r="O246" s="122">
        <f t="shared" si="51"/>
        <v>135586.08276931616</v>
      </c>
      <c r="P246" s="336">
        <f t="shared" si="45"/>
        <v>-78758.248307948466</v>
      </c>
      <c r="Q246" s="336">
        <f t="shared" si="46"/>
        <v>35398.082769316155</v>
      </c>
      <c r="R246" s="303">
        <f t="shared" si="47"/>
        <v>0.35331659249926295</v>
      </c>
    </row>
    <row r="247" spans="1:18" x14ac:dyDescent="0.3">
      <c r="A247" s="2">
        <v>447</v>
      </c>
      <c r="B247" s="41" t="s">
        <v>229</v>
      </c>
      <c r="C247" s="2">
        <v>1</v>
      </c>
      <c r="D247" s="2" t="s">
        <v>5</v>
      </c>
      <c r="E247" s="321">
        <v>9487.5</v>
      </c>
      <c r="F247" s="322">
        <v>13150</v>
      </c>
      <c r="G247" s="353">
        <v>20</v>
      </c>
      <c r="H247" s="322">
        <f t="shared" si="42"/>
        <v>189750</v>
      </c>
      <c r="I247" s="122">
        <f t="shared" si="43"/>
        <v>263000</v>
      </c>
      <c r="J247" s="331">
        <f t="shared" si="44"/>
        <v>73250</v>
      </c>
      <c r="K247" s="292">
        <f>'09-RESUMEN'!$F$43/1375</f>
        <v>81431.961035221175</v>
      </c>
      <c r="L247" s="122">
        <f>('ESTADO RESULTADOS'!$C$36+'ESTADO RESULTADOS'!$C$71)/1375</f>
        <v>24762.287272727273</v>
      </c>
      <c r="M247" s="122">
        <v>0</v>
      </c>
      <c r="N247" s="122">
        <f t="shared" si="50"/>
        <v>295944.24830794847</v>
      </c>
      <c r="O247" s="122">
        <f t="shared" si="51"/>
        <v>14797.212415397424</v>
      </c>
      <c r="P247" s="336">
        <f t="shared" si="45"/>
        <v>-32944.248307948466</v>
      </c>
      <c r="Q247" s="336">
        <f t="shared" si="46"/>
        <v>5309.7124153974237</v>
      </c>
      <c r="R247" s="303">
        <f t="shared" si="47"/>
        <v>0.55965348251883251</v>
      </c>
    </row>
    <row r="248" spans="1:18" x14ac:dyDescent="0.3">
      <c r="A248" s="2">
        <v>448</v>
      </c>
      <c r="B248" s="41" t="s">
        <v>1633</v>
      </c>
      <c r="C248" s="2">
        <v>1</v>
      </c>
      <c r="D248" s="2" t="s">
        <v>3</v>
      </c>
      <c r="E248" s="321">
        <v>194000</v>
      </c>
      <c r="F248" s="322">
        <v>86000</v>
      </c>
      <c r="G248" s="353">
        <v>0</v>
      </c>
      <c r="H248" s="322">
        <f t="shared" si="42"/>
        <v>0</v>
      </c>
      <c r="I248" s="122">
        <f t="shared" si="43"/>
        <v>0</v>
      </c>
      <c r="J248" s="331">
        <f t="shared" si="44"/>
        <v>0</v>
      </c>
      <c r="K248" s="292">
        <f>'09-RESUMEN'!$F$43/1375</f>
        <v>81431.961035221175</v>
      </c>
      <c r="L248" s="122">
        <f>('ESTADO RESULTADOS'!$C$36+'ESTADO RESULTADOS'!$C$71)/1375</f>
        <v>24762.287272727273</v>
      </c>
      <c r="M248" s="122">
        <v>0</v>
      </c>
      <c r="N248" s="122">
        <f>SUM(E248+K248+L248+M248)</f>
        <v>300194.24830794847</v>
      </c>
      <c r="O248" s="122">
        <f>N248</f>
        <v>300194.24830794847</v>
      </c>
      <c r="P248" s="336">
        <f t="shared" si="45"/>
        <v>-300194.24830794847</v>
      </c>
      <c r="Q248" s="336">
        <f t="shared" si="46"/>
        <v>106194.24830794847</v>
      </c>
      <c r="R248" s="303">
        <f t="shared" si="47"/>
        <v>0.54739303251519833</v>
      </c>
    </row>
    <row r="249" spans="1:18" x14ac:dyDescent="0.3">
      <c r="A249" s="2">
        <v>450</v>
      </c>
      <c r="B249" s="41" t="s">
        <v>1634</v>
      </c>
      <c r="C249" s="2">
        <v>1</v>
      </c>
      <c r="D249" s="2" t="s">
        <v>243</v>
      </c>
      <c r="E249" s="321">
        <v>63000</v>
      </c>
      <c r="F249" s="322">
        <v>75000</v>
      </c>
      <c r="G249" s="353">
        <v>0</v>
      </c>
      <c r="H249" s="322">
        <f t="shared" si="42"/>
        <v>0</v>
      </c>
      <c r="I249" s="122">
        <f t="shared" si="43"/>
        <v>0</v>
      </c>
      <c r="J249" s="331">
        <f t="shared" si="44"/>
        <v>0</v>
      </c>
      <c r="K249" s="292">
        <f>'09-RESUMEN'!$F$43/1375</f>
        <v>81431.961035221175</v>
      </c>
      <c r="L249" s="122">
        <f>('ESTADO RESULTADOS'!$C$36+'ESTADO RESULTADOS'!$C$71)/1375</f>
        <v>24762.287272727273</v>
      </c>
      <c r="M249" s="122">
        <v>0</v>
      </c>
      <c r="N249" s="122">
        <f>SUM(E249+K249+L249+M249)</f>
        <v>169194.24830794844</v>
      </c>
      <c r="O249" s="122">
        <f>N249</f>
        <v>169194.24830794844</v>
      </c>
      <c r="P249" s="336">
        <f t="shared" si="45"/>
        <v>-169194.24830794844</v>
      </c>
      <c r="Q249" s="336">
        <f t="shared" si="46"/>
        <v>106194.24830794844</v>
      </c>
      <c r="R249" s="303">
        <f t="shared" si="47"/>
        <v>1.6856229890150545</v>
      </c>
    </row>
    <row r="250" spans="1:18" x14ac:dyDescent="0.3">
      <c r="A250" s="2">
        <v>451</v>
      </c>
      <c r="B250" s="41" t="s">
        <v>230</v>
      </c>
      <c r="C250" s="2">
        <v>14</v>
      </c>
      <c r="D250" s="2" t="s">
        <v>104</v>
      </c>
      <c r="E250" s="294">
        <v>3844.8</v>
      </c>
      <c r="F250" s="296">
        <v>5000</v>
      </c>
      <c r="G250" s="352">
        <v>20</v>
      </c>
      <c r="H250" s="296">
        <f t="shared" si="42"/>
        <v>76896</v>
      </c>
      <c r="I250" s="122">
        <f t="shared" si="43"/>
        <v>100000</v>
      </c>
      <c r="J250" s="331">
        <f t="shared" si="44"/>
        <v>23104</v>
      </c>
      <c r="K250" s="292">
        <f>'09-RESUMEN'!$F$43/1375</f>
        <v>81431.961035221175</v>
      </c>
      <c r="L250" s="122">
        <f>('ESTADO RESULTADOS'!$C$36+'ESTADO RESULTADOS'!$C$71)/1375</f>
        <v>24762.287272727273</v>
      </c>
      <c r="M250" s="122">
        <v>0</v>
      </c>
      <c r="N250" s="122">
        <f t="shared" ref="N250:N271" si="52">SUM(H250+K250+L250+M250)</f>
        <v>183090.24830794844</v>
      </c>
      <c r="O250" s="122">
        <f t="shared" ref="O250:O271" si="53">N250/G250</f>
        <v>9154.5124153974211</v>
      </c>
      <c r="P250" s="336">
        <f t="shared" si="45"/>
        <v>-83090.248307948437</v>
      </c>
      <c r="Q250" s="336">
        <f t="shared" si="46"/>
        <v>5309.712415397421</v>
      </c>
      <c r="R250" s="303">
        <f t="shared" si="47"/>
        <v>1.3810113439964162</v>
      </c>
    </row>
    <row r="251" spans="1:18" x14ac:dyDescent="0.3">
      <c r="A251" s="2">
        <v>454</v>
      </c>
      <c r="B251" s="41" t="s">
        <v>231</v>
      </c>
      <c r="C251" s="2">
        <v>6</v>
      </c>
      <c r="D251" s="2" t="s">
        <v>16</v>
      </c>
      <c r="E251" s="294">
        <v>29650</v>
      </c>
      <c r="F251" s="296">
        <v>38000</v>
      </c>
      <c r="G251" s="352">
        <v>33</v>
      </c>
      <c r="H251" s="296">
        <f t="shared" si="42"/>
        <v>978450</v>
      </c>
      <c r="I251" s="122">
        <f t="shared" si="43"/>
        <v>1254000</v>
      </c>
      <c r="J251" s="331">
        <f t="shared" si="44"/>
        <v>275550</v>
      </c>
      <c r="K251" s="292">
        <f>'09-RESUMEN'!$F$43/1375</f>
        <v>81431.961035221175</v>
      </c>
      <c r="L251" s="122">
        <f>('ESTADO RESULTADOS'!$C$36+'ESTADO RESULTADOS'!$C$71)/1375</f>
        <v>24762.287272727273</v>
      </c>
      <c r="M251" s="122">
        <v>0</v>
      </c>
      <c r="N251" s="122">
        <f t="shared" si="52"/>
        <v>1084644.2483079485</v>
      </c>
      <c r="O251" s="122">
        <f t="shared" si="53"/>
        <v>32868.007524483284</v>
      </c>
      <c r="P251" s="336">
        <f t="shared" si="45"/>
        <v>169355.75169205153</v>
      </c>
      <c r="Q251" s="336">
        <f t="shared" si="46"/>
        <v>3218.0075244832842</v>
      </c>
      <c r="R251" s="303">
        <f t="shared" si="47"/>
        <v>0.10853313741933505</v>
      </c>
    </row>
    <row r="252" spans="1:18" x14ac:dyDescent="0.3">
      <c r="A252" s="2">
        <v>456</v>
      </c>
      <c r="B252" s="41" t="s">
        <v>232</v>
      </c>
      <c r="C252" s="2">
        <v>2</v>
      </c>
      <c r="D252" s="2" t="s">
        <v>233</v>
      </c>
      <c r="E252" s="294">
        <v>87250</v>
      </c>
      <c r="F252" s="296">
        <v>97583.333333333328</v>
      </c>
      <c r="G252" s="352">
        <v>9</v>
      </c>
      <c r="H252" s="296">
        <f t="shared" si="42"/>
        <v>785250</v>
      </c>
      <c r="I252" s="122">
        <f t="shared" si="43"/>
        <v>878250</v>
      </c>
      <c r="J252" s="331">
        <f t="shared" si="44"/>
        <v>93000</v>
      </c>
      <c r="K252" s="292">
        <f>'09-RESUMEN'!$F$43/1375</f>
        <v>81431.961035221175</v>
      </c>
      <c r="L252" s="122">
        <f>('ESTADO RESULTADOS'!$C$36+'ESTADO RESULTADOS'!$C$71)/1375</f>
        <v>24762.287272727273</v>
      </c>
      <c r="M252" s="122">
        <v>0</v>
      </c>
      <c r="N252" s="122">
        <f t="shared" si="52"/>
        <v>891444.24830794835</v>
      </c>
      <c r="O252" s="122">
        <f t="shared" si="53"/>
        <v>99049.360923105371</v>
      </c>
      <c r="P252" s="336">
        <f t="shared" si="45"/>
        <v>-13194.24830794835</v>
      </c>
      <c r="Q252" s="336">
        <f t="shared" si="46"/>
        <v>11799.360923105371</v>
      </c>
      <c r="R252" s="303">
        <f t="shared" si="47"/>
        <v>0.13523622834504723</v>
      </c>
    </row>
    <row r="253" spans="1:18" x14ac:dyDescent="0.3">
      <c r="A253" s="2">
        <v>457</v>
      </c>
      <c r="B253" s="41" t="s">
        <v>234</v>
      </c>
      <c r="C253" s="2">
        <v>2</v>
      </c>
      <c r="D253" s="2" t="s">
        <v>35</v>
      </c>
      <c r="E253" s="294">
        <v>3020</v>
      </c>
      <c r="F253" s="296">
        <v>3250</v>
      </c>
      <c r="G253" s="352">
        <v>252</v>
      </c>
      <c r="H253" s="296">
        <f t="shared" si="42"/>
        <v>761040</v>
      </c>
      <c r="I253" s="122">
        <f t="shared" si="43"/>
        <v>819000</v>
      </c>
      <c r="J253" s="331">
        <f t="shared" si="44"/>
        <v>57960</v>
      </c>
      <c r="K253" s="292">
        <f>'09-RESUMEN'!$F$43/1375</f>
        <v>81431.961035221175</v>
      </c>
      <c r="L253" s="122">
        <f>('ESTADO RESULTADOS'!$C$36+'ESTADO RESULTADOS'!$C$71)/1375</f>
        <v>24762.287272727273</v>
      </c>
      <c r="M253" s="122">
        <v>0</v>
      </c>
      <c r="N253" s="122">
        <f t="shared" si="52"/>
        <v>867234.24830794835</v>
      </c>
      <c r="O253" s="122">
        <f t="shared" si="53"/>
        <v>3441.4057472537634</v>
      </c>
      <c r="P253" s="336">
        <f t="shared" si="45"/>
        <v>-48234.24830794835</v>
      </c>
      <c r="Q253" s="336">
        <f t="shared" si="46"/>
        <v>421.40574725376337</v>
      </c>
      <c r="R253" s="303">
        <f t="shared" si="47"/>
        <v>0.13953832690521967</v>
      </c>
    </row>
    <row r="254" spans="1:18" x14ac:dyDescent="0.3">
      <c r="A254" s="2">
        <v>458</v>
      </c>
      <c r="B254" s="41" t="s">
        <v>235</v>
      </c>
      <c r="C254" s="2">
        <v>2</v>
      </c>
      <c r="D254" s="2" t="s">
        <v>12</v>
      </c>
      <c r="E254" s="294">
        <v>4060</v>
      </c>
      <c r="F254" s="296">
        <v>4500</v>
      </c>
      <c r="G254" s="352">
        <v>87</v>
      </c>
      <c r="H254" s="296">
        <f t="shared" si="42"/>
        <v>353220</v>
      </c>
      <c r="I254" s="122">
        <f t="shared" si="43"/>
        <v>391500</v>
      </c>
      <c r="J254" s="331">
        <f t="shared" si="44"/>
        <v>38280</v>
      </c>
      <c r="K254" s="292">
        <f>'09-RESUMEN'!$F$43/1375</f>
        <v>81431.961035221175</v>
      </c>
      <c r="L254" s="122">
        <f>('ESTADO RESULTADOS'!$C$36+'ESTADO RESULTADOS'!$C$71)/1375</f>
        <v>24762.287272727273</v>
      </c>
      <c r="M254" s="122">
        <v>0</v>
      </c>
      <c r="N254" s="122">
        <f t="shared" si="52"/>
        <v>459414.24830794847</v>
      </c>
      <c r="O254" s="122">
        <f t="shared" si="53"/>
        <v>5280.6235437695223</v>
      </c>
      <c r="P254" s="336">
        <f t="shared" si="45"/>
        <v>-67914.248307948466</v>
      </c>
      <c r="Q254" s="336">
        <f t="shared" si="46"/>
        <v>1220.6235437695223</v>
      </c>
      <c r="R254" s="303">
        <f t="shared" si="47"/>
        <v>0.30064619304668033</v>
      </c>
    </row>
    <row r="255" spans="1:18" x14ac:dyDescent="0.3">
      <c r="A255" s="2">
        <v>459</v>
      </c>
      <c r="B255" s="41" t="s">
        <v>236</v>
      </c>
      <c r="C255" s="2">
        <v>2</v>
      </c>
      <c r="D255" s="2" t="s">
        <v>237</v>
      </c>
      <c r="E255" s="294">
        <v>125400</v>
      </c>
      <c r="F255" s="296">
        <v>136500</v>
      </c>
      <c r="G255" s="352">
        <v>10</v>
      </c>
      <c r="H255" s="296">
        <f t="shared" si="42"/>
        <v>1254000</v>
      </c>
      <c r="I255" s="122">
        <f t="shared" si="43"/>
        <v>1365000</v>
      </c>
      <c r="J255" s="331">
        <f t="shared" si="44"/>
        <v>111000</v>
      </c>
      <c r="K255" s="292">
        <f>'09-RESUMEN'!$F$43/1375</f>
        <v>81431.961035221175</v>
      </c>
      <c r="L255" s="122">
        <f>('ESTADO RESULTADOS'!$C$36+'ESTADO RESULTADOS'!$C$71)/1375</f>
        <v>24762.287272727273</v>
      </c>
      <c r="M255" s="122">
        <v>0</v>
      </c>
      <c r="N255" s="122">
        <f t="shared" si="52"/>
        <v>1360194.2483079485</v>
      </c>
      <c r="O255" s="122">
        <f t="shared" si="53"/>
        <v>136019.42483079486</v>
      </c>
      <c r="P255" s="336">
        <f t="shared" si="45"/>
        <v>4805.7516920515336</v>
      </c>
      <c r="Q255" s="336">
        <f t="shared" si="46"/>
        <v>10619.424830794858</v>
      </c>
      <c r="R255" s="303">
        <f t="shared" si="47"/>
        <v>8.4684408539033959E-2</v>
      </c>
    </row>
    <row r="256" spans="1:18" x14ac:dyDescent="0.3">
      <c r="A256" s="2">
        <v>460</v>
      </c>
      <c r="B256" s="41" t="s">
        <v>238</v>
      </c>
      <c r="C256" s="2">
        <v>2</v>
      </c>
      <c r="D256" s="2" t="s">
        <v>112</v>
      </c>
      <c r="E256" s="294">
        <v>113800</v>
      </c>
      <c r="F256" s="296">
        <v>123766.66666666667</v>
      </c>
      <c r="G256" s="352">
        <v>32.5</v>
      </c>
      <c r="H256" s="296">
        <f t="shared" si="42"/>
        <v>3698500</v>
      </c>
      <c r="I256" s="122">
        <f t="shared" si="43"/>
        <v>4022416.666666667</v>
      </c>
      <c r="J256" s="331">
        <f t="shared" si="44"/>
        <v>323916.66666666698</v>
      </c>
      <c r="K256" s="292">
        <f>'09-RESUMEN'!$F$43/1375</f>
        <v>81431.961035221175</v>
      </c>
      <c r="L256" s="122">
        <f>('ESTADO RESULTADOS'!$C$36+'ESTADO RESULTADOS'!$C$71)/1375</f>
        <v>24762.287272727273</v>
      </c>
      <c r="M256" s="122">
        <v>0</v>
      </c>
      <c r="N256" s="122">
        <f t="shared" si="52"/>
        <v>3804694.2483079485</v>
      </c>
      <c r="O256" s="122">
        <f t="shared" si="53"/>
        <v>117067.51533255226</v>
      </c>
      <c r="P256" s="336">
        <f t="shared" si="45"/>
        <v>217722.41835871851</v>
      </c>
      <c r="Q256" s="336">
        <f t="shared" si="46"/>
        <v>3267.5153325522551</v>
      </c>
      <c r="R256" s="303">
        <f t="shared" si="47"/>
        <v>2.8712788511003999E-2</v>
      </c>
    </row>
    <row r="257" spans="1:18" x14ac:dyDescent="0.3">
      <c r="A257" s="2">
        <v>461</v>
      </c>
      <c r="B257" s="41" t="s">
        <v>239</v>
      </c>
      <c r="C257" s="2">
        <v>2</v>
      </c>
      <c r="D257" s="2" t="s">
        <v>5</v>
      </c>
      <c r="E257" s="294">
        <v>3055</v>
      </c>
      <c r="F257" s="296">
        <v>3400</v>
      </c>
      <c r="G257" s="352">
        <v>408</v>
      </c>
      <c r="H257" s="296">
        <f t="shared" si="42"/>
        <v>1246440</v>
      </c>
      <c r="I257" s="122">
        <f t="shared" si="43"/>
        <v>1387200</v>
      </c>
      <c r="J257" s="331">
        <f t="shared" si="44"/>
        <v>140760</v>
      </c>
      <c r="K257" s="292">
        <f>'09-RESUMEN'!$F$43/1375</f>
        <v>81431.961035221175</v>
      </c>
      <c r="L257" s="122">
        <f>('ESTADO RESULTADOS'!$C$36+'ESTADO RESULTADOS'!$C$71)/1375</f>
        <v>24762.287272727273</v>
      </c>
      <c r="M257" s="122">
        <v>0</v>
      </c>
      <c r="N257" s="122">
        <f t="shared" si="52"/>
        <v>1352634.2483079485</v>
      </c>
      <c r="O257" s="122">
        <f t="shared" si="53"/>
        <v>3315.2800203626189</v>
      </c>
      <c r="P257" s="336">
        <f t="shared" si="45"/>
        <v>34565.751692051534</v>
      </c>
      <c r="Q257" s="336">
        <f t="shared" si="46"/>
        <v>260.28002036261887</v>
      </c>
      <c r="R257" s="303">
        <f t="shared" si="47"/>
        <v>8.5198042671888338E-2</v>
      </c>
    </row>
    <row r="258" spans="1:18" x14ac:dyDescent="0.3">
      <c r="A258" s="2">
        <v>464</v>
      </c>
      <c r="B258" s="41" t="s">
        <v>240</v>
      </c>
      <c r="C258" s="2">
        <v>2</v>
      </c>
      <c r="D258" s="2" t="s">
        <v>5</v>
      </c>
      <c r="E258" s="294">
        <v>5237.2057999999997</v>
      </c>
      <c r="F258" s="296">
        <v>5966.666666666667</v>
      </c>
      <c r="G258" s="352">
        <v>25</v>
      </c>
      <c r="H258" s="296">
        <f t="shared" si="42"/>
        <v>130930.14499999999</v>
      </c>
      <c r="I258" s="122">
        <f t="shared" si="43"/>
        <v>149166.66666666669</v>
      </c>
      <c r="J258" s="331">
        <f t="shared" si="44"/>
        <v>18236.521666666697</v>
      </c>
      <c r="K258" s="292">
        <f>'09-RESUMEN'!$F$43/1375</f>
        <v>81431.961035221175</v>
      </c>
      <c r="L258" s="122">
        <f>('ESTADO RESULTADOS'!$C$36+'ESTADO RESULTADOS'!$C$71)/1375</f>
        <v>24762.287272727273</v>
      </c>
      <c r="M258" s="122">
        <v>0</v>
      </c>
      <c r="N258" s="122">
        <f t="shared" si="52"/>
        <v>237124.39330794843</v>
      </c>
      <c r="O258" s="122">
        <f t="shared" si="53"/>
        <v>9484.9757323179365</v>
      </c>
      <c r="P258" s="336">
        <f t="shared" si="45"/>
        <v>-87957.726641281741</v>
      </c>
      <c r="Q258" s="336">
        <f t="shared" si="46"/>
        <v>4247.7699323179368</v>
      </c>
      <c r="R258" s="303">
        <f t="shared" si="47"/>
        <v>0.81107561828445562</v>
      </c>
    </row>
    <row r="259" spans="1:18" x14ac:dyDescent="0.3">
      <c r="A259" s="2">
        <v>465</v>
      </c>
      <c r="B259" s="41" t="s">
        <v>241</v>
      </c>
      <c r="C259" s="2">
        <v>2</v>
      </c>
      <c r="D259" s="2" t="s">
        <v>5</v>
      </c>
      <c r="E259" s="294">
        <v>6787.3759</v>
      </c>
      <c r="F259" s="296">
        <v>7650</v>
      </c>
      <c r="G259" s="352">
        <v>70</v>
      </c>
      <c r="H259" s="296">
        <f t="shared" si="42"/>
        <v>475116.31300000002</v>
      </c>
      <c r="I259" s="122">
        <f t="shared" si="43"/>
        <v>535500</v>
      </c>
      <c r="J259" s="331">
        <f t="shared" si="44"/>
        <v>60383.686999999976</v>
      </c>
      <c r="K259" s="292">
        <f>'09-RESUMEN'!$F$43/1375</f>
        <v>81431.961035221175</v>
      </c>
      <c r="L259" s="122">
        <f>('ESTADO RESULTADOS'!$C$36+'ESTADO RESULTADOS'!$C$71)/1375</f>
        <v>24762.287272727273</v>
      </c>
      <c r="M259" s="122">
        <v>0</v>
      </c>
      <c r="N259" s="122">
        <f t="shared" si="52"/>
        <v>581310.56130794843</v>
      </c>
      <c r="O259" s="122">
        <f t="shared" si="53"/>
        <v>8304.4365901135498</v>
      </c>
      <c r="P259" s="336">
        <f t="shared" si="45"/>
        <v>-45810.561307948432</v>
      </c>
      <c r="Q259" s="336">
        <f t="shared" si="46"/>
        <v>1517.0606901135498</v>
      </c>
      <c r="R259" s="303">
        <f t="shared" si="47"/>
        <v>0.22351210725098483</v>
      </c>
    </row>
    <row r="260" spans="1:18" x14ac:dyDescent="0.3">
      <c r="A260" s="2">
        <v>466</v>
      </c>
      <c r="B260" s="41" t="s">
        <v>242</v>
      </c>
      <c r="C260" s="2">
        <v>2</v>
      </c>
      <c r="D260" s="2" t="s">
        <v>243</v>
      </c>
      <c r="E260" s="294">
        <v>132352.92000000001</v>
      </c>
      <c r="F260" s="296">
        <v>148166.66666666666</v>
      </c>
      <c r="G260" s="352">
        <v>7</v>
      </c>
      <c r="H260" s="296">
        <f t="shared" ref="H260:H323" si="54">E260*G260</f>
        <v>926470.44000000006</v>
      </c>
      <c r="I260" s="122">
        <f t="shared" ref="I260:I323" si="55">F260*G260</f>
        <v>1037166.6666666666</v>
      </c>
      <c r="J260" s="331">
        <f t="shared" ref="J260:J323" si="56">I260-H260</f>
        <v>110696.22666666657</v>
      </c>
      <c r="K260" s="292">
        <f>'09-RESUMEN'!$F$43/1375</f>
        <v>81431.961035221175</v>
      </c>
      <c r="L260" s="122">
        <f>('ESTADO RESULTADOS'!$C$36+'ESTADO RESULTADOS'!$C$71)/1375</f>
        <v>24762.287272727273</v>
      </c>
      <c r="M260" s="122">
        <v>0</v>
      </c>
      <c r="N260" s="122">
        <f t="shared" si="52"/>
        <v>1032664.6883079485</v>
      </c>
      <c r="O260" s="122">
        <f t="shared" si="53"/>
        <v>147523.52690113551</v>
      </c>
      <c r="P260" s="336">
        <f t="shared" si="45"/>
        <v>4501.9783587181009</v>
      </c>
      <c r="Q260" s="336">
        <f t="shared" si="46"/>
        <v>15170.606901135499</v>
      </c>
      <c r="R260" s="303">
        <f t="shared" si="47"/>
        <v>0.11462238159260482</v>
      </c>
    </row>
    <row r="261" spans="1:18" x14ac:dyDescent="0.3">
      <c r="A261" s="2">
        <v>469</v>
      </c>
      <c r="B261" s="41" t="s">
        <v>244</v>
      </c>
      <c r="C261" s="2">
        <v>6</v>
      </c>
      <c r="D261" s="2" t="s">
        <v>21</v>
      </c>
      <c r="E261" s="294">
        <v>21290.1</v>
      </c>
      <c r="F261" s="296">
        <v>29000</v>
      </c>
      <c r="G261" s="352">
        <v>53</v>
      </c>
      <c r="H261" s="296">
        <f t="shared" si="54"/>
        <v>1128375.2999999998</v>
      </c>
      <c r="I261" s="122">
        <f t="shared" si="55"/>
        <v>1537000</v>
      </c>
      <c r="J261" s="331">
        <f t="shared" si="56"/>
        <v>408624.70000000019</v>
      </c>
      <c r="K261" s="292">
        <f>'09-RESUMEN'!$F$43/1375</f>
        <v>81431.961035221175</v>
      </c>
      <c r="L261" s="122">
        <f>('ESTADO RESULTADOS'!$C$36+'ESTADO RESULTADOS'!$C$71)/1375</f>
        <v>24762.287272727273</v>
      </c>
      <c r="M261" s="122">
        <v>0</v>
      </c>
      <c r="N261" s="122">
        <f t="shared" si="52"/>
        <v>1234569.5483079483</v>
      </c>
      <c r="O261" s="122">
        <f t="shared" si="53"/>
        <v>23293.765062414117</v>
      </c>
      <c r="P261" s="336">
        <f t="shared" ref="P261:P324" si="57">I261-N261</f>
        <v>302430.45169205172</v>
      </c>
      <c r="Q261" s="336">
        <f t="shared" ref="Q261:Q324" si="58">O261-E261</f>
        <v>2003.6650624141184</v>
      </c>
      <c r="R261" s="303">
        <f t="shared" ref="R261:R324" si="59">Q261/E261</f>
        <v>9.4112524714027576E-2</v>
      </c>
    </row>
    <row r="262" spans="1:18" x14ac:dyDescent="0.3">
      <c r="A262" s="2">
        <v>470</v>
      </c>
      <c r="B262" s="41" t="s">
        <v>245</v>
      </c>
      <c r="C262" s="2">
        <v>4</v>
      </c>
      <c r="D262" s="2" t="s">
        <v>35</v>
      </c>
      <c r="E262" s="294">
        <v>22350</v>
      </c>
      <c r="F262" s="296">
        <v>26500</v>
      </c>
      <c r="G262" s="352">
        <v>13</v>
      </c>
      <c r="H262" s="296">
        <f t="shared" si="54"/>
        <v>290550</v>
      </c>
      <c r="I262" s="122">
        <f t="shared" si="55"/>
        <v>344500</v>
      </c>
      <c r="J262" s="331">
        <f t="shared" si="56"/>
        <v>53950</v>
      </c>
      <c r="K262" s="292">
        <f>'09-RESUMEN'!$F$43/1375</f>
        <v>81431.961035221175</v>
      </c>
      <c r="L262" s="122">
        <f>('ESTADO RESULTADOS'!$C$36+'ESTADO RESULTADOS'!$C$71)/1375</f>
        <v>24762.287272727273</v>
      </c>
      <c r="M262" s="122">
        <v>0</v>
      </c>
      <c r="N262" s="122">
        <f t="shared" si="52"/>
        <v>396744.24830794847</v>
      </c>
      <c r="O262" s="122">
        <f t="shared" si="53"/>
        <v>30518.788331380652</v>
      </c>
      <c r="P262" s="336">
        <f t="shared" si="57"/>
        <v>-52244.248307948466</v>
      </c>
      <c r="Q262" s="336">
        <f t="shared" si="58"/>
        <v>8168.7883313806524</v>
      </c>
      <c r="R262" s="303">
        <f t="shared" si="59"/>
        <v>0.36549388507295982</v>
      </c>
    </row>
    <row r="263" spans="1:18" x14ac:dyDescent="0.3">
      <c r="A263" s="2">
        <v>471</v>
      </c>
      <c r="B263" s="41" t="s">
        <v>1635</v>
      </c>
      <c r="C263" s="2">
        <v>4</v>
      </c>
      <c r="D263" s="2" t="s">
        <v>5</v>
      </c>
      <c r="E263" s="294">
        <v>9898</v>
      </c>
      <c r="F263" s="296">
        <v>11500</v>
      </c>
      <c r="G263" s="352">
        <v>12</v>
      </c>
      <c r="H263" s="296">
        <f t="shared" si="54"/>
        <v>118776</v>
      </c>
      <c r="I263" s="122">
        <f t="shared" si="55"/>
        <v>138000</v>
      </c>
      <c r="J263" s="331">
        <f t="shared" si="56"/>
        <v>19224</v>
      </c>
      <c r="K263" s="292">
        <f>'09-RESUMEN'!$F$43/1375</f>
        <v>81431.961035221175</v>
      </c>
      <c r="L263" s="122">
        <f>('ESTADO RESULTADOS'!$C$36+'ESTADO RESULTADOS'!$C$71)/1375</f>
        <v>24762.287272727273</v>
      </c>
      <c r="M263" s="122">
        <v>0</v>
      </c>
      <c r="N263" s="122">
        <f t="shared" si="52"/>
        <v>224970.24830794844</v>
      </c>
      <c r="O263" s="122">
        <f t="shared" si="53"/>
        <v>18747.520692329035</v>
      </c>
      <c r="P263" s="336">
        <f t="shared" si="57"/>
        <v>-86970.248307948437</v>
      </c>
      <c r="Q263" s="336">
        <f t="shared" si="58"/>
        <v>8849.5206923290352</v>
      </c>
      <c r="R263" s="303">
        <f t="shared" si="59"/>
        <v>0.89407159954829618</v>
      </c>
    </row>
    <row r="264" spans="1:18" x14ac:dyDescent="0.3">
      <c r="A264" s="2">
        <v>472</v>
      </c>
      <c r="B264" s="41" t="s">
        <v>246</v>
      </c>
      <c r="C264" s="2">
        <v>14</v>
      </c>
      <c r="D264" s="2" t="s">
        <v>32</v>
      </c>
      <c r="E264" s="294">
        <v>34353</v>
      </c>
      <c r="F264" s="296">
        <v>38433.333333333336</v>
      </c>
      <c r="G264" s="352">
        <v>4</v>
      </c>
      <c r="H264" s="296">
        <f t="shared" si="54"/>
        <v>137412</v>
      </c>
      <c r="I264" s="122">
        <f t="shared" si="55"/>
        <v>153733.33333333334</v>
      </c>
      <c r="J264" s="331">
        <f t="shared" si="56"/>
        <v>16321.333333333343</v>
      </c>
      <c r="K264" s="292">
        <f>'09-RESUMEN'!$F$43/1375</f>
        <v>81431.961035221175</v>
      </c>
      <c r="L264" s="122">
        <f>('ESTADO RESULTADOS'!$C$36+'ESTADO RESULTADOS'!$C$71)/1375</f>
        <v>24762.287272727273</v>
      </c>
      <c r="M264" s="122">
        <v>0</v>
      </c>
      <c r="N264" s="122">
        <f t="shared" si="52"/>
        <v>243606.24830794844</v>
      </c>
      <c r="O264" s="122">
        <f t="shared" si="53"/>
        <v>60901.562076987109</v>
      </c>
      <c r="P264" s="336">
        <f t="shared" si="57"/>
        <v>-89872.914974615094</v>
      </c>
      <c r="Q264" s="336">
        <f t="shared" si="58"/>
        <v>26548.562076987109</v>
      </c>
      <c r="R264" s="303">
        <f t="shared" si="59"/>
        <v>0.77281640837735011</v>
      </c>
    </row>
    <row r="265" spans="1:18" x14ac:dyDescent="0.3">
      <c r="A265" s="2">
        <v>473</v>
      </c>
      <c r="B265" s="41" t="s">
        <v>247</v>
      </c>
      <c r="C265" s="2">
        <v>14</v>
      </c>
      <c r="D265" s="2" t="s">
        <v>32</v>
      </c>
      <c r="E265" s="294">
        <v>8229</v>
      </c>
      <c r="F265" s="296">
        <v>9600</v>
      </c>
      <c r="G265" s="352">
        <v>21</v>
      </c>
      <c r="H265" s="296">
        <f t="shared" si="54"/>
        <v>172809</v>
      </c>
      <c r="I265" s="122">
        <f t="shared" si="55"/>
        <v>201600</v>
      </c>
      <c r="J265" s="331">
        <f t="shared" si="56"/>
        <v>28791</v>
      </c>
      <c r="K265" s="292">
        <f>'09-RESUMEN'!$F$43/1375</f>
        <v>81431.961035221175</v>
      </c>
      <c r="L265" s="122">
        <f>('ESTADO RESULTADOS'!$C$36+'ESTADO RESULTADOS'!$C$71)/1375</f>
        <v>24762.287272727273</v>
      </c>
      <c r="M265" s="122">
        <v>0</v>
      </c>
      <c r="N265" s="122">
        <f t="shared" si="52"/>
        <v>279003.24830794847</v>
      </c>
      <c r="O265" s="122">
        <f t="shared" si="53"/>
        <v>13285.868967045166</v>
      </c>
      <c r="P265" s="336">
        <f t="shared" si="57"/>
        <v>-77403.248307948466</v>
      </c>
      <c r="Q265" s="336">
        <f t="shared" si="58"/>
        <v>5056.8689670451658</v>
      </c>
      <c r="R265" s="303">
        <f t="shared" si="59"/>
        <v>0.61451804193038839</v>
      </c>
    </row>
    <row r="266" spans="1:18" x14ac:dyDescent="0.3">
      <c r="A266" s="2">
        <v>474</v>
      </c>
      <c r="B266" s="41" t="s">
        <v>248</v>
      </c>
      <c r="C266" s="2">
        <v>10</v>
      </c>
      <c r="D266" s="2" t="s">
        <v>12</v>
      </c>
      <c r="E266" s="294">
        <v>15666.335999999999</v>
      </c>
      <c r="F266" s="296">
        <v>18500</v>
      </c>
      <c r="G266" s="352">
        <v>3</v>
      </c>
      <c r="H266" s="296">
        <f t="shared" si="54"/>
        <v>46999.008000000002</v>
      </c>
      <c r="I266" s="122">
        <f t="shared" si="55"/>
        <v>55500</v>
      </c>
      <c r="J266" s="331">
        <f t="shared" si="56"/>
        <v>8500.9919999999984</v>
      </c>
      <c r="K266" s="292">
        <f>'09-RESUMEN'!$F$43/1375</f>
        <v>81431.961035221175</v>
      </c>
      <c r="L266" s="122">
        <f>('ESTADO RESULTADOS'!$C$36+'ESTADO RESULTADOS'!$C$71)/1375</f>
        <v>24762.287272727273</v>
      </c>
      <c r="M266" s="122">
        <v>0</v>
      </c>
      <c r="N266" s="122">
        <f t="shared" si="52"/>
        <v>153193.25630794844</v>
      </c>
      <c r="O266" s="122">
        <f t="shared" si="53"/>
        <v>51064.418769316144</v>
      </c>
      <c r="P266" s="336">
        <f t="shared" si="57"/>
        <v>-97693.256307948439</v>
      </c>
      <c r="Q266" s="336">
        <f t="shared" si="58"/>
        <v>35398.082769316141</v>
      </c>
      <c r="R266" s="303">
        <f t="shared" si="59"/>
        <v>2.2594997815262063</v>
      </c>
    </row>
    <row r="267" spans="1:18" x14ac:dyDescent="0.3">
      <c r="A267" s="2">
        <v>476</v>
      </c>
      <c r="B267" s="41" t="s">
        <v>1636</v>
      </c>
      <c r="C267" s="2">
        <v>9</v>
      </c>
      <c r="D267" s="2" t="s">
        <v>12</v>
      </c>
      <c r="E267" s="294">
        <v>47073.599999999999</v>
      </c>
      <c r="F267" s="296">
        <v>54500</v>
      </c>
      <c r="G267" s="352">
        <v>4</v>
      </c>
      <c r="H267" s="296">
        <f t="shared" si="54"/>
        <v>188294.39999999999</v>
      </c>
      <c r="I267" s="122">
        <f t="shared" si="55"/>
        <v>218000</v>
      </c>
      <c r="J267" s="331">
        <f t="shared" si="56"/>
        <v>29705.600000000006</v>
      </c>
      <c r="K267" s="292">
        <f>'09-RESUMEN'!$F$43/1375</f>
        <v>81431.961035221175</v>
      </c>
      <c r="L267" s="122">
        <f>('ESTADO RESULTADOS'!$C$36+'ESTADO RESULTADOS'!$C$71)/1375</f>
        <v>24762.287272727273</v>
      </c>
      <c r="M267" s="122">
        <v>0</v>
      </c>
      <c r="N267" s="122">
        <f t="shared" si="52"/>
        <v>294488.64830794843</v>
      </c>
      <c r="O267" s="122">
        <f t="shared" si="53"/>
        <v>73622.162076987108</v>
      </c>
      <c r="P267" s="336">
        <f t="shared" si="57"/>
        <v>-76488.648307948431</v>
      </c>
      <c r="Q267" s="336">
        <f t="shared" si="58"/>
        <v>26548.562076987109</v>
      </c>
      <c r="R267" s="303">
        <f t="shared" si="59"/>
        <v>0.56397985446167509</v>
      </c>
    </row>
    <row r="268" spans="1:18" x14ac:dyDescent="0.3">
      <c r="A268" s="2">
        <v>478</v>
      </c>
      <c r="B268" s="41" t="s">
        <v>249</v>
      </c>
      <c r="C268" s="2">
        <v>9</v>
      </c>
      <c r="D268" s="2" t="s">
        <v>12</v>
      </c>
      <c r="E268" s="294">
        <v>17841.599999999999</v>
      </c>
      <c r="F268" s="296">
        <v>20500</v>
      </c>
      <c r="G268" s="352">
        <v>1</v>
      </c>
      <c r="H268" s="296">
        <f t="shared" si="54"/>
        <v>17841.599999999999</v>
      </c>
      <c r="I268" s="122">
        <f t="shared" si="55"/>
        <v>20500</v>
      </c>
      <c r="J268" s="331">
        <f t="shared" si="56"/>
        <v>2658.4000000000015</v>
      </c>
      <c r="K268" s="292">
        <f>'09-RESUMEN'!$F$43/1375</f>
        <v>81431.961035221175</v>
      </c>
      <c r="L268" s="122">
        <f>('ESTADO RESULTADOS'!$C$36+'ESTADO RESULTADOS'!$C$71)/1375</f>
        <v>24762.287272727273</v>
      </c>
      <c r="M268" s="122">
        <v>0</v>
      </c>
      <c r="N268" s="122">
        <f t="shared" si="52"/>
        <v>124035.84830794846</v>
      </c>
      <c r="O268" s="122">
        <f t="shared" si="53"/>
        <v>124035.84830794846</v>
      </c>
      <c r="P268" s="336">
        <f t="shared" si="57"/>
        <v>-103535.84830794846</v>
      </c>
      <c r="Q268" s="336">
        <f t="shared" si="58"/>
        <v>106194.24830794847</v>
      </c>
      <c r="R268" s="303">
        <f t="shared" si="59"/>
        <v>5.9520585770305621</v>
      </c>
    </row>
    <row r="269" spans="1:18" x14ac:dyDescent="0.3">
      <c r="A269" s="2">
        <v>479</v>
      </c>
      <c r="B269" s="41" t="s">
        <v>250</v>
      </c>
      <c r="C269" s="2">
        <v>9</v>
      </c>
      <c r="D269" s="2" t="s">
        <v>12</v>
      </c>
      <c r="E269" s="294">
        <v>16245.936</v>
      </c>
      <c r="F269" s="296">
        <v>20200</v>
      </c>
      <c r="G269" s="352">
        <v>3</v>
      </c>
      <c r="H269" s="296">
        <f t="shared" si="54"/>
        <v>48737.807999999997</v>
      </c>
      <c r="I269" s="122">
        <f t="shared" si="55"/>
        <v>60600</v>
      </c>
      <c r="J269" s="331">
        <f t="shared" si="56"/>
        <v>11862.192000000003</v>
      </c>
      <c r="K269" s="292">
        <f>'09-RESUMEN'!$F$43/1375</f>
        <v>81431.961035221175</v>
      </c>
      <c r="L269" s="122">
        <f>('ESTADO RESULTADOS'!$C$36+'ESTADO RESULTADOS'!$C$71)/1375</f>
        <v>24762.287272727273</v>
      </c>
      <c r="M269" s="122">
        <v>0</v>
      </c>
      <c r="N269" s="122">
        <f t="shared" si="52"/>
        <v>154932.05630794843</v>
      </c>
      <c r="O269" s="122">
        <f t="shared" si="53"/>
        <v>51644.018769316142</v>
      </c>
      <c r="P269" s="336">
        <f t="shared" si="57"/>
        <v>-94332.056307948427</v>
      </c>
      <c r="Q269" s="336">
        <f t="shared" si="58"/>
        <v>35398.082769316141</v>
      </c>
      <c r="R269" s="303">
        <f t="shared" si="59"/>
        <v>2.1788884782825773</v>
      </c>
    </row>
    <row r="270" spans="1:18" x14ac:dyDescent="0.3">
      <c r="A270" s="2">
        <v>480</v>
      </c>
      <c r="B270" s="41" t="s">
        <v>1637</v>
      </c>
      <c r="C270" s="2">
        <v>9</v>
      </c>
      <c r="D270" s="2" t="s">
        <v>12</v>
      </c>
      <c r="E270" s="294">
        <v>14522.255999999999</v>
      </c>
      <c r="F270" s="296">
        <v>19366.666666666668</v>
      </c>
      <c r="G270" s="352">
        <v>10</v>
      </c>
      <c r="H270" s="296">
        <f t="shared" si="54"/>
        <v>145222.56</v>
      </c>
      <c r="I270" s="122">
        <f t="shared" si="55"/>
        <v>193666.66666666669</v>
      </c>
      <c r="J270" s="331">
        <f t="shared" si="56"/>
        <v>48444.106666666688</v>
      </c>
      <c r="K270" s="292">
        <f>'09-RESUMEN'!$F$43/1375</f>
        <v>81431.961035221175</v>
      </c>
      <c r="L270" s="122">
        <f>('ESTADO RESULTADOS'!$C$36+'ESTADO RESULTADOS'!$C$71)/1375</f>
        <v>24762.287272727273</v>
      </c>
      <c r="M270" s="122">
        <v>0</v>
      </c>
      <c r="N270" s="122">
        <f t="shared" si="52"/>
        <v>251416.80830794843</v>
      </c>
      <c r="O270" s="122">
        <f t="shared" si="53"/>
        <v>25141.680830794845</v>
      </c>
      <c r="P270" s="336">
        <f t="shared" si="57"/>
        <v>-57750.141641281749</v>
      </c>
      <c r="Q270" s="336">
        <f t="shared" si="58"/>
        <v>10619.424830794846</v>
      </c>
      <c r="R270" s="303">
        <f t="shared" si="59"/>
        <v>0.73125173050212355</v>
      </c>
    </row>
    <row r="271" spans="1:18" x14ac:dyDescent="0.3">
      <c r="A271" s="2">
        <v>481</v>
      </c>
      <c r="B271" s="41" t="s">
        <v>251</v>
      </c>
      <c r="C271" s="2">
        <v>14</v>
      </c>
      <c r="D271" s="2" t="s">
        <v>104</v>
      </c>
      <c r="E271" s="294">
        <v>7339.2</v>
      </c>
      <c r="F271" s="296">
        <v>9600</v>
      </c>
      <c r="G271" s="352">
        <v>9</v>
      </c>
      <c r="H271" s="296">
        <f t="shared" si="54"/>
        <v>66052.800000000003</v>
      </c>
      <c r="I271" s="122">
        <f t="shared" si="55"/>
        <v>86400</v>
      </c>
      <c r="J271" s="331">
        <f t="shared" si="56"/>
        <v>20347.199999999997</v>
      </c>
      <c r="K271" s="292">
        <f>'09-RESUMEN'!$F$43/1375</f>
        <v>81431.961035221175</v>
      </c>
      <c r="L271" s="122">
        <f>('ESTADO RESULTADOS'!$C$36+'ESTADO RESULTADOS'!$C$71)/1375</f>
        <v>24762.287272727273</v>
      </c>
      <c r="M271" s="122">
        <v>0</v>
      </c>
      <c r="N271" s="122">
        <f t="shared" si="52"/>
        <v>172247.04830794843</v>
      </c>
      <c r="O271" s="122">
        <f t="shared" si="53"/>
        <v>19138.560923105382</v>
      </c>
      <c r="P271" s="336">
        <f t="shared" si="57"/>
        <v>-85847.048307948426</v>
      </c>
      <c r="Q271" s="336">
        <f t="shared" si="58"/>
        <v>11799.360923105382</v>
      </c>
      <c r="R271" s="303">
        <f t="shared" si="59"/>
        <v>1.6077175881711061</v>
      </c>
    </row>
    <row r="272" spans="1:18" x14ac:dyDescent="0.3">
      <c r="A272" s="2">
        <v>489</v>
      </c>
      <c r="B272" s="41" t="s">
        <v>1638</v>
      </c>
      <c r="C272" s="2">
        <v>14</v>
      </c>
      <c r="D272" s="2" t="s">
        <v>1639</v>
      </c>
      <c r="E272" s="294">
        <v>2099</v>
      </c>
      <c r="F272" s="296">
        <v>3300</v>
      </c>
      <c r="G272" s="352">
        <v>0</v>
      </c>
      <c r="H272" s="296">
        <f t="shared" si="54"/>
        <v>0</v>
      </c>
      <c r="I272" s="122">
        <f t="shared" si="55"/>
        <v>0</v>
      </c>
      <c r="J272" s="331">
        <f t="shared" si="56"/>
        <v>0</v>
      </c>
      <c r="K272" s="292">
        <f>'09-RESUMEN'!$F$43/1375</f>
        <v>81431.961035221175</v>
      </c>
      <c r="L272" s="122">
        <f>('ESTADO RESULTADOS'!$C$36+'ESTADO RESULTADOS'!$C$71)/1375</f>
        <v>24762.287272727273</v>
      </c>
      <c r="M272" s="122">
        <v>0</v>
      </c>
      <c r="N272" s="122">
        <f>SUM(E272+K272+L272+M272)</f>
        <v>108293.24830794845</v>
      </c>
      <c r="O272" s="122">
        <f>N272</f>
        <v>108293.24830794845</v>
      </c>
      <c r="P272" s="336">
        <f t="shared" si="57"/>
        <v>-108293.24830794845</v>
      </c>
      <c r="Q272" s="336">
        <f t="shared" si="58"/>
        <v>106194.24830794845</v>
      </c>
      <c r="R272" s="303">
        <f t="shared" si="59"/>
        <v>50.592781471152193</v>
      </c>
    </row>
    <row r="273" spans="1:18" x14ac:dyDescent="0.3">
      <c r="A273" s="2">
        <v>492</v>
      </c>
      <c r="B273" s="41" t="s">
        <v>252</v>
      </c>
      <c r="C273" s="2">
        <v>2</v>
      </c>
      <c r="D273" s="2" t="s">
        <v>10</v>
      </c>
      <c r="E273" s="294">
        <v>99100</v>
      </c>
      <c r="F273" s="296">
        <v>106700</v>
      </c>
      <c r="G273" s="352">
        <v>38</v>
      </c>
      <c r="H273" s="296">
        <f t="shared" si="54"/>
        <v>3765800</v>
      </c>
      <c r="I273" s="122">
        <f t="shared" si="55"/>
        <v>4054600</v>
      </c>
      <c r="J273" s="331">
        <f t="shared" si="56"/>
        <v>288800</v>
      </c>
      <c r="K273" s="292">
        <f>'09-RESUMEN'!$F$43/1375</f>
        <v>81431.961035221175</v>
      </c>
      <c r="L273" s="122">
        <f>('ESTADO RESULTADOS'!$C$36+'ESTADO RESULTADOS'!$C$71)/1375</f>
        <v>24762.287272727273</v>
      </c>
      <c r="M273" s="122">
        <v>0</v>
      </c>
      <c r="N273" s="122">
        <f>SUM(H273+K273+L273+M273)</f>
        <v>3871994.2483079485</v>
      </c>
      <c r="O273" s="122">
        <f>N273/G273</f>
        <v>101894.58548178812</v>
      </c>
      <c r="P273" s="336">
        <f t="shared" si="57"/>
        <v>182605.75169205153</v>
      </c>
      <c r="Q273" s="336">
        <f t="shared" si="58"/>
        <v>2794.5854817881191</v>
      </c>
      <c r="R273" s="303">
        <f t="shared" si="59"/>
        <v>2.8199651683028445E-2</v>
      </c>
    </row>
    <row r="274" spans="1:18" x14ac:dyDescent="0.3">
      <c r="A274" s="2">
        <v>494</v>
      </c>
      <c r="B274" s="41" t="s">
        <v>1640</v>
      </c>
      <c r="C274" s="2">
        <v>14</v>
      </c>
      <c r="D274" s="2" t="s">
        <v>5</v>
      </c>
      <c r="E274" s="294">
        <v>22777</v>
      </c>
      <c r="F274" s="296">
        <v>28900</v>
      </c>
      <c r="G274" s="352">
        <v>0</v>
      </c>
      <c r="H274" s="296">
        <f t="shared" si="54"/>
        <v>0</v>
      </c>
      <c r="I274" s="122">
        <f t="shared" si="55"/>
        <v>0</v>
      </c>
      <c r="J274" s="331">
        <f t="shared" si="56"/>
        <v>0</v>
      </c>
      <c r="K274" s="292">
        <f>'09-RESUMEN'!$F$43/1375</f>
        <v>81431.961035221175</v>
      </c>
      <c r="L274" s="122">
        <f>('ESTADO RESULTADOS'!$C$36+'ESTADO RESULTADOS'!$C$71)/1375</f>
        <v>24762.287272727273</v>
      </c>
      <c r="M274" s="122">
        <v>0</v>
      </c>
      <c r="N274" s="122">
        <f>SUM(E274+K274+L274+M274)</f>
        <v>128971.24830794845</v>
      </c>
      <c r="O274" s="122">
        <f>N274</f>
        <v>128971.24830794845</v>
      </c>
      <c r="P274" s="336">
        <f t="shared" si="57"/>
        <v>-128971.24830794845</v>
      </c>
      <c r="Q274" s="336">
        <f t="shared" si="58"/>
        <v>106194.24830794845</v>
      </c>
      <c r="R274" s="303">
        <f t="shared" si="59"/>
        <v>4.6623457131294046</v>
      </c>
    </row>
    <row r="275" spans="1:18" x14ac:dyDescent="0.3">
      <c r="A275" s="2">
        <v>496</v>
      </c>
      <c r="B275" s="41" t="s">
        <v>1641</v>
      </c>
      <c r="C275" s="2">
        <v>5</v>
      </c>
      <c r="D275" s="2" t="s">
        <v>16</v>
      </c>
      <c r="E275" s="294">
        <v>18326</v>
      </c>
      <c r="F275" s="296">
        <v>23000</v>
      </c>
      <c r="G275" s="352">
        <v>13</v>
      </c>
      <c r="H275" s="296">
        <f t="shared" si="54"/>
        <v>238238</v>
      </c>
      <c r="I275" s="122">
        <f t="shared" si="55"/>
        <v>299000</v>
      </c>
      <c r="J275" s="331">
        <f t="shared" si="56"/>
        <v>60762</v>
      </c>
      <c r="K275" s="292">
        <f>'09-RESUMEN'!$F$43/1375</f>
        <v>81431.961035221175</v>
      </c>
      <c r="L275" s="122">
        <f>('ESTADO RESULTADOS'!$C$36+'ESTADO RESULTADOS'!$C$71)/1375</f>
        <v>24762.287272727273</v>
      </c>
      <c r="M275" s="122">
        <v>0</v>
      </c>
      <c r="N275" s="122">
        <f>SUM(H275+K275+L275+M275)</f>
        <v>344432.24830794847</v>
      </c>
      <c r="O275" s="122">
        <f>N275/G275</f>
        <v>26494.788331380652</v>
      </c>
      <c r="P275" s="336">
        <f t="shared" si="57"/>
        <v>-45432.248307948466</v>
      </c>
      <c r="Q275" s="336">
        <f t="shared" si="58"/>
        <v>8168.7883313806524</v>
      </c>
      <c r="R275" s="303">
        <f t="shared" si="59"/>
        <v>0.44574857204958268</v>
      </c>
    </row>
    <row r="276" spans="1:18" x14ac:dyDescent="0.3">
      <c r="A276" s="2">
        <v>499</v>
      </c>
      <c r="B276" s="41" t="s">
        <v>253</v>
      </c>
      <c r="C276" s="2">
        <v>9</v>
      </c>
      <c r="D276" s="2" t="s">
        <v>12</v>
      </c>
      <c r="E276" s="294">
        <v>14308</v>
      </c>
      <c r="F276" s="296">
        <v>16500</v>
      </c>
      <c r="G276" s="352">
        <v>0</v>
      </c>
      <c r="H276" s="296">
        <f t="shared" si="54"/>
        <v>0</v>
      </c>
      <c r="I276" s="122">
        <f t="shared" si="55"/>
        <v>0</v>
      </c>
      <c r="J276" s="331">
        <f t="shared" si="56"/>
        <v>0</v>
      </c>
      <c r="K276" s="292">
        <f>'09-RESUMEN'!$F$43/1375</f>
        <v>81431.961035221175</v>
      </c>
      <c r="L276" s="122">
        <f>('ESTADO RESULTADOS'!$C$36+'ESTADO RESULTADOS'!$C$71)/1375</f>
        <v>24762.287272727273</v>
      </c>
      <c r="M276" s="122">
        <v>0</v>
      </c>
      <c r="N276" s="122">
        <f>SUM(E276+K276+L276+M276)</f>
        <v>120502.24830794845</v>
      </c>
      <c r="O276" s="122">
        <f>N276</f>
        <v>120502.24830794845</v>
      </c>
      <c r="P276" s="336">
        <f t="shared" si="57"/>
        <v>-120502.24830794845</v>
      </c>
      <c r="Q276" s="336">
        <f t="shared" si="58"/>
        <v>106194.24830794845</v>
      </c>
      <c r="R276" s="303">
        <f t="shared" si="59"/>
        <v>7.4220190318666797</v>
      </c>
    </row>
    <row r="277" spans="1:18" x14ac:dyDescent="0.3">
      <c r="A277" s="2">
        <v>500</v>
      </c>
      <c r="B277" s="41" t="s">
        <v>254</v>
      </c>
      <c r="C277" s="2">
        <v>7</v>
      </c>
      <c r="D277" s="2" t="s">
        <v>160</v>
      </c>
      <c r="E277" s="294">
        <v>2420</v>
      </c>
      <c r="F277" s="296">
        <v>2800</v>
      </c>
      <c r="G277" s="352">
        <v>5</v>
      </c>
      <c r="H277" s="296">
        <f t="shared" si="54"/>
        <v>12100</v>
      </c>
      <c r="I277" s="122">
        <f t="shared" si="55"/>
        <v>14000</v>
      </c>
      <c r="J277" s="331">
        <f t="shared" si="56"/>
        <v>1900</v>
      </c>
      <c r="K277" s="292">
        <f>'09-RESUMEN'!$F$43/1375</f>
        <v>81431.961035221175</v>
      </c>
      <c r="L277" s="122">
        <f>('ESTADO RESULTADOS'!$C$36+'ESTADO RESULTADOS'!$C$71)/1375</f>
        <v>24762.287272727273</v>
      </c>
      <c r="M277" s="122">
        <v>0</v>
      </c>
      <c r="N277" s="122">
        <f>SUM(H277+K277+L277+M277)</f>
        <v>118294.24830794845</v>
      </c>
      <c r="O277" s="122">
        <f>N277/G277</f>
        <v>23658.849661589691</v>
      </c>
      <c r="P277" s="336">
        <f t="shared" si="57"/>
        <v>-104294.24830794845</v>
      </c>
      <c r="Q277" s="336">
        <f t="shared" si="58"/>
        <v>21238.849661589691</v>
      </c>
      <c r="R277" s="303">
        <f t="shared" si="59"/>
        <v>8.7763841576816901</v>
      </c>
    </row>
    <row r="278" spans="1:18" x14ac:dyDescent="0.3">
      <c r="A278" s="2">
        <v>501</v>
      </c>
      <c r="B278" s="41" t="s">
        <v>255</v>
      </c>
      <c r="C278" s="2">
        <v>7</v>
      </c>
      <c r="D278" s="2" t="s">
        <v>160</v>
      </c>
      <c r="E278" s="294">
        <v>2230</v>
      </c>
      <c r="F278" s="296">
        <v>2650</v>
      </c>
      <c r="G278" s="352">
        <v>8</v>
      </c>
      <c r="H278" s="296">
        <f t="shared" si="54"/>
        <v>17840</v>
      </c>
      <c r="I278" s="122">
        <f t="shared" si="55"/>
        <v>21200</v>
      </c>
      <c r="J278" s="331">
        <f t="shared" si="56"/>
        <v>3360</v>
      </c>
      <c r="K278" s="292">
        <f>'09-RESUMEN'!$F$43/1375</f>
        <v>81431.961035221175</v>
      </c>
      <c r="L278" s="122">
        <f>('ESTADO RESULTADOS'!$C$36+'ESTADO RESULTADOS'!$C$71)/1375</f>
        <v>24762.287272727273</v>
      </c>
      <c r="M278" s="122">
        <v>0</v>
      </c>
      <c r="N278" s="122">
        <f>SUM(H278+K278+L278+M278)</f>
        <v>124034.24830794845</v>
      </c>
      <c r="O278" s="122">
        <f>N278/G278</f>
        <v>15504.281038493556</v>
      </c>
      <c r="P278" s="336">
        <f t="shared" si="57"/>
        <v>-102834.24830794845</v>
      </c>
      <c r="Q278" s="336">
        <f t="shared" si="58"/>
        <v>13274.281038493556</v>
      </c>
      <c r="R278" s="303">
        <f t="shared" si="59"/>
        <v>5.9525923939432985</v>
      </c>
    </row>
    <row r="279" spans="1:18" x14ac:dyDescent="0.3">
      <c r="A279" s="2">
        <v>502</v>
      </c>
      <c r="B279" s="41" t="s">
        <v>256</v>
      </c>
      <c r="C279" s="2">
        <v>14</v>
      </c>
      <c r="D279" s="2" t="s">
        <v>32</v>
      </c>
      <c r="E279" s="294">
        <v>13954</v>
      </c>
      <c r="F279" s="296">
        <v>19000</v>
      </c>
      <c r="G279" s="352">
        <v>2</v>
      </c>
      <c r="H279" s="296">
        <f t="shared" si="54"/>
        <v>27908</v>
      </c>
      <c r="I279" s="122">
        <f t="shared" si="55"/>
        <v>38000</v>
      </c>
      <c r="J279" s="331">
        <f t="shared" si="56"/>
        <v>10092</v>
      </c>
      <c r="K279" s="292">
        <f>'09-RESUMEN'!$F$43/1375</f>
        <v>81431.961035221175</v>
      </c>
      <c r="L279" s="122">
        <f>('ESTADO RESULTADOS'!$C$36+'ESTADO RESULTADOS'!$C$71)/1375</f>
        <v>24762.287272727273</v>
      </c>
      <c r="M279" s="122">
        <v>0</v>
      </c>
      <c r="N279" s="122">
        <f>SUM(H279+K279+L279+M279)</f>
        <v>134102.24830794844</v>
      </c>
      <c r="O279" s="122">
        <f>N279/G279</f>
        <v>67051.124153974219</v>
      </c>
      <c r="P279" s="336">
        <f t="shared" si="57"/>
        <v>-96102.248307948437</v>
      </c>
      <c r="Q279" s="336">
        <f t="shared" si="58"/>
        <v>53097.124153974219</v>
      </c>
      <c r="R279" s="303">
        <f t="shared" si="59"/>
        <v>3.8051543753743884</v>
      </c>
    </row>
    <row r="280" spans="1:18" x14ac:dyDescent="0.3">
      <c r="A280" s="2">
        <v>506</v>
      </c>
      <c r="B280" s="41" t="s">
        <v>1642</v>
      </c>
      <c r="C280" s="2">
        <v>14</v>
      </c>
      <c r="D280" s="2" t="s">
        <v>12</v>
      </c>
      <c r="E280" s="294">
        <v>2058</v>
      </c>
      <c r="F280" s="296">
        <v>2500</v>
      </c>
      <c r="G280" s="352">
        <v>0</v>
      </c>
      <c r="H280" s="296">
        <f t="shared" si="54"/>
        <v>0</v>
      </c>
      <c r="I280" s="122">
        <f t="shared" si="55"/>
        <v>0</v>
      </c>
      <c r="J280" s="331">
        <f t="shared" si="56"/>
        <v>0</v>
      </c>
      <c r="K280" s="292">
        <f>'09-RESUMEN'!$F$43/1375</f>
        <v>81431.961035221175</v>
      </c>
      <c r="L280" s="122">
        <f>('ESTADO RESULTADOS'!$C$36+'ESTADO RESULTADOS'!$C$71)/1375</f>
        <v>24762.287272727273</v>
      </c>
      <c r="M280" s="122">
        <v>0</v>
      </c>
      <c r="N280" s="122">
        <f>SUM(E280+K280+L280+M280)</f>
        <v>108252.24830794845</v>
      </c>
      <c r="O280" s="122">
        <f>N280</f>
        <v>108252.24830794845</v>
      </c>
      <c r="P280" s="336">
        <f t="shared" si="57"/>
        <v>-108252.24830794845</v>
      </c>
      <c r="Q280" s="336">
        <f t="shared" si="58"/>
        <v>106194.24830794845</v>
      </c>
      <c r="R280" s="303">
        <f t="shared" si="59"/>
        <v>51.600703745358821</v>
      </c>
    </row>
    <row r="281" spans="1:18" x14ac:dyDescent="0.3">
      <c r="A281" s="2">
        <v>507</v>
      </c>
      <c r="B281" s="41" t="s">
        <v>1643</v>
      </c>
      <c r="C281" s="2">
        <v>5</v>
      </c>
      <c r="D281" s="2" t="s">
        <v>16</v>
      </c>
      <c r="E281" s="294">
        <v>15310</v>
      </c>
      <c r="F281" s="296">
        <v>20000</v>
      </c>
      <c r="G281" s="352">
        <v>1</v>
      </c>
      <c r="H281" s="296">
        <f t="shared" si="54"/>
        <v>15310</v>
      </c>
      <c r="I281" s="122">
        <f t="shared" si="55"/>
        <v>20000</v>
      </c>
      <c r="J281" s="331">
        <f t="shared" si="56"/>
        <v>4690</v>
      </c>
      <c r="K281" s="292">
        <f>'09-RESUMEN'!$F$43/1375</f>
        <v>81431.961035221175</v>
      </c>
      <c r="L281" s="122">
        <f>('ESTADO RESULTADOS'!$C$36+'ESTADO RESULTADOS'!$C$71)/1375</f>
        <v>24762.287272727273</v>
      </c>
      <c r="M281" s="122">
        <v>0</v>
      </c>
      <c r="N281" s="122">
        <f t="shared" ref="N281:N286" si="60">SUM(H281+K281+L281+M281)</f>
        <v>121504.24830794845</v>
      </c>
      <c r="O281" s="122">
        <f t="shared" ref="O281:O286" si="61">N281/G281</f>
        <v>121504.24830794845</v>
      </c>
      <c r="P281" s="336">
        <f t="shared" si="57"/>
        <v>-101504.24830794845</v>
      </c>
      <c r="Q281" s="336">
        <f t="shared" si="58"/>
        <v>106194.24830794845</v>
      </c>
      <c r="R281" s="303">
        <f t="shared" si="59"/>
        <v>6.9362670351370639</v>
      </c>
    </row>
    <row r="282" spans="1:18" x14ac:dyDescent="0.3">
      <c r="A282" s="2">
        <v>509</v>
      </c>
      <c r="B282" s="41" t="s">
        <v>257</v>
      </c>
      <c r="C282" s="2">
        <v>14</v>
      </c>
      <c r="D282" s="2" t="s">
        <v>21</v>
      </c>
      <c r="E282" s="294">
        <v>2438.9074000000001</v>
      </c>
      <c r="F282" s="296">
        <v>3000</v>
      </c>
      <c r="G282" s="352">
        <v>137</v>
      </c>
      <c r="H282" s="296">
        <f t="shared" si="54"/>
        <v>334130.3138</v>
      </c>
      <c r="I282" s="122">
        <f t="shared" si="55"/>
        <v>411000</v>
      </c>
      <c r="J282" s="331">
        <f t="shared" si="56"/>
        <v>76869.686199999996</v>
      </c>
      <c r="K282" s="292">
        <f>'09-RESUMEN'!$F$43/1375</f>
        <v>81431.961035221175</v>
      </c>
      <c r="L282" s="122">
        <f>('ESTADO RESULTADOS'!$C$36+'ESTADO RESULTADOS'!$C$71)/1375</f>
        <v>24762.287272727273</v>
      </c>
      <c r="M282" s="122">
        <v>0</v>
      </c>
      <c r="N282" s="122">
        <f t="shared" si="60"/>
        <v>440324.56210794847</v>
      </c>
      <c r="O282" s="122">
        <f t="shared" si="61"/>
        <v>3214.047898598164</v>
      </c>
      <c r="P282" s="336">
        <f t="shared" si="57"/>
        <v>-29324.56210794847</v>
      </c>
      <c r="Q282" s="336">
        <f t="shared" si="58"/>
        <v>775.14049859816396</v>
      </c>
      <c r="R282" s="303">
        <f t="shared" si="59"/>
        <v>0.31782284911602793</v>
      </c>
    </row>
    <row r="283" spans="1:18" x14ac:dyDescent="0.3">
      <c r="A283" s="2">
        <v>510</v>
      </c>
      <c r="B283" s="41" t="s">
        <v>1644</v>
      </c>
      <c r="C283" s="2">
        <v>12</v>
      </c>
      <c r="D283" s="2" t="s">
        <v>12</v>
      </c>
      <c r="E283" s="294">
        <v>3808</v>
      </c>
      <c r="F283" s="296">
        <v>4800</v>
      </c>
      <c r="G283" s="352">
        <v>2</v>
      </c>
      <c r="H283" s="296">
        <f t="shared" si="54"/>
        <v>7616</v>
      </c>
      <c r="I283" s="122">
        <f t="shared" si="55"/>
        <v>9600</v>
      </c>
      <c r="J283" s="331">
        <f t="shared" si="56"/>
        <v>1984</v>
      </c>
      <c r="K283" s="292">
        <f>'09-RESUMEN'!$F$43/1375</f>
        <v>81431.961035221175</v>
      </c>
      <c r="L283" s="122">
        <f>('ESTADO RESULTADOS'!$C$36+'ESTADO RESULTADOS'!$C$71)/1375</f>
        <v>24762.287272727273</v>
      </c>
      <c r="M283" s="122">
        <v>0</v>
      </c>
      <c r="N283" s="122">
        <f t="shared" si="60"/>
        <v>113810.24830794845</v>
      </c>
      <c r="O283" s="122">
        <f t="shared" si="61"/>
        <v>56905.124153974226</v>
      </c>
      <c r="P283" s="336">
        <f t="shared" si="57"/>
        <v>-104210.24830794845</v>
      </c>
      <c r="Q283" s="336">
        <f t="shared" si="58"/>
        <v>53097.124153974226</v>
      </c>
      <c r="R283" s="303">
        <f t="shared" si="59"/>
        <v>13.943572519426004</v>
      </c>
    </row>
    <row r="284" spans="1:18" x14ac:dyDescent="0.3">
      <c r="A284" s="2">
        <v>514</v>
      </c>
      <c r="B284" s="41" t="s">
        <v>258</v>
      </c>
      <c r="C284" s="2">
        <v>6</v>
      </c>
      <c r="D284" s="2" t="s">
        <v>16</v>
      </c>
      <c r="E284" s="294">
        <v>48791</v>
      </c>
      <c r="F284" s="296">
        <v>56200</v>
      </c>
      <c r="G284" s="352">
        <v>4</v>
      </c>
      <c r="H284" s="296">
        <f t="shared" si="54"/>
        <v>195164</v>
      </c>
      <c r="I284" s="122">
        <f t="shared" si="55"/>
        <v>224800</v>
      </c>
      <c r="J284" s="331">
        <f t="shared" si="56"/>
        <v>29636</v>
      </c>
      <c r="K284" s="292">
        <f>'09-RESUMEN'!$F$43/1375</f>
        <v>81431.961035221175</v>
      </c>
      <c r="L284" s="122">
        <f>('ESTADO RESULTADOS'!$C$36+'ESTADO RESULTADOS'!$C$71)/1375</f>
        <v>24762.287272727273</v>
      </c>
      <c r="M284" s="122">
        <v>0</v>
      </c>
      <c r="N284" s="122">
        <f t="shared" si="60"/>
        <v>301358.24830794847</v>
      </c>
      <c r="O284" s="122">
        <f t="shared" si="61"/>
        <v>75339.562076987117</v>
      </c>
      <c r="P284" s="336">
        <f t="shared" si="57"/>
        <v>-76558.248307948466</v>
      </c>
      <c r="Q284" s="336">
        <f t="shared" si="58"/>
        <v>26548.562076987117</v>
      </c>
      <c r="R284" s="303">
        <f t="shared" si="59"/>
        <v>0.54412826293757288</v>
      </c>
    </row>
    <row r="285" spans="1:18" x14ac:dyDescent="0.3">
      <c r="A285" s="2">
        <v>519</v>
      </c>
      <c r="B285" s="41" t="s">
        <v>259</v>
      </c>
      <c r="C285" s="2">
        <v>9</v>
      </c>
      <c r="D285" s="2" t="s">
        <v>56</v>
      </c>
      <c r="E285" s="294">
        <v>2237</v>
      </c>
      <c r="F285" s="296">
        <v>4400</v>
      </c>
      <c r="G285" s="352">
        <v>3</v>
      </c>
      <c r="H285" s="296">
        <f t="shared" si="54"/>
        <v>6711</v>
      </c>
      <c r="I285" s="122">
        <f t="shared" si="55"/>
        <v>13200</v>
      </c>
      <c r="J285" s="331">
        <f t="shared" si="56"/>
        <v>6489</v>
      </c>
      <c r="K285" s="292">
        <f>'09-RESUMEN'!$F$43/1375</f>
        <v>81431.961035221175</v>
      </c>
      <c r="L285" s="122">
        <f>('ESTADO RESULTADOS'!$C$36+'ESTADO RESULTADOS'!$C$71)/1375</f>
        <v>24762.287272727273</v>
      </c>
      <c r="M285" s="122">
        <v>0</v>
      </c>
      <c r="N285" s="122">
        <f t="shared" si="60"/>
        <v>112905.24830794845</v>
      </c>
      <c r="O285" s="122">
        <f t="shared" si="61"/>
        <v>37635.082769316148</v>
      </c>
      <c r="P285" s="336">
        <f t="shared" si="57"/>
        <v>-99705.248307948452</v>
      </c>
      <c r="Q285" s="336">
        <f t="shared" si="58"/>
        <v>35398.082769316148</v>
      </c>
      <c r="R285" s="303">
        <f t="shared" si="59"/>
        <v>15.823908256287952</v>
      </c>
    </row>
    <row r="286" spans="1:18" x14ac:dyDescent="0.3">
      <c r="A286" s="2">
        <v>520</v>
      </c>
      <c r="B286" s="41" t="s">
        <v>260</v>
      </c>
      <c r="C286" s="2">
        <v>9</v>
      </c>
      <c r="D286" s="2" t="s">
        <v>56</v>
      </c>
      <c r="E286" s="294">
        <v>3518.83</v>
      </c>
      <c r="F286" s="296">
        <v>5100</v>
      </c>
      <c r="G286" s="352">
        <v>19</v>
      </c>
      <c r="H286" s="296">
        <f t="shared" si="54"/>
        <v>66857.77</v>
      </c>
      <c r="I286" s="122">
        <f t="shared" si="55"/>
        <v>96900</v>
      </c>
      <c r="J286" s="331">
        <f t="shared" si="56"/>
        <v>30042.229999999996</v>
      </c>
      <c r="K286" s="292">
        <f>'09-RESUMEN'!$F$43/1375</f>
        <v>81431.961035221175</v>
      </c>
      <c r="L286" s="122">
        <f>('ESTADO RESULTADOS'!$C$36+'ESTADO RESULTADOS'!$C$71)/1375</f>
        <v>24762.287272727273</v>
      </c>
      <c r="M286" s="122">
        <v>0</v>
      </c>
      <c r="N286" s="122">
        <f t="shared" si="60"/>
        <v>173052.01830794846</v>
      </c>
      <c r="O286" s="122">
        <f t="shared" si="61"/>
        <v>9108.0009635762344</v>
      </c>
      <c r="P286" s="336">
        <f t="shared" si="57"/>
        <v>-76152.018307948456</v>
      </c>
      <c r="Q286" s="336">
        <f t="shared" si="58"/>
        <v>5589.1709635762345</v>
      </c>
      <c r="R286" s="303">
        <f t="shared" si="59"/>
        <v>1.5883606095140244</v>
      </c>
    </row>
    <row r="287" spans="1:18" x14ac:dyDescent="0.3">
      <c r="A287" s="2">
        <v>521</v>
      </c>
      <c r="B287" s="41" t="s">
        <v>261</v>
      </c>
      <c r="C287" s="2">
        <v>9</v>
      </c>
      <c r="D287" s="2" t="s">
        <v>56</v>
      </c>
      <c r="E287" s="294">
        <v>2000</v>
      </c>
      <c r="F287" s="296">
        <v>2000</v>
      </c>
      <c r="G287" s="352">
        <v>0</v>
      </c>
      <c r="H287" s="296">
        <f t="shared" si="54"/>
        <v>0</v>
      </c>
      <c r="I287" s="122">
        <f t="shared" si="55"/>
        <v>0</v>
      </c>
      <c r="J287" s="331">
        <f t="shared" si="56"/>
        <v>0</v>
      </c>
      <c r="K287" s="292">
        <f>'09-RESUMEN'!$F$43/1375</f>
        <v>81431.961035221175</v>
      </c>
      <c r="L287" s="122">
        <f>('ESTADO RESULTADOS'!$C$36+'ESTADO RESULTADOS'!$C$71)/1375</f>
        <v>24762.287272727273</v>
      </c>
      <c r="M287" s="122">
        <v>0</v>
      </c>
      <c r="N287" s="122">
        <f>SUM(E287+K287+L287+M287)</f>
        <v>108194.24830794845</v>
      </c>
      <c r="O287" s="122">
        <f>N287</f>
        <v>108194.24830794845</v>
      </c>
      <c r="P287" s="336">
        <f t="shared" si="57"/>
        <v>-108194.24830794845</v>
      </c>
      <c r="Q287" s="336">
        <f t="shared" si="58"/>
        <v>106194.24830794845</v>
      </c>
      <c r="R287" s="303">
        <f t="shared" si="59"/>
        <v>53.097124153974228</v>
      </c>
    </row>
    <row r="288" spans="1:18" x14ac:dyDescent="0.3">
      <c r="A288" s="2">
        <v>522</v>
      </c>
      <c r="B288" s="41" t="s">
        <v>262</v>
      </c>
      <c r="C288" s="2">
        <v>9</v>
      </c>
      <c r="D288" s="2" t="s">
        <v>56</v>
      </c>
      <c r="E288" s="294">
        <v>3518.83</v>
      </c>
      <c r="F288" s="296">
        <v>5200</v>
      </c>
      <c r="G288" s="352">
        <v>14</v>
      </c>
      <c r="H288" s="296">
        <f t="shared" si="54"/>
        <v>49263.619999999995</v>
      </c>
      <c r="I288" s="122">
        <f t="shared" si="55"/>
        <v>72800</v>
      </c>
      <c r="J288" s="331">
        <f t="shared" si="56"/>
        <v>23536.380000000005</v>
      </c>
      <c r="K288" s="292">
        <f>'09-RESUMEN'!$F$43/1375</f>
        <v>81431.961035221175</v>
      </c>
      <c r="L288" s="122">
        <f>('ESTADO RESULTADOS'!$C$36+'ESTADO RESULTADOS'!$C$71)/1375</f>
        <v>24762.287272727273</v>
      </c>
      <c r="M288" s="122">
        <v>0</v>
      </c>
      <c r="N288" s="122">
        <f t="shared" ref="N288:N298" si="62">SUM(H288+K288+L288+M288)</f>
        <v>155457.86830794843</v>
      </c>
      <c r="O288" s="122">
        <f t="shared" ref="O288:O298" si="63">N288/G288</f>
        <v>11104.133450567746</v>
      </c>
      <c r="P288" s="336">
        <f t="shared" si="57"/>
        <v>-82657.868307948433</v>
      </c>
      <c r="Q288" s="336">
        <f t="shared" si="58"/>
        <v>7585.303450567746</v>
      </c>
      <c r="R288" s="303">
        <f t="shared" si="59"/>
        <v>2.1556322557690328</v>
      </c>
    </row>
    <row r="289" spans="1:18" x14ac:dyDescent="0.3">
      <c r="A289" s="2">
        <v>523</v>
      </c>
      <c r="B289" s="41" t="s">
        <v>263</v>
      </c>
      <c r="C289" s="2">
        <v>9</v>
      </c>
      <c r="D289" s="2" t="s">
        <v>56</v>
      </c>
      <c r="E289" s="294">
        <v>3500</v>
      </c>
      <c r="F289" s="296">
        <v>3500</v>
      </c>
      <c r="G289" s="352">
        <v>1</v>
      </c>
      <c r="H289" s="296">
        <f t="shared" si="54"/>
        <v>3500</v>
      </c>
      <c r="I289" s="122">
        <f t="shared" si="55"/>
        <v>3500</v>
      </c>
      <c r="J289" s="331">
        <f t="shared" si="56"/>
        <v>0</v>
      </c>
      <c r="K289" s="292">
        <f>'09-RESUMEN'!$F$43/1375</f>
        <v>81431.961035221175</v>
      </c>
      <c r="L289" s="122">
        <f>('ESTADO RESULTADOS'!$C$36+'ESTADO RESULTADOS'!$C$71)/1375</f>
        <v>24762.287272727273</v>
      </c>
      <c r="M289" s="122">
        <v>0</v>
      </c>
      <c r="N289" s="122">
        <f t="shared" si="62"/>
        <v>109694.24830794845</v>
      </c>
      <c r="O289" s="122">
        <f t="shared" si="63"/>
        <v>109694.24830794845</v>
      </c>
      <c r="P289" s="336">
        <f t="shared" si="57"/>
        <v>-106194.24830794845</v>
      </c>
      <c r="Q289" s="336">
        <f t="shared" si="58"/>
        <v>106194.24830794845</v>
      </c>
      <c r="R289" s="303">
        <f t="shared" si="59"/>
        <v>30.341213802270985</v>
      </c>
    </row>
    <row r="290" spans="1:18" x14ac:dyDescent="0.3">
      <c r="A290" s="2">
        <v>524</v>
      </c>
      <c r="B290" s="41" t="s">
        <v>264</v>
      </c>
      <c r="C290" s="2">
        <v>6</v>
      </c>
      <c r="D290" s="2" t="s">
        <v>16</v>
      </c>
      <c r="E290" s="294">
        <v>39819</v>
      </c>
      <c r="F290" s="296">
        <v>47000</v>
      </c>
      <c r="G290" s="352">
        <v>10</v>
      </c>
      <c r="H290" s="296">
        <f t="shared" si="54"/>
        <v>398190</v>
      </c>
      <c r="I290" s="122">
        <f t="shared" si="55"/>
        <v>470000</v>
      </c>
      <c r="J290" s="331">
        <f t="shared" si="56"/>
        <v>71810</v>
      </c>
      <c r="K290" s="292">
        <f>'09-RESUMEN'!$F$43/1375</f>
        <v>81431.961035221175</v>
      </c>
      <c r="L290" s="122">
        <f>('ESTADO RESULTADOS'!$C$36+'ESTADO RESULTADOS'!$C$71)/1375</f>
        <v>24762.287272727273</v>
      </c>
      <c r="M290" s="122">
        <v>0</v>
      </c>
      <c r="N290" s="122">
        <f t="shared" si="62"/>
        <v>504384.24830794847</v>
      </c>
      <c r="O290" s="122">
        <f t="shared" si="63"/>
        <v>50438.424830794844</v>
      </c>
      <c r="P290" s="336">
        <f t="shared" si="57"/>
        <v>-34384.248307948466</v>
      </c>
      <c r="Q290" s="336">
        <f t="shared" si="58"/>
        <v>10619.424830794844</v>
      </c>
      <c r="R290" s="303">
        <f t="shared" si="59"/>
        <v>0.26669240389750731</v>
      </c>
    </row>
    <row r="291" spans="1:18" x14ac:dyDescent="0.3">
      <c r="A291" s="2">
        <v>525</v>
      </c>
      <c r="B291" s="41" t="s">
        <v>265</v>
      </c>
      <c r="C291" s="2">
        <v>14</v>
      </c>
      <c r="D291" s="2" t="s">
        <v>59</v>
      </c>
      <c r="E291" s="294">
        <v>5506.6124</v>
      </c>
      <c r="F291" s="296">
        <v>7500</v>
      </c>
      <c r="G291" s="352">
        <v>6</v>
      </c>
      <c r="H291" s="296">
        <f t="shared" si="54"/>
        <v>33039.674400000004</v>
      </c>
      <c r="I291" s="122">
        <f t="shared" si="55"/>
        <v>45000</v>
      </c>
      <c r="J291" s="331">
        <f t="shared" si="56"/>
        <v>11960.325599999996</v>
      </c>
      <c r="K291" s="292">
        <f>'09-RESUMEN'!$F$43/1375</f>
        <v>81431.961035221175</v>
      </c>
      <c r="L291" s="122">
        <f>('ESTADO RESULTADOS'!$C$36+'ESTADO RESULTADOS'!$C$71)/1375</f>
        <v>24762.287272727273</v>
      </c>
      <c r="M291" s="122">
        <v>0</v>
      </c>
      <c r="N291" s="122">
        <f t="shared" si="62"/>
        <v>139233.92270794846</v>
      </c>
      <c r="O291" s="122">
        <f t="shared" si="63"/>
        <v>23205.653784658076</v>
      </c>
      <c r="P291" s="336">
        <f t="shared" si="57"/>
        <v>-94233.922707948455</v>
      </c>
      <c r="Q291" s="336">
        <f t="shared" si="58"/>
        <v>17699.041384658078</v>
      </c>
      <c r="R291" s="303">
        <f t="shared" si="59"/>
        <v>3.2141433060838054</v>
      </c>
    </row>
    <row r="292" spans="1:18" x14ac:dyDescent="0.3">
      <c r="A292" s="2">
        <v>526</v>
      </c>
      <c r="B292" s="41" t="s">
        <v>266</v>
      </c>
      <c r="C292" s="2">
        <v>14</v>
      </c>
      <c r="D292" s="2" t="s">
        <v>50</v>
      </c>
      <c r="E292" s="294">
        <v>213.4</v>
      </c>
      <c r="F292" s="296">
        <v>350</v>
      </c>
      <c r="G292" s="352">
        <v>277</v>
      </c>
      <c r="H292" s="296">
        <f t="shared" si="54"/>
        <v>59111.8</v>
      </c>
      <c r="I292" s="122">
        <f t="shared" si="55"/>
        <v>96950</v>
      </c>
      <c r="J292" s="331">
        <f t="shared" si="56"/>
        <v>37838.199999999997</v>
      </c>
      <c r="K292" s="292">
        <f>'09-RESUMEN'!$F$43/1375</f>
        <v>81431.961035221175</v>
      </c>
      <c r="L292" s="122">
        <f>('ESTADO RESULTADOS'!$C$36+'ESTADO RESULTADOS'!$C$71)/1375</f>
        <v>24762.287272727273</v>
      </c>
      <c r="M292" s="122">
        <v>0</v>
      </c>
      <c r="N292" s="122">
        <f t="shared" si="62"/>
        <v>165306.04830794843</v>
      </c>
      <c r="O292" s="122">
        <f t="shared" si="63"/>
        <v>596.77273757382102</v>
      </c>
      <c r="P292" s="336">
        <f t="shared" si="57"/>
        <v>-68356.048307948426</v>
      </c>
      <c r="Q292" s="336">
        <f t="shared" si="58"/>
        <v>383.37273757382104</v>
      </c>
      <c r="R292" s="303">
        <f t="shared" si="59"/>
        <v>1.796498301658018</v>
      </c>
    </row>
    <row r="293" spans="1:18" x14ac:dyDescent="0.3">
      <c r="A293" s="2">
        <v>527</v>
      </c>
      <c r="B293" s="41" t="s">
        <v>1645</v>
      </c>
      <c r="C293" s="2">
        <v>2</v>
      </c>
      <c r="D293" s="2" t="s">
        <v>5</v>
      </c>
      <c r="E293" s="294">
        <v>4280.6216000000004</v>
      </c>
      <c r="F293" s="296">
        <v>5033.333333333333</v>
      </c>
      <c r="G293" s="352">
        <v>81</v>
      </c>
      <c r="H293" s="296">
        <f t="shared" si="54"/>
        <v>346730.34960000002</v>
      </c>
      <c r="I293" s="122">
        <f t="shared" si="55"/>
        <v>407700</v>
      </c>
      <c r="J293" s="331">
        <f t="shared" si="56"/>
        <v>60969.650399999984</v>
      </c>
      <c r="K293" s="292">
        <f>'09-RESUMEN'!$F$43/1375</f>
        <v>81431.961035221175</v>
      </c>
      <c r="L293" s="122">
        <f>('ESTADO RESULTADOS'!$C$36+'ESTADO RESULTADOS'!$C$71)/1375</f>
        <v>24762.287272727273</v>
      </c>
      <c r="M293" s="122">
        <v>0</v>
      </c>
      <c r="N293" s="122">
        <f t="shared" si="62"/>
        <v>452924.59790794848</v>
      </c>
      <c r="O293" s="122">
        <f t="shared" si="63"/>
        <v>5591.6617025672649</v>
      </c>
      <c r="P293" s="336">
        <f t="shared" si="57"/>
        <v>-45224.597907948482</v>
      </c>
      <c r="Q293" s="336">
        <f t="shared" si="58"/>
        <v>1311.0401025672645</v>
      </c>
      <c r="R293" s="303">
        <f t="shared" si="59"/>
        <v>0.30627329978600876</v>
      </c>
    </row>
    <row r="294" spans="1:18" x14ac:dyDescent="0.3">
      <c r="A294" s="2">
        <v>529</v>
      </c>
      <c r="B294" s="41" t="s">
        <v>1646</v>
      </c>
      <c r="C294" s="2">
        <v>2</v>
      </c>
      <c r="D294" s="2" t="s">
        <v>1647</v>
      </c>
      <c r="E294" s="294">
        <v>65479.89</v>
      </c>
      <c r="F294" s="296">
        <v>71666.666666666672</v>
      </c>
      <c r="G294" s="352">
        <v>25</v>
      </c>
      <c r="H294" s="296">
        <f t="shared" si="54"/>
        <v>1636997.25</v>
      </c>
      <c r="I294" s="122">
        <f t="shared" si="55"/>
        <v>1791666.6666666667</v>
      </c>
      <c r="J294" s="331">
        <f t="shared" si="56"/>
        <v>154669.41666666674</v>
      </c>
      <c r="K294" s="292">
        <f>'09-RESUMEN'!$F$43/1375</f>
        <v>81431.961035221175</v>
      </c>
      <c r="L294" s="122">
        <f>('ESTADO RESULTADOS'!$C$36+'ESTADO RESULTADOS'!$C$71)/1375</f>
        <v>24762.287272727273</v>
      </c>
      <c r="M294" s="122">
        <v>0</v>
      </c>
      <c r="N294" s="122">
        <f t="shared" si="62"/>
        <v>1743191.4983079485</v>
      </c>
      <c r="O294" s="122">
        <f t="shared" si="63"/>
        <v>69727.65993231794</v>
      </c>
      <c r="P294" s="336">
        <f t="shared" si="57"/>
        <v>48475.168358718278</v>
      </c>
      <c r="Q294" s="336">
        <f t="shared" si="58"/>
        <v>4247.7699323179404</v>
      </c>
      <c r="R294" s="303">
        <f t="shared" si="59"/>
        <v>6.4871366343436751E-2</v>
      </c>
    </row>
    <row r="295" spans="1:18" x14ac:dyDescent="0.3">
      <c r="A295" s="2">
        <v>530</v>
      </c>
      <c r="B295" s="41" t="s">
        <v>267</v>
      </c>
      <c r="C295" s="2">
        <v>2</v>
      </c>
      <c r="D295" s="2" t="s">
        <v>142</v>
      </c>
      <c r="E295" s="294">
        <v>118657.66499999999</v>
      </c>
      <c r="F295" s="296">
        <v>131250</v>
      </c>
      <c r="G295" s="352">
        <v>19</v>
      </c>
      <c r="H295" s="296">
        <f t="shared" si="54"/>
        <v>2254495.6349999998</v>
      </c>
      <c r="I295" s="122">
        <f t="shared" si="55"/>
        <v>2493750</v>
      </c>
      <c r="J295" s="331">
        <f t="shared" si="56"/>
        <v>239254.36500000022</v>
      </c>
      <c r="K295" s="292">
        <f>'09-RESUMEN'!$F$43/1375</f>
        <v>81431.961035221175</v>
      </c>
      <c r="L295" s="122">
        <f>('ESTADO RESULTADOS'!$C$36+'ESTADO RESULTADOS'!$C$71)/1375</f>
        <v>24762.287272727273</v>
      </c>
      <c r="M295" s="122">
        <v>0</v>
      </c>
      <c r="N295" s="122">
        <f t="shared" si="62"/>
        <v>2360689.8833079482</v>
      </c>
      <c r="O295" s="122">
        <f t="shared" si="63"/>
        <v>124246.83596357622</v>
      </c>
      <c r="P295" s="336">
        <f t="shared" si="57"/>
        <v>133060.11669205176</v>
      </c>
      <c r="Q295" s="336">
        <f t="shared" si="58"/>
        <v>5589.1709635762236</v>
      </c>
      <c r="R295" s="303">
        <f t="shared" si="59"/>
        <v>4.7103328416046482E-2</v>
      </c>
    </row>
    <row r="296" spans="1:18" x14ac:dyDescent="0.3">
      <c r="A296" s="2">
        <v>531</v>
      </c>
      <c r="B296" s="41" t="s">
        <v>1648</v>
      </c>
      <c r="C296" s="2">
        <v>2</v>
      </c>
      <c r="D296" s="2" t="s">
        <v>215</v>
      </c>
      <c r="E296" s="294">
        <v>104082.1425</v>
      </c>
      <c r="F296" s="296">
        <v>116733.33333333333</v>
      </c>
      <c r="G296" s="352">
        <v>149</v>
      </c>
      <c r="H296" s="296">
        <f t="shared" si="54"/>
        <v>15508239.2325</v>
      </c>
      <c r="I296" s="122">
        <f t="shared" si="55"/>
        <v>17393266.666666664</v>
      </c>
      <c r="J296" s="331">
        <f t="shared" si="56"/>
        <v>1885027.4341666643</v>
      </c>
      <c r="K296" s="292">
        <f>'09-RESUMEN'!$F$43/1375</f>
        <v>81431.961035221175</v>
      </c>
      <c r="L296" s="122">
        <f>('ESTADO RESULTADOS'!$C$36+'ESTADO RESULTADOS'!$C$71)/1375</f>
        <v>24762.287272727273</v>
      </c>
      <c r="M296" s="122">
        <v>0</v>
      </c>
      <c r="N296" s="122">
        <f t="shared" si="62"/>
        <v>15614433.480807949</v>
      </c>
      <c r="O296" s="122">
        <f t="shared" si="63"/>
        <v>104794.85557589227</v>
      </c>
      <c r="P296" s="336">
        <f t="shared" si="57"/>
        <v>1778833.1858587153</v>
      </c>
      <c r="Q296" s="336">
        <f t="shared" si="58"/>
        <v>712.71307589227217</v>
      </c>
      <c r="R296" s="303">
        <f t="shared" si="59"/>
        <v>6.8476018918641321E-3</v>
      </c>
    </row>
    <row r="297" spans="1:18" x14ac:dyDescent="0.3">
      <c r="A297" s="2">
        <v>533</v>
      </c>
      <c r="B297" s="41" t="s">
        <v>268</v>
      </c>
      <c r="C297" s="2">
        <v>12</v>
      </c>
      <c r="D297" s="2" t="s">
        <v>12</v>
      </c>
      <c r="E297" s="294">
        <v>5569.2</v>
      </c>
      <c r="F297" s="296">
        <v>6733.333333333333</v>
      </c>
      <c r="G297" s="352">
        <v>5</v>
      </c>
      <c r="H297" s="296">
        <f t="shared" si="54"/>
        <v>27846</v>
      </c>
      <c r="I297" s="122">
        <f t="shared" si="55"/>
        <v>33666.666666666664</v>
      </c>
      <c r="J297" s="331">
        <f t="shared" si="56"/>
        <v>5820.6666666666642</v>
      </c>
      <c r="K297" s="292">
        <f>'09-RESUMEN'!$F$43/1375</f>
        <v>81431.961035221175</v>
      </c>
      <c r="L297" s="122">
        <f>('ESTADO RESULTADOS'!$C$36+'ESTADO RESULTADOS'!$C$71)/1375</f>
        <v>24762.287272727273</v>
      </c>
      <c r="M297" s="122">
        <v>0</v>
      </c>
      <c r="N297" s="122">
        <f t="shared" si="62"/>
        <v>134040.24830794844</v>
      </c>
      <c r="O297" s="122">
        <f t="shared" si="63"/>
        <v>26808.049661589688</v>
      </c>
      <c r="P297" s="336">
        <f t="shared" si="57"/>
        <v>-100373.58164128178</v>
      </c>
      <c r="Q297" s="336">
        <f t="shared" si="58"/>
        <v>21238.849661589687</v>
      </c>
      <c r="R297" s="303">
        <f t="shared" si="59"/>
        <v>3.8136266719797614</v>
      </c>
    </row>
    <row r="298" spans="1:18" x14ac:dyDescent="0.3">
      <c r="A298" s="2">
        <v>534</v>
      </c>
      <c r="B298" s="41" t="s">
        <v>1649</v>
      </c>
      <c r="C298" s="2">
        <v>14</v>
      </c>
      <c r="D298" s="2" t="s">
        <v>12</v>
      </c>
      <c r="E298" s="294">
        <v>7235</v>
      </c>
      <c r="F298" s="296">
        <v>10700</v>
      </c>
      <c r="G298" s="352">
        <v>8</v>
      </c>
      <c r="H298" s="296">
        <f t="shared" si="54"/>
        <v>57880</v>
      </c>
      <c r="I298" s="122">
        <f t="shared" si="55"/>
        <v>85600</v>
      </c>
      <c r="J298" s="331">
        <f t="shared" si="56"/>
        <v>27720</v>
      </c>
      <c r="K298" s="292">
        <f>'09-RESUMEN'!$F$43/1375</f>
        <v>81431.961035221175</v>
      </c>
      <c r="L298" s="122">
        <f>('ESTADO RESULTADOS'!$C$36+'ESTADO RESULTADOS'!$C$71)/1375</f>
        <v>24762.287272727273</v>
      </c>
      <c r="M298" s="122">
        <v>0</v>
      </c>
      <c r="N298" s="122">
        <f t="shared" si="62"/>
        <v>164074.24830794844</v>
      </c>
      <c r="O298" s="122">
        <f t="shared" si="63"/>
        <v>20509.281038493555</v>
      </c>
      <c r="P298" s="336">
        <f t="shared" si="57"/>
        <v>-78474.248307948437</v>
      </c>
      <c r="Q298" s="336">
        <f t="shared" si="58"/>
        <v>13274.281038493555</v>
      </c>
      <c r="R298" s="303">
        <f t="shared" si="59"/>
        <v>1.8347313114711201</v>
      </c>
    </row>
    <row r="299" spans="1:18" x14ac:dyDescent="0.3">
      <c r="A299" s="2">
        <v>536</v>
      </c>
      <c r="B299" s="41" t="s">
        <v>1650</v>
      </c>
      <c r="C299" s="2">
        <v>1</v>
      </c>
      <c r="D299" s="2" t="s">
        <v>5</v>
      </c>
      <c r="E299" s="321">
        <v>2500</v>
      </c>
      <c r="F299" s="322">
        <v>3000</v>
      </c>
      <c r="G299" s="353">
        <v>0</v>
      </c>
      <c r="H299" s="322">
        <f t="shared" si="54"/>
        <v>0</v>
      </c>
      <c r="I299" s="122">
        <f t="shared" si="55"/>
        <v>0</v>
      </c>
      <c r="J299" s="331">
        <f t="shared" si="56"/>
        <v>0</v>
      </c>
      <c r="K299" s="292">
        <f>'09-RESUMEN'!$F$43/1375</f>
        <v>81431.961035221175</v>
      </c>
      <c r="L299" s="122">
        <f>('ESTADO RESULTADOS'!$C$36+'ESTADO RESULTADOS'!$C$71)/1375</f>
        <v>24762.287272727273</v>
      </c>
      <c r="M299" s="122">
        <v>0</v>
      </c>
      <c r="N299" s="122">
        <f>SUM(E299+K299+L299+M299)</f>
        <v>108694.24830794845</v>
      </c>
      <c r="O299" s="122">
        <f>N299</f>
        <v>108694.24830794845</v>
      </c>
      <c r="P299" s="336">
        <f t="shared" si="57"/>
        <v>-108694.24830794845</v>
      </c>
      <c r="Q299" s="336">
        <f t="shared" si="58"/>
        <v>106194.24830794845</v>
      </c>
      <c r="R299" s="303">
        <f t="shared" si="59"/>
        <v>42.47769932317938</v>
      </c>
    </row>
    <row r="300" spans="1:18" x14ac:dyDescent="0.3">
      <c r="A300" s="2">
        <v>537</v>
      </c>
      <c r="B300" s="41" t="s">
        <v>269</v>
      </c>
      <c r="C300" s="2">
        <v>5</v>
      </c>
      <c r="D300" s="2" t="s">
        <v>16</v>
      </c>
      <c r="E300" s="294">
        <v>69230.769199999995</v>
      </c>
      <c r="F300" s="296">
        <v>92000</v>
      </c>
      <c r="G300" s="352">
        <v>49</v>
      </c>
      <c r="H300" s="296">
        <f t="shared" si="54"/>
        <v>3392307.6908</v>
      </c>
      <c r="I300" s="122">
        <f t="shared" si="55"/>
        <v>4508000</v>
      </c>
      <c r="J300" s="331">
        <f t="shared" si="56"/>
        <v>1115692.3092</v>
      </c>
      <c r="K300" s="292">
        <f>'09-RESUMEN'!$F$43/1375</f>
        <v>81431.961035221175</v>
      </c>
      <c r="L300" s="122">
        <f>('ESTADO RESULTADOS'!$C$36+'ESTADO RESULTADOS'!$C$71)/1375</f>
        <v>24762.287272727273</v>
      </c>
      <c r="M300" s="122">
        <v>0</v>
      </c>
      <c r="N300" s="122">
        <f t="shared" ref="N300:N309" si="64">SUM(H300+K300+L300+M300)</f>
        <v>3498501.9391079484</v>
      </c>
      <c r="O300" s="122">
        <f t="shared" ref="O300:O309" si="65">N300/G300</f>
        <v>71397.998757305075</v>
      </c>
      <c r="P300" s="336">
        <f t="shared" si="57"/>
        <v>1009498.0608920516</v>
      </c>
      <c r="Q300" s="336">
        <f t="shared" si="58"/>
        <v>2167.2295573050797</v>
      </c>
      <c r="R300" s="303">
        <f t="shared" si="59"/>
        <v>3.1304426952764232E-2</v>
      </c>
    </row>
    <row r="301" spans="1:18" x14ac:dyDescent="0.3">
      <c r="A301" s="2">
        <v>539</v>
      </c>
      <c r="B301" s="41" t="s">
        <v>1651</v>
      </c>
      <c r="C301" s="2">
        <v>14</v>
      </c>
      <c r="D301" s="2" t="s">
        <v>32</v>
      </c>
      <c r="E301" s="294">
        <v>9550</v>
      </c>
      <c r="F301" s="296">
        <v>10800</v>
      </c>
      <c r="G301" s="352">
        <v>1</v>
      </c>
      <c r="H301" s="296">
        <f t="shared" si="54"/>
        <v>9550</v>
      </c>
      <c r="I301" s="122">
        <f t="shared" si="55"/>
        <v>10800</v>
      </c>
      <c r="J301" s="331">
        <f t="shared" si="56"/>
        <v>1250</v>
      </c>
      <c r="K301" s="292">
        <f>'09-RESUMEN'!$F$43/1375</f>
        <v>81431.961035221175</v>
      </c>
      <c r="L301" s="122">
        <f>('ESTADO RESULTADOS'!$C$36+'ESTADO RESULTADOS'!$C$71)/1375</f>
        <v>24762.287272727273</v>
      </c>
      <c r="M301" s="122">
        <v>0</v>
      </c>
      <c r="N301" s="122">
        <f t="shared" si="64"/>
        <v>115744.24830794845</v>
      </c>
      <c r="O301" s="122">
        <f t="shared" si="65"/>
        <v>115744.24830794845</v>
      </c>
      <c r="P301" s="336">
        <f t="shared" si="57"/>
        <v>-104944.24830794845</v>
      </c>
      <c r="Q301" s="336">
        <f t="shared" si="58"/>
        <v>106194.24830794845</v>
      </c>
      <c r="R301" s="303">
        <f t="shared" si="59"/>
        <v>11.119816576748528</v>
      </c>
    </row>
    <row r="302" spans="1:18" x14ac:dyDescent="0.3">
      <c r="A302" s="2">
        <v>540</v>
      </c>
      <c r="B302" s="41" t="s">
        <v>270</v>
      </c>
      <c r="C302" s="2">
        <v>5</v>
      </c>
      <c r="D302" s="2" t="s">
        <v>5</v>
      </c>
      <c r="E302" s="294">
        <v>32691</v>
      </c>
      <c r="F302" s="296">
        <v>38500</v>
      </c>
      <c r="G302" s="352">
        <v>6</v>
      </c>
      <c r="H302" s="296">
        <f t="shared" si="54"/>
        <v>196146</v>
      </c>
      <c r="I302" s="122">
        <f t="shared" si="55"/>
        <v>231000</v>
      </c>
      <c r="J302" s="331">
        <f t="shared" si="56"/>
        <v>34854</v>
      </c>
      <c r="K302" s="292">
        <f>'09-RESUMEN'!$F$43/1375</f>
        <v>81431.961035221175</v>
      </c>
      <c r="L302" s="122">
        <f>('ESTADO RESULTADOS'!$C$36+'ESTADO RESULTADOS'!$C$71)/1375</f>
        <v>24762.287272727273</v>
      </c>
      <c r="M302" s="122">
        <v>0</v>
      </c>
      <c r="N302" s="122">
        <f t="shared" si="64"/>
        <v>302340.24830794847</v>
      </c>
      <c r="O302" s="122">
        <f t="shared" si="65"/>
        <v>50390.041384658078</v>
      </c>
      <c r="P302" s="336">
        <f t="shared" si="57"/>
        <v>-71340.248307948466</v>
      </c>
      <c r="Q302" s="336">
        <f t="shared" si="58"/>
        <v>17699.041384658078</v>
      </c>
      <c r="R302" s="303">
        <f t="shared" si="59"/>
        <v>0.54140409851818783</v>
      </c>
    </row>
    <row r="303" spans="1:18" x14ac:dyDescent="0.3">
      <c r="A303" s="2">
        <v>542</v>
      </c>
      <c r="B303" s="41" t="s">
        <v>271</v>
      </c>
      <c r="C303" s="2">
        <v>5</v>
      </c>
      <c r="D303" s="2" t="s">
        <v>132</v>
      </c>
      <c r="E303" s="294">
        <v>116900</v>
      </c>
      <c r="F303" s="296">
        <v>132000</v>
      </c>
      <c r="G303" s="352">
        <v>9</v>
      </c>
      <c r="H303" s="296">
        <f t="shared" si="54"/>
        <v>1052100</v>
      </c>
      <c r="I303" s="122">
        <f t="shared" si="55"/>
        <v>1188000</v>
      </c>
      <c r="J303" s="331">
        <f t="shared" si="56"/>
        <v>135900</v>
      </c>
      <c r="K303" s="292">
        <f>'09-RESUMEN'!$F$43/1375</f>
        <v>81431.961035221175</v>
      </c>
      <c r="L303" s="122">
        <f>('ESTADO RESULTADOS'!$C$36+'ESTADO RESULTADOS'!$C$71)/1375</f>
        <v>24762.287272727273</v>
      </c>
      <c r="M303" s="122">
        <v>0</v>
      </c>
      <c r="N303" s="122">
        <f t="shared" si="64"/>
        <v>1158294.2483079485</v>
      </c>
      <c r="O303" s="122">
        <f t="shared" si="65"/>
        <v>128699.36092310539</v>
      </c>
      <c r="P303" s="336">
        <f t="shared" si="57"/>
        <v>29705.751692051534</v>
      </c>
      <c r="Q303" s="336">
        <f t="shared" si="58"/>
        <v>11799.360923105385</v>
      </c>
      <c r="R303" s="303">
        <f t="shared" si="59"/>
        <v>0.1009355083242548</v>
      </c>
    </row>
    <row r="304" spans="1:18" x14ac:dyDescent="0.3">
      <c r="A304" s="2">
        <v>543</v>
      </c>
      <c r="B304" s="41" t="s">
        <v>272</v>
      </c>
      <c r="C304" s="2">
        <v>5</v>
      </c>
      <c r="D304" s="2" t="s">
        <v>5</v>
      </c>
      <c r="E304" s="294">
        <v>18600</v>
      </c>
      <c r="F304" s="296">
        <v>21333.333333333332</v>
      </c>
      <c r="G304" s="352">
        <v>42</v>
      </c>
      <c r="H304" s="296">
        <f t="shared" si="54"/>
        <v>781200</v>
      </c>
      <c r="I304" s="122">
        <f t="shared" si="55"/>
        <v>896000</v>
      </c>
      <c r="J304" s="331">
        <f t="shared" si="56"/>
        <v>114800</v>
      </c>
      <c r="K304" s="292">
        <f>'09-RESUMEN'!$F$43/1375</f>
        <v>81431.961035221175</v>
      </c>
      <c r="L304" s="122">
        <f>('ESTADO RESULTADOS'!$C$36+'ESTADO RESULTADOS'!$C$71)/1375</f>
        <v>24762.287272727273</v>
      </c>
      <c r="M304" s="122">
        <v>0</v>
      </c>
      <c r="N304" s="122">
        <f t="shared" si="64"/>
        <v>887394.24830794835</v>
      </c>
      <c r="O304" s="122">
        <f t="shared" si="65"/>
        <v>21128.434483522578</v>
      </c>
      <c r="P304" s="336">
        <f t="shared" si="57"/>
        <v>8605.75169205165</v>
      </c>
      <c r="Q304" s="336">
        <f t="shared" si="58"/>
        <v>2528.4344835225784</v>
      </c>
      <c r="R304" s="303">
        <f t="shared" si="59"/>
        <v>0.13593733782379452</v>
      </c>
    </row>
    <row r="305" spans="1:18" x14ac:dyDescent="0.3">
      <c r="A305" s="2">
        <v>546</v>
      </c>
      <c r="B305" s="41" t="s">
        <v>273</v>
      </c>
      <c r="C305" s="2">
        <v>7</v>
      </c>
      <c r="D305" s="2" t="s">
        <v>160</v>
      </c>
      <c r="E305" s="294">
        <v>2230</v>
      </c>
      <c r="F305" s="296">
        <v>2666.6666666666665</v>
      </c>
      <c r="G305" s="352">
        <v>5</v>
      </c>
      <c r="H305" s="296">
        <f t="shared" si="54"/>
        <v>11150</v>
      </c>
      <c r="I305" s="122">
        <f t="shared" si="55"/>
        <v>13333.333333333332</v>
      </c>
      <c r="J305" s="331">
        <f t="shared" si="56"/>
        <v>2183.3333333333321</v>
      </c>
      <c r="K305" s="292">
        <f>'09-RESUMEN'!$F$43/1375</f>
        <v>81431.961035221175</v>
      </c>
      <c r="L305" s="122">
        <f>('ESTADO RESULTADOS'!$C$36+'ESTADO RESULTADOS'!$C$71)/1375</f>
        <v>24762.287272727273</v>
      </c>
      <c r="M305" s="122">
        <v>0</v>
      </c>
      <c r="N305" s="122">
        <f t="shared" si="64"/>
        <v>117344.24830794845</v>
      </c>
      <c r="O305" s="122">
        <f t="shared" si="65"/>
        <v>23468.849661589691</v>
      </c>
      <c r="P305" s="336">
        <f t="shared" si="57"/>
        <v>-104010.91497461512</v>
      </c>
      <c r="Q305" s="336">
        <f t="shared" si="58"/>
        <v>21238.849661589691</v>
      </c>
      <c r="R305" s="303">
        <f t="shared" si="59"/>
        <v>9.5241478303092784</v>
      </c>
    </row>
    <row r="306" spans="1:18" x14ac:dyDescent="0.3">
      <c r="A306" s="2">
        <v>548</v>
      </c>
      <c r="B306" s="41" t="s">
        <v>274</v>
      </c>
      <c r="C306" s="2">
        <v>7</v>
      </c>
      <c r="D306" s="2" t="s">
        <v>160</v>
      </c>
      <c r="E306" s="294">
        <v>2230</v>
      </c>
      <c r="F306" s="296">
        <v>2716.6666666666665</v>
      </c>
      <c r="G306" s="352">
        <v>19</v>
      </c>
      <c r="H306" s="296">
        <f t="shared" si="54"/>
        <v>42370</v>
      </c>
      <c r="I306" s="122">
        <f t="shared" si="55"/>
        <v>51616.666666666664</v>
      </c>
      <c r="J306" s="331">
        <f t="shared" si="56"/>
        <v>9246.6666666666642</v>
      </c>
      <c r="K306" s="292">
        <f>'09-RESUMEN'!$F$43/1375</f>
        <v>81431.961035221175</v>
      </c>
      <c r="L306" s="122">
        <f>('ESTADO RESULTADOS'!$C$36+'ESTADO RESULTADOS'!$C$71)/1375</f>
        <v>24762.287272727273</v>
      </c>
      <c r="M306" s="122">
        <v>0</v>
      </c>
      <c r="N306" s="122">
        <f t="shared" si="64"/>
        <v>148564.24830794844</v>
      </c>
      <c r="O306" s="122">
        <f t="shared" si="65"/>
        <v>7819.1709635762336</v>
      </c>
      <c r="P306" s="336">
        <f t="shared" si="57"/>
        <v>-96947.58164128178</v>
      </c>
      <c r="Q306" s="336">
        <f t="shared" si="58"/>
        <v>5589.1709635762336</v>
      </c>
      <c r="R306" s="303">
        <f t="shared" si="59"/>
        <v>2.506354692186652</v>
      </c>
    </row>
    <row r="307" spans="1:18" x14ac:dyDescent="0.3">
      <c r="A307" s="2">
        <v>549</v>
      </c>
      <c r="B307" s="41" t="s">
        <v>275</v>
      </c>
      <c r="C307" s="2">
        <v>4</v>
      </c>
      <c r="D307" s="2" t="s">
        <v>32</v>
      </c>
      <c r="E307" s="294">
        <v>21002</v>
      </c>
      <c r="F307" s="296">
        <v>25000</v>
      </c>
      <c r="G307" s="352">
        <v>3</v>
      </c>
      <c r="H307" s="296">
        <f t="shared" si="54"/>
        <v>63006</v>
      </c>
      <c r="I307" s="122">
        <f t="shared" si="55"/>
        <v>75000</v>
      </c>
      <c r="J307" s="331">
        <f t="shared" si="56"/>
        <v>11994</v>
      </c>
      <c r="K307" s="292">
        <f>'09-RESUMEN'!$F$43/1375</f>
        <v>81431.961035221175</v>
      </c>
      <c r="L307" s="122">
        <f>('ESTADO RESULTADOS'!$C$36+'ESTADO RESULTADOS'!$C$71)/1375</f>
        <v>24762.287272727273</v>
      </c>
      <c r="M307" s="122">
        <v>0</v>
      </c>
      <c r="N307" s="122">
        <f t="shared" si="64"/>
        <v>169200.24830794844</v>
      </c>
      <c r="O307" s="122">
        <f t="shared" si="65"/>
        <v>56400.082769316148</v>
      </c>
      <c r="P307" s="336">
        <f t="shared" si="57"/>
        <v>-94200.248307948437</v>
      </c>
      <c r="Q307" s="336">
        <f t="shared" si="58"/>
        <v>35398.082769316148</v>
      </c>
      <c r="R307" s="303">
        <f t="shared" si="59"/>
        <v>1.6854624687799329</v>
      </c>
    </row>
    <row r="308" spans="1:18" x14ac:dyDescent="0.3">
      <c r="A308" s="2">
        <v>551</v>
      </c>
      <c r="B308" s="41" t="s">
        <v>276</v>
      </c>
      <c r="C308" s="2">
        <v>4</v>
      </c>
      <c r="D308" s="2" t="s">
        <v>21</v>
      </c>
      <c r="E308" s="294">
        <v>26320</v>
      </c>
      <c r="F308" s="296">
        <v>30300</v>
      </c>
      <c r="G308" s="352">
        <v>14</v>
      </c>
      <c r="H308" s="296">
        <f t="shared" si="54"/>
        <v>368480</v>
      </c>
      <c r="I308" s="122">
        <f t="shared" si="55"/>
        <v>424200</v>
      </c>
      <c r="J308" s="331">
        <f t="shared" si="56"/>
        <v>55720</v>
      </c>
      <c r="K308" s="292">
        <f>'09-RESUMEN'!$F$43/1375</f>
        <v>81431.961035221175</v>
      </c>
      <c r="L308" s="122">
        <f>('ESTADO RESULTADOS'!$C$36+'ESTADO RESULTADOS'!$C$71)/1375</f>
        <v>24762.287272727273</v>
      </c>
      <c r="M308" s="122">
        <v>0</v>
      </c>
      <c r="N308" s="122">
        <f t="shared" si="64"/>
        <v>474674.24830794847</v>
      </c>
      <c r="O308" s="122">
        <f t="shared" si="65"/>
        <v>33905.30345056775</v>
      </c>
      <c r="P308" s="336">
        <f t="shared" si="57"/>
        <v>-50474.248307948466</v>
      </c>
      <c r="Q308" s="336">
        <f t="shared" si="58"/>
        <v>7585.3034505677497</v>
      </c>
      <c r="R308" s="303">
        <f t="shared" si="59"/>
        <v>0.28819541985439778</v>
      </c>
    </row>
    <row r="309" spans="1:18" x14ac:dyDescent="0.3">
      <c r="A309" s="2">
        <v>553</v>
      </c>
      <c r="B309" s="41" t="s">
        <v>277</v>
      </c>
      <c r="C309" s="2">
        <v>14</v>
      </c>
      <c r="D309" s="2" t="s">
        <v>56</v>
      </c>
      <c r="E309" s="294">
        <v>5579</v>
      </c>
      <c r="F309" s="296">
        <v>8500</v>
      </c>
      <c r="G309" s="352">
        <v>9</v>
      </c>
      <c r="H309" s="296">
        <f t="shared" si="54"/>
        <v>50211</v>
      </c>
      <c r="I309" s="122">
        <f t="shared" si="55"/>
        <v>76500</v>
      </c>
      <c r="J309" s="331">
        <f t="shared" si="56"/>
        <v>26289</v>
      </c>
      <c r="K309" s="292">
        <f>'09-RESUMEN'!$F$43/1375</f>
        <v>81431.961035221175</v>
      </c>
      <c r="L309" s="122">
        <f>('ESTADO RESULTADOS'!$C$36+'ESTADO RESULTADOS'!$C$71)/1375</f>
        <v>24762.287272727273</v>
      </c>
      <c r="M309" s="122">
        <v>0</v>
      </c>
      <c r="N309" s="122">
        <f t="shared" si="64"/>
        <v>156405.24830794844</v>
      </c>
      <c r="O309" s="122">
        <f t="shared" si="65"/>
        <v>17378.360923105382</v>
      </c>
      <c r="P309" s="336">
        <f t="shared" si="57"/>
        <v>-79905.248307948437</v>
      </c>
      <c r="Q309" s="336">
        <f t="shared" si="58"/>
        <v>11799.360923105382</v>
      </c>
      <c r="R309" s="303">
        <f t="shared" si="59"/>
        <v>2.114959835652515</v>
      </c>
    </row>
    <row r="310" spans="1:18" x14ac:dyDescent="0.3">
      <c r="A310" s="2">
        <v>554</v>
      </c>
      <c r="B310" s="41" t="s">
        <v>1652</v>
      </c>
      <c r="C310" s="2">
        <v>14</v>
      </c>
      <c r="D310" s="2" t="s">
        <v>21</v>
      </c>
      <c r="E310" s="294">
        <v>5007</v>
      </c>
      <c r="F310" s="296">
        <v>6000</v>
      </c>
      <c r="G310" s="352">
        <v>0</v>
      </c>
      <c r="H310" s="296">
        <f t="shared" si="54"/>
        <v>0</v>
      </c>
      <c r="I310" s="122">
        <f t="shared" si="55"/>
        <v>0</v>
      </c>
      <c r="J310" s="331">
        <f t="shared" si="56"/>
        <v>0</v>
      </c>
      <c r="K310" s="292">
        <f>'09-RESUMEN'!$F$43/1375</f>
        <v>81431.961035221175</v>
      </c>
      <c r="L310" s="122">
        <f>('ESTADO RESULTADOS'!$C$36+'ESTADO RESULTADOS'!$C$71)/1375</f>
        <v>24762.287272727273</v>
      </c>
      <c r="M310" s="122">
        <v>0</v>
      </c>
      <c r="N310" s="122">
        <f>SUM(E310+K310+L310+M310)</f>
        <v>111201.24830794845</v>
      </c>
      <c r="O310" s="122">
        <f>N310</f>
        <v>111201.24830794845</v>
      </c>
      <c r="P310" s="336">
        <f t="shared" si="57"/>
        <v>-111201.24830794845</v>
      </c>
      <c r="Q310" s="336">
        <f t="shared" si="58"/>
        <v>106194.24830794845</v>
      </c>
      <c r="R310" s="303">
        <f t="shared" si="59"/>
        <v>21.209156842010874</v>
      </c>
    </row>
    <row r="311" spans="1:18" x14ac:dyDescent="0.3">
      <c r="A311" s="2">
        <v>555</v>
      </c>
      <c r="B311" s="41" t="s">
        <v>278</v>
      </c>
      <c r="C311" s="2">
        <v>14</v>
      </c>
      <c r="D311" s="2" t="s">
        <v>97</v>
      </c>
      <c r="E311" s="294">
        <v>1660</v>
      </c>
      <c r="F311" s="296">
        <v>2000</v>
      </c>
      <c r="G311" s="352">
        <v>72</v>
      </c>
      <c r="H311" s="296">
        <f t="shared" si="54"/>
        <v>119520</v>
      </c>
      <c r="I311" s="122">
        <f t="shared" si="55"/>
        <v>144000</v>
      </c>
      <c r="J311" s="331">
        <f t="shared" si="56"/>
        <v>24480</v>
      </c>
      <c r="K311" s="292">
        <f>'09-RESUMEN'!$F$43/1375</f>
        <v>81431.961035221175</v>
      </c>
      <c r="L311" s="122">
        <f>('ESTADO RESULTADOS'!$C$36+'ESTADO RESULTADOS'!$C$71)/1375</f>
        <v>24762.287272727273</v>
      </c>
      <c r="M311" s="122">
        <v>0</v>
      </c>
      <c r="N311" s="122">
        <f t="shared" ref="N311:N328" si="66">SUM(H311+K311+L311+M311)</f>
        <v>225714.24830794844</v>
      </c>
      <c r="O311" s="122">
        <f t="shared" ref="O311:O328" si="67">N311/G311</f>
        <v>3134.9201153881727</v>
      </c>
      <c r="P311" s="336">
        <f t="shared" si="57"/>
        <v>-81714.248307948437</v>
      </c>
      <c r="Q311" s="336">
        <f t="shared" si="58"/>
        <v>1474.9201153881727</v>
      </c>
      <c r="R311" s="303">
        <f t="shared" si="59"/>
        <v>0.8885060936073329</v>
      </c>
    </row>
    <row r="312" spans="1:18" x14ac:dyDescent="0.3">
      <c r="A312" s="2">
        <v>556</v>
      </c>
      <c r="B312" s="41" t="s">
        <v>279</v>
      </c>
      <c r="C312" s="2">
        <v>14</v>
      </c>
      <c r="D312" s="2" t="s">
        <v>104</v>
      </c>
      <c r="E312" s="294">
        <v>4240</v>
      </c>
      <c r="F312" s="296">
        <v>8000</v>
      </c>
      <c r="G312" s="352">
        <v>17</v>
      </c>
      <c r="H312" s="296">
        <f t="shared" si="54"/>
        <v>72080</v>
      </c>
      <c r="I312" s="122">
        <f t="shared" si="55"/>
        <v>136000</v>
      </c>
      <c r="J312" s="331">
        <f t="shared" si="56"/>
        <v>63920</v>
      </c>
      <c r="K312" s="292">
        <f>'09-RESUMEN'!$F$43/1375</f>
        <v>81431.961035221175</v>
      </c>
      <c r="L312" s="122">
        <f>('ESTADO RESULTADOS'!$C$36+'ESTADO RESULTADOS'!$C$71)/1375</f>
        <v>24762.287272727273</v>
      </c>
      <c r="M312" s="122">
        <v>0</v>
      </c>
      <c r="N312" s="122">
        <f t="shared" si="66"/>
        <v>178274.24830794844</v>
      </c>
      <c r="O312" s="122">
        <f t="shared" si="67"/>
        <v>10486.720488702849</v>
      </c>
      <c r="P312" s="336">
        <f t="shared" si="57"/>
        <v>-42274.248307948437</v>
      </c>
      <c r="Q312" s="336">
        <f t="shared" si="58"/>
        <v>6246.7204887028493</v>
      </c>
      <c r="R312" s="303">
        <f t="shared" si="59"/>
        <v>1.4732831341280306</v>
      </c>
    </row>
    <row r="313" spans="1:18" x14ac:dyDescent="0.3">
      <c r="A313" s="2">
        <v>557</v>
      </c>
      <c r="B313" s="41" t="s">
        <v>1653</v>
      </c>
      <c r="C313" s="2">
        <v>14</v>
      </c>
      <c r="D313" s="2" t="s">
        <v>81</v>
      </c>
      <c r="E313" s="294">
        <v>4799</v>
      </c>
      <c r="F313" s="296">
        <v>8000</v>
      </c>
      <c r="G313" s="352">
        <v>2</v>
      </c>
      <c r="H313" s="296">
        <f t="shared" si="54"/>
        <v>9598</v>
      </c>
      <c r="I313" s="122">
        <f t="shared" si="55"/>
        <v>16000</v>
      </c>
      <c r="J313" s="331">
        <f t="shared" si="56"/>
        <v>6402</v>
      </c>
      <c r="K313" s="292">
        <f>'09-RESUMEN'!$F$43/1375</f>
        <v>81431.961035221175</v>
      </c>
      <c r="L313" s="122">
        <f>('ESTADO RESULTADOS'!$C$36+'ESTADO RESULTADOS'!$C$71)/1375</f>
        <v>24762.287272727273</v>
      </c>
      <c r="M313" s="122">
        <v>0</v>
      </c>
      <c r="N313" s="122">
        <f t="shared" si="66"/>
        <v>115792.24830794845</v>
      </c>
      <c r="O313" s="122">
        <f t="shared" si="67"/>
        <v>57896.124153974226</v>
      </c>
      <c r="P313" s="336">
        <f t="shared" si="57"/>
        <v>-99792.248307948452</v>
      </c>
      <c r="Q313" s="336">
        <f t="shared" si="58"/>
        <v>53097.124153974226</v>
      </c>
      <c r="R313" s="303">
        <f t="shared" si="59"/>
        <v>11.064205908308862</v>
      </c>
    </row>
    <row r="314" spans="1:18" x14ac:dyDescent="0.3">
      <c r="A314" s="2">
        <v>558</v>
      </c>
      <c r="B314" s="41" t="s">
        <v>280</v>
      </c>
      <c r="C314" s="2">
        <v>14</v>
      </c>
      <c r="D314" s="2" t="s">
        <v>104</v>
      </c>
      <c r="E314" s="294">
        <v>8765</v>
      </c>
      <c r="F314" s="296">
        <v>11000</v>
      </c>
      <c r="G314" s="352">
        <v>6</v>
      </c>
      <c r="H314" s="296">
        <f t="shared" si="54"/>
        <v>52590</v>
      </c>
      <c r="I314" s="122">
        <f t="shared" si="55"/>
        <v>66000</v>
      </c>
      <c r="J314" s="331">
        <f t="shared" si="56"/>
        <v>13410</v>
      </c>
      <c r="K314" s="292">
        <f>'09-RESUMEN'!$F$43/1375</f>
        <v>81431.961035221175</v>
      </c>
      <c r="L314" s="122">
        <f>('ESTADO RESULTADOS'!$C$36+'ESTADO RESULTADOS'!$C$71)/1375</f>
        <v>24762.287272727273</v>
      </c>
      <c r="M314" s="122">
        <v>0</v>
      </c>
      <c r="N314" s="122">
        <f t="shared" si="66"/>
        <v>158784.24830794844</v>
      </c>
      <c r="O314" s="122">
        <f t="shared" si="67"/>
        <v>26464.041384658074</v>
      </c>
      <c r="P314" s="336">
        <f t="shared" si="57"/>
        <v>-92784.248307948437</v>
      </c>
      <c r="Q314" s="336">
        <f t="shared" si="58"/>
        <v>17699.041384658074</v>
      </c>
      <c r="R314" s="303">
        <f t="shared" si="59"/>
        <v>2.0192859537544865</v>
      </c>
    </row>
    <row r="315" spans="1:18" x14ac:dyDescent="0.3">
      <c r="A315" s="2">
        <v>560</v>
      </c>
      <c r="B315" s="41" t="s">
        <v>281</v>
      </c>
      <c r="C315" s="2">
        <v>8</v>
      </c>
      <c r="D315" s="2" t="s">
        <v>41</v>
      </c>
      <c r="E315" s="294">
        <v>143874.51999999999</v>
      </c>
      <c r="F315" s="296">
        <v>158283.33333333334</v>
      </c>
      <c r="G315" s="352">
        <v>5</v>
      </c>
      <c r="H315" s="296">
        <f t="shared" si="54"/>
        <v>719372.6</v>
      </c>
      <c r="I315" s="122">
        <f t="shared" si="55"/>
        <v>791416.66666666674</v>
      </c>
      <c r="J315" s="331">
        <f t="shared" si="56"/>
        <v>72044.066666666768</v>
      </c>
      <c r="K315" s="292">
        <f>'09-RESUMEN'!$F$43/1375</f>
        <v>81431.961035221175</v>
      </c>
      <c r="L315" s="122">
        <f>('ESTADO RESULTADOS'!$C$36+'ESTADO RESULTADOS'!$C$71)/1375</f>
        <v>24762.287272727273</v>
      </c>
      <c r="M315" s="122">
        <v>0</v>
      </c>
      <c r="N315" s="122">
        <f t="shared" si="66"/>
        <v>825566.84830794844</v>
      </c>
      <c r="O315" s="122">
        <f t="shared" si="67"/>
        <v>165113.36966158968</v>
      </c>
      <c r="P315" s="336">
        <f t="shared" si="57"/>
        <v>-34150.181641281699</v>
      </c>
      <c r="Q315" s="336">
        <f t="shared" si="58"/>
        <v>21238.849661589687</v>
      </c>
      <c r="R315" s="303">
        <f t="shared" si="59"/>
        <v>0.14762064652997409</v>
      </c>
    </row>
    <row r="316" spans="1:18" x14ac:dyDescent="0.3">
      <c r="A316" s="2">
        <v>561</v>
      </c>
      <c r="B316" s="41" t="s">
        <v>282</v>
      </c>
      <c r="C316" s="2">
        <v>8</v>
      </c>
      <c r="D316" s="2" t="s">
        <v>16</v>
      </c>
      <c r="E316" s="294">
        <v>38400</v>
      </c>
      <c r="F316" s="296">
        <v>45766.666666666664</v>
      </c>
      <c r="G316" s="352">
        <v>69</v>
      </c>
      <c r="H316" s="296">
        <f t="shared" si="54"/>
        <v>2649600</v>
      </c>
      <c r="I316" s="122">
        <f t="shared" si="55"/>
        <v>3157900</v>
      </c>
      <c r="J316" s="331">
        <f t="shared" si="56"/>
        <v>508300</v>
      </c>
      <c r="K316" s="292">
        <f>'09-RESUMEN'!$F$43/1375</f>
        <v>81431.961035221175</v>
      </c>
      <c r="L316" s="122">
        <f>('ESTADO RESULTADOS'!$C$36+'ESTADO RESULTADOS'!$C$71)/1375</f>
        <v>24762.287272727273</v>
      </c>
      <c r="M316" s="122">
        <v>0</v>
      </c>
      <c r="N316" s="122">
        <f t="shared" si="66"/>
        <v>2755794.2483079485</v>
      </c>
      <c r="O316" s="122">
        <f t="shared" si="67"/>
        <v>39939.047076926792</v>
      </c>
      <c r="P316" s="336">
        <f t="shared" si="57"/>
        <v>402105.75169205153</v>
      </c>
      <c r="Q316" s="336">
        <f t="shared" si="58"/>
        <v>1539.0470769267922</v>
      </c>
      <c r="R316" s="303">
        <f t="shared" si="59"/>
        <v>4.0079350961635216E-2</v>
      </c>
    </row>
    <row r="317" spans="1:18" x14ac:dyDescent="0.3">
      <c r="A317" s="2">
        <v>562</v>
      </c>
      <c r="B317" s="41" t="s">
        <v>283</v>
      </c>
      <c r="C317" s="2">
        <v>6</v>
      </c>
      <c r="D317" s="2" t="s">
        <v>32</v>
      </c>
      <c r="E317" s="294">
        <v>28000</v>
      </c>
      <c r="F317" s="296">
        <v>32000</v>
      </c>
      <c r="G317" s="352">
        <v>8</v>
      </c>
      <c r="H317" s="296">
        <f t="shared" si="54"/>
        <v>224000</v>
      </c>
      <c r="I317" s="122">
        <f t="shared" si="55"/>
        <v>256000</v>
      </c>
      <c r="J317" s="331">
        <f t="shared" si="56"/>
        <v>32000</v>
      </c>
      <c r="K317" s="292">
        <f>'09-RESUMEN'!$F$43/1375</f>
        <v>81431.961035221175</v>
      </c>
      <c r="L317" s="122">
        <f>('ESTADO RESULTADOS'!$C$36+'ESTADO RESULTADOS'!$C$71)/1375</f>
        <v>24762.287272727273</v>
      </c>
      <c r="M317" s="122">
        <v>0</v>
      </c>
      <c r="N317" s="122">
        <f t="shared" si="66"/>
        <v>330194.24830794847</v>
      </c>
      <c r="O317" s="122">
        <f t="shared" si="67"/>
        <v>41274.281038493558</v>
      </c>
      <c r="P317" s="336">
        <f t="shared" si="57"/>
        <v>-74194.248307948466</v>
      </c>
      <c r="Q317" s="336">
        <f t="shared" si="58"/>
        <v>13274.281038493558</v>
      </c>
      <c r="R317" s="303">
        <f t="shared" si="59"/>
        <v>0.4740814656604842</v>
      </c>
    </row>
    <row r="318" spans="1:18" x14ac:dyDescent="0.3">
      <c r="A318" s="2">
        <v>564</v>
      </c>
      <c r="B318" s="41" t="s">
        <v>284</v>
      </c>
      <c r="C318" s="2">
        <v>8</v>
      </c>
      <c r="D318" s="2" t="s">
        <v>32</v>
      </c>
      <c r="E318" s="294">
        <v>3781</v>
      </c>
      <c r="F318" s="296">
        <v>5183.333333333333</v>
      </c>
      <c r="G318" s="352">
        <v>157</v>
      </c>
      <c r="H318" s="296">
        <f t="shared" si="54"/>
        <v>593617</v>
      </c>
      <c r="I318" s="122">
        <f t="shared" si="55"/>
        <v>813783.33333333326</v>
      </c>
      <c r="J318" s="331">
        <f t="shared" si="56"/>
        <v>220166.33333333326</v>
      </c>
      <c r="K318" s="292">
        <f>'09-RESUMEN'!$F$43/1375</f>
        <v>81431.961035221175</v>
      </c>
      <c r="L318" s="122">
        <f>('ESTADO RESULTADOS'!$C$36+'ESTADO RESULTADOS'!$C$71)/1375</f>
        <v>24762.287272727273</v>
      </c>
      <c r="M318" s="122">
        <v>0</v>
      </c>
      <c r="N318" s="122">
        <f t="shared" si="66"/>
        <v>699811.24830794835</v>
      </c>
      <c r="O318" s="122">
        <f t="shared" si="67"/>
        <v>4457.3964860378874</v>
      </c>
      <c r="P318" s="336">
        <f t="shared" si="57"/>
        <v>113972.08502538491</v>
      </c>
      <c r="Q318" s="336">
        <f t="shared" si="58"/>
        <v>676.39648603788737</v>
      </c>
      <c r="R318" s="303">
        <f t="shared" si="59"/>
        <v>0.17889354298806859</v>
      </c>
    </row>
    <row r="319" spans="1:18" x14ac:dyDescent="0.3">
      <c r="A319" s="2">
        <v>565</v>
      </c>
      <c r="B319" s="41" t="s">
        <v>285</v>
      </c>
      <c r="C319" s="2">
        <v>6</v>
      </c>
      <c r="D319" s="2" t="s">
        <v>32</v>
      </c>
      <c r="E319" s="294">
        <v>11305</v>
      </c>
      <c r="F319" s="296">
        <v>15500</v>
      </c>
      <c r="G319" s="352">
        <v>1</v>
      </c>
      <c r="H319" s="296">
        <f t="shared" si="54"/>
        <v>11305</v>
      </c>
      <c r="I319" s="122">
        <f t="shared" si="55"/>
        <v>15500</v>
      </c>
      <c r="J319" s="331">
        <f t="shared" si="56"/>
        <v>4195</v>
      </c>
      <c r="K319" s="292">
        <f>'09-RESUMEN'!$F$43/1375</f>
        <v>81431.961035221175</v>
      </c>
      <c r="L319" s="122">
        <f>('ESTADO RESULTADOS'!$C$36+'ESTADO RESULTADOS'!$C$71)/1375</f>
        <v>24762.287272727273</v>
      </c>
      <c r="M319" s="122">
        <v>0</v>
      </c>
      <c r="N319" s="122">
        <f t="shared" si="66"/>
        <v>117499.24830794845</v>
      </c>
      <c r="O319" s="122">
        <f t="shared" si="67"/>
        <v>117499.24830794845</v>
      </c>
      <c r="P319" s="336">
        <f t="shared" si="57"/>
        <v>-101999.24830794845</v>
      </c>
      <c r="Q319" s="336">
        <f t="shared" si="58"/>
        <v>106194.24830794845</v>
      </c>
      <c r="R319" s="303">
        <f t="shared" si="59"/>
        <v>9.3935646446659398</v>
      </c>
    </row>
    <row r="320" spans="1:18" x14ac:dyDescent="0.3">
      <c r="A320" s="2">
        <v>566</v>
      </c>
      <c r="B320" s="41" t="s">
        <v>286</v>
      </c>
      <c r="C320" s="2">
        <v>4</v>
      </c>
      <c r="D320" s="2" t="s">
        <v>32</v>
      </c>
      <c r="E320" s="294">
        <v>22488</v>
      </c>
      <c r="F320" s="296">
        <v>25750</v>
      </c>
      <c r="G320" s="352">
        <v>8</v>
      </c>
      <c r="H320" s="296">
        <f t="shared" si="54"/>
        <v>179904</v>
      </c>
      <c r="I320" s="122">
        <f t="shared" si="55"/>
        <v>206000</v>
      </c>
      <c r="J320" s="331">
        <f t="shared" si="56"/>
        <v>26096</v>
      </c>
      <c r="K320" s="292">
        <f>'09-RESUMEN'!$F$43/1375</f>
        <v>81431.961035221175</v>
      </c>
      <c r="L320" s="122">
        <f>('ESTADO RESULTADOS'!$C$36+'ESTADO RESULTADOS'!$C$71)/1375</f>
        <v>24762.287272727273</v>
      </c>
      <c r="M320" s="122">
        <v>0</v>
      </c>
      <c r="N320" s="122">
        <f t="shared" si="66"/>
        <v>286098.24830794847</v>
      </c>
      <c r="O320" s="122">
        <f t="shared" si="67"/>
        <v>35762.281038493558</v>
      </c>
      <c r="P320" s="336">
        <f t="shared" si="57"/>
        <v>-80098.248307948466</v>
      </c>
      <c r="Q320" s="336">
        <f t="shared" si="58"/>
        <v>13274.281038493558</v>
      </c>
      <c r="R320" s="303">
        <f t="shared" si="59"/>
        <v>0.59028286368256666</v>
      </c>
    </row>
    <row r="321" spans="1:18" x14ac:dyDescent="0.3">
      <c r="A321" s="2">
        <v>567</v>
      </c>
      <c r="B321" s="41" t="s">
        <v>287</v>
      </c>
      <c r="C321" s="2">
        <v>4</v>
      </c>
      <c r="D321" s="2" t="s">
        <v>32</v>
      </c>
      <c r="E321" s="294">
        <v>51827</v>
      </c>
      <c r="F321" s="296">
        <v>58500</v>
      </c>
      <c r="G321" s="352">
        <v>6</v>
      </c>
      <c r="H321" s="296">
        <f t="shared" si="54"/>
        <v>310962</v>
      </c>
      <c r="I321" s="122">
        <f t="shared" si="55"/>
        <v>351000</v>
      </c>
      <c r="J321" s="331">
        <f t="shared" si="56"/>
        <v>40038</v>
      </c>
      <c r="K321" s="292">
        <f>'09-RESUMEN'!$F$43/1375</f>
        <v>81431.961035221175</v>
      </c>
      <c r="L321" s="122">
        <f>('ESTADO RESULTADOS'!$C$36+'ESTADO RESULTADOS'!$C$71)/1375</f>
        <v>24762.287272727273</v>
      </c>
      <c r="M321" s="122">
        <v>0</v>
      </c>
      <c r="N321" s="122">
        <f t="shared" si="66"/>
        <v>417156.24830794847</v>
      </c>
      <c r="O321" s="122">
        <f t="shared" si="67"/>
        <v>69526.041384658078</v>
      </c>
      <c r="P321" s="336">
        <f t="shared" si="57"/>
        <v>-66156.248307948466</v>
      </c>
      <c r="Q321" s="336">
        <f t="shared" si="58"/>
        <v>17699.041384658078</v>
      </c>
      <c r="R321" s="303">
        <f t="shared" si="59"/>
        <v>0.34150233246489431</v>
      </c>
    </row>
    <row r="322" spans="1:18" x14ac:dyDescent="0.3">
      <c r="A322" s="2">
        <v>569</v>
      </c>
      <c r="B322" s="41" t="s">
        <v>288</v>
      </c>
      <c r="C322" s="2">
        <v>7</v>
      </c>
      <c r="D322" s="2" t="s">
        <v>12</v>
      </c>
      <c r="E322" s="294">
        <v>17000</v>
      </c>
      <c r="F322" s="296">
        <v>20250</v>
      </c>
      <c r="G322" s="352">
        <v>14</v>
      </c>
      <c r="H322" s="296">
        <f t="shared" si="54"/>
        <v>238000</v>
      </c>
      <c r="I322" s="122">
        <f t="shared" si="55"/>
        <v>283500</v>
      </c>
      <c r="J322" s="331">
        <f t="shared" si="56"/>
        <v>45500</v>
      </c>
      <c r="K322" s="292">
        <f>'09-RESUMEN'!$F$43/1375</f>
        <v>81431.961035221175</v>
      </c>
      <c r="L322" s="122">
        <f>('ESTADO RESULTADOS'!$C$36+'ESTADO RESULTADOS'!$C$71)/1375</f>
        <v>24762.287272727273</v>
      </c>
      <c r="M322" s="122">
        <v>0</v>
      </c>
      <c r="N322" s="122">
        <f t="shared" si="66"/>
        <v>344194.24830794847</v>
      </c>
      <c r="O322" s="122">
        <f t="shared" si="67"/>
        <v>24585.303450567746</v>
      </c>
      <c r="P322" s="336">
        <f t="shared" si="57"/>
        <v>-60694.248307948466</v>
      </c>
      <c r="Q322" s="336">
        <f t="shared" si="58"/>
        <v>7585.303450567746</v>
      </c>
      <c r="R322" s="303">
        <f t="shared" si="59"/>
        <v>0.44619432062163211</v>
      </c>
    </row>
    <row r="323" spans="1:18" x14ac:dyDescent="0.3">
      <c r="A323" s="2">
        <v>575</v>
      </c>
      <c r="B323" s="41" t="s">
        <v>1654</v>
      </c>
      <c r="C323" s="2">
        <v>4</v>
      </c>
      <c r="D323" s="2" t="s">
        <v>32</v>
      </c>
      <c r="E323" s="294">
        <v>15500</v>
      </c>
      <c r="F323" s="296">
        <v>17500</v>
      </c>
      <c r="G323" s="352">
        <v>8</v>
      </c>
      <c r="H323" s="296">
        <f t="shared" si="54"/>
        <v>124000</v>
      </c>
      <c r="I323" s="122">
        <f t="shared" si="55"/>
        <v>140000</v>
      </c>
      <c r="J323" s="331">
        <f t="shared" si="56"/>
        <v>16000</v>
      </c>
      <c r="K323" s="292">
        <f>'09-RESUMEN'!$F$43/1375</f>
        <v>81431.961035221175</v>
      </c>
      <c r="L323" s="122">
        <f>('ESTADO RESULTADOS'!$C$36+'ESTADO RESULTADOS'!$C$71)/1375</f>
        <v>24762.287272727273</v>
      </c>
      <c r="M323" s="122">
        <v>0</v>
      </c>
      <c r="N323" s="122">
        <f t="shared" si="66"/>
        <v>230194.24830794844</v>
      </c>
      <c r="O323" s="122">
        <f t="shared" si="67"/>
        <v>28774.281038493555</v>
      </c>
      <c r="P323" s="336">
        <f t="shared" si="57"/>
        <v>-90194.248307948437</v>
      </c>
      <c r="Q323" s="336">
        <f t="shared" si="58"/>
        <v>13274.281038493555</v>
      </c>
      <c r="R323" s="303">
        <f t="shared" si="59"/>
        <v>0.85640522828990673</v>
      </c>
    </row>
    <row r="324" spans="1:18" x14ac:dyDescent="0.3">
      <c r="A324" s="2">
        <v>577</v>
      </c>
      <c r="B324" s="41" t="s">
        <v>289</v>
      </c>
      <c r="C324" s="2">
        <v>2</v>
      </c>
      <c r="D324" s="2" t="s">
        <v>112</v>
      </c>
      <c r="E324" s="294">
        <v>106100</v>
      </c>
      <c r="F324" s="296">
        <v>113533.33333333333</v>
      </c>
      <c r="G324" s="352">
        <v>11</v>
      </c>
      <c r="H324" s="296">
        <f t="shared" ref="H324:H387" si="68">E324*G324</f>
        <v>1167100</v>
      </c>
      <c r="I324" s="122">
        <f t="shared" ref="I324:I387" si="69">F324*G324</f>
        <v>1248866.6666666665</v>
      </c>
      <c r="J324" s="331">
        <f t="shared" ref="J324:J387" si="70">I324-H324</f>
        <v>81766.666666666511</v>
      </c>
      <c r="K324" s="292">
        <f>'09-RESUMEN'!$F$43/1375</f>
        <v>81431.961035221175</v>
      </c>
      <c r="L324" s="122">
        <f>('ESTADO RESULTADOS'!$C$36+'ESTADO RESULTADOS'!$C$71)/1375</f>
        <v>24762.287272727273</v>
      </c>
      <c r="M324" s="122">
        <v>0</v>
      </c>
      <c r="N324" s="122">
        <f t="shared" si="66"/>
        <v>1273294.2483079485</v>
      </c>
      <c r="O324" s="122">
        <f t="shared" si="67"/>
        <v>115754.02257344987</v>
      </c>
      <c r="P324" s="336">
        <f t="shared" si="57"/>
        <v>-24427.581641281955</v>
      </c>
      <c r="Q324" s="336">
        <f t="shared" si="58"/>
        <v>9654.0225734498672</v>
      </c>
      <c r="R324" s="303">
        <f t="shared" si="59"/>
        <v>9.098984517860384E-2</v>
      </c>
    </row>
    <row r="325" spans="1:18" x14ac:dyDescent="0.3">
      <c r="A325" s="2">
        <v>579</v>
      </c>
      <c r="B325" s="41" t="s">
        <v>290</v>
      </c>
      <c r="C325" s="2">
        <v>4</v>
      </c>
      <c r="D325" s="2" t="s">
        <v>16</v>
      </c>
      <c r="E325" s="294">
        <v>106500</v>
      </c>
      <c r="F325" s="296">
        <v>122833.33333333333</v>
      </c>
      <c r="G325" s="352">
        <v>5</v>
      </c>
      <c r="H325" s="296">
        <f t="shared" si="68"/>
        <v>532500</v>
      </c>
      <c r="I325" s="122">
        <f t="shared" si="69"/>
        <v>614166.66666666663</v>
      </c>
      <c r="J325" s="331">
        <f t="shared" si="70"/>
        <v>81666.666666666628</v>
      </c>
      <c r="K325" s="292">
        <f>'09-RESUMEN'!$F$43/1375</f>
        <v>81431.961035221175</v>
      </c>
      <c r="L325" s="122">
        <f>('ESTADO RESULTADOS'!$C$36+'ESTADO RESULTADOS'!$C$71)/1375</f>
        <v>24762.287272727273</v>
      </c>
      <c r="M325" s="122">
        <v>0</v>
      </c>
      <c r="N325" s="122">
        <f t="shared" si="66"/>
        <v>638694.24830794835</v>
      </c>
      <c r="O325" s="122">
        <f t="shared" si="67"/>
        <v>127738.84966158967</v>
      </c>
      <c r="P325" s="336">
        <f t="shared" ref="P325:P388" si="71">I325-N325</f>
        <v>-24527.581641281722</v>
      </c>
      <c r="Q325" s="336">
        <f t="shared" ref="Q325:Q388" si="72">O325-E325</f>
        <v>21238.849661589673</v>
      </c>
      <c r="R325" s="303">
        <f t="shared" ref="R325:R388" si="73">Q325/E325</f>
        <v>0.19942581841868237</v>
      </c>
    </row>
    <row r="326" spans="1:18" x14ac:dyDescent="0.3">
      <c r="A326" s="2">
        <v>582</v>
      </c>
      <c r="B326" s="41" t="s">
        <v>291</v>
      </c>
      <c r="C326" s="2">
        <v>14</v>
      </c>
      <c r="D326" s="2" t="s">
        <v>21</v>
      </c>
      <c r="E326" s="294">
        <v>7423</v>
      </c>
      <c r="F326" s="296">
        <v>8900</v>
      </c>
      <c r="G326" s="352">
        <v>22</v>
      </c>
      <c r="H326" s="296">
        <f t="shared" si="68"/>
        <v>163306</v>
      </c>
      <c r="I326" s="122">
        <f t="shared" si="69"/>
        <v>195800</v>
      </c>
      <c r="J326" s="331">
        <f t="shared" si="70"/>
        <v>32494</v>
      </c>
      <c r="K326" s="292">
        <f>'09-RESUMEN'!$F$43/1375</f>
        <v>81431.961035221175</v>
      </c>
      <c r="L326" s="122">
        <f>('ESTADO RESULTADOS'!$C$36+'ESTADO RESULTADOS'!$C$71)/1375</f>
        <v>24762.287272727273</v>
      </c>
      <c r="M326" s="122">
        <v>0</v>
      </c>
      <c r="N326" s="122">
        <f t="shared" si="66"/>
        <v>269500.24830794847</v>
      </c>
      <c r="O326" s="122">
        <f t="shared" si="67"/>
        <v>12250.01128672493</v>
      </c>
      <c r="P326" s="336">
        <f t="shared" si="71"/>
        <v>-73700.248307948466</v>
      </c>
      <c r="Q326" s="336">
        <f t="shared" si="72"/>
        <v>4827.01128672493</v>
      </c>
      <c r="R326" s="303">
        <f t="shared" si="73"/>
        <v>0.65027768917215811</v>
      </c>
    </row>
    <row r="327" spans="1:18" x14ac:dyDescent="0.3">
      <c r="A327" s="2">
        <v>584</v>
      </c>
      <c r="B327" s="41" t="s">
        <v>1655</v>
      </c>
      <c r="C327" s="2">
        <v>1</v>
      </c>
      <c r="D327" s="2" t="s">
        <v>3</v>
      </c>
      <c r="E327" s="321">
        <v>115000</v>
      </c>
      <c r="F327" s="322">
        <v>124916.66666666667</v>
      </c>
      <c r="G327" s="353">
        <v>82</v>
      </c>
      <c r="H327" s="322">
        <f t="shared" si="68"/>
        <v>9430000</v>
      </c>
      <c r="I327" s="122">
        <f t="shared" si="69"/>
        <v>10243166.666666668</v>
      </c>
      <c r="J327" s="331">
        <f t="shared" si="70"/>
        <v>813166.66666666791</v>
      </c>
      <c r="K327" s="292">
        <f>'09-RESUMEN'!$F$43/1375</f>
        <v>81431.961035221175</v>
      </c>
      <c r="L327" s="122">
        <f>('ESTADO RESULTADOS'!$C$36+'ESTADO RESULTADOS'!$C$71)/1375</f>
        <v>24762.287272727273</v>
      </c>
      <c r="M327" s="122">
        <v>0</v>
      </c>
      <c r="N327" s="122">
        <f t="shared" si="66"/>
        <v>9536194.2483079489</v>
      </c>
      <c r="O327" s="122">
        <f t="shared" si="67"/>
        <v>116295.05180863352</v>
      </c>
      <c r="P327" s="336">
        <f t="shared" si="71"/>
        <v>706972.41835871898</v>
      </c>
      <c r="Q327" s="336">
        <f t="shared" si="72"/>
        <v>1295.0518086335214</v>
      </c>
      <c r="R327" s="303">
        <f t="shared" si="73"/>
        <v>1.12613200750741E-2</v>
      </c>
    </row>
    <row r="328" spans="1:18" x14ac:dyDescent="0.3">
      <c r="A328" s="2">
        <v>592</v>
      </c>
      <c r="B328" s="41" t="s">
        <v>292</v>
      </c>
      <c r="C328" s="2">
        <v>12</v>
      </c>
      <c r="D328" s="2" t="s">
        <v>12</v>
      </c>
      <c r="E328" s="294">
        <v>4403</v>
      </c>
      <c r="F328" s="296">
        <v>5400</v>
      </c>
      <c r="G328" s="352">
        <v>1</v>
      </c>
      <c r="H328" s="296">
        <f t="shared" si="68"/>
        <v>4403</v>
      </c>
      <c r="I328" s="122">
        <f t="shared" si="69"/>
        <v>5400</v>
      </c>
      <c r="J328" s="331">
        <f t="shared" si="70"/>
        <v>997</v>
      </c>
      <c r="K328" s="292">
        <f>'09-RESUMEN'!$F$43/1375</f>
        <v>81431.961035221175</v>
      </c>
      <c r="L328" s="122">
        <f>('ESTADO RESULTADOS'!$C$36+'ESTADO RESULTADOS'!$C$71)/1375</f>
        <v>24762.287272727273</v>
      </c>
      <c r="M328" s="122">
        <v>0</v>
      </c>
      <c r="N328" s="122">
        <f t="shared" si="66"/>
        <v>110597.24830794845</v>
      </c>
      <c r="O328" s="122">
        <f t="shared" si="67"/>
        <v>110597.24830794845</v>
      </c>
      <c r="P328" s="336">
        <f t="shared" si="71"/>
        <v>-105197.24830794845</v>
      </c>
      <c r="Q328" s="336">
        <f t="shared" si="72"/>
        <v>106194.24830794845</v>
      </c>
      <c r="R328" s="303">
        <f t="shared" si="73"/>
        <v>24.118611925493632</v>
      </c>
    </row>
    <row r="329" spans="1:18" x14ac:dyDescent="0.3">
      <c r="A329" s="2">
        <v>594</v>
      </c>
      <c r="B329" s="41" t="s">
        <v>293</v>
      </c>
      <c r="C329" s="2">
        <v>12</v>
      </c>
      <c r="D329" s="2" t="s">
        <v>12</v>
      </c>
      <c r="E329" s="294">
        <v>4000</v>
      </c>
      <c r="F329" s="296">
        <v>4000</v>
      </c>
      <c r="G329" s="352">
        <v>0</v>
      </c>
      <c r="H329" s="296">
        <f t="shared" si="68"/>
        <v>0</v>
      </c>
      <c r="I329" s="122">
        <f t="shared" si="69"/>
        <v>0</v>
      </c>
      <c r="J329" s="331">
        <f t="shared" si="70"/>
        <v>0</v>
      </c>
      <c r="K329" s="292">
        <f>'09-RESUMEN'!$F$43/1375</f>
        <v>81431.961035221175</v>
      </c>
      <c r="L329" s="122">
        <f>('ESTADO RESULTADOS'!$C$36+'ESTADO RESULTADOS'!$C$71)/1375</f>
        <v>24762.287272727273</v>
      </c>
      <c r="M329" s="122">
        <v>0</v>
      </c>
      <c r="N329" s="122">
        <f>SUM(E329+K329+L329+M329)</f>
        <v>110194.24830794845</v>
      </c>
      <c r="O329" s="122">
        <f>N329</f>
        <v>110194.24830794845</v>
      </c>
      <c r="P329" s="336">
        <f t="shared" si="71"/>
        <v>-110194.24830794845</v>
      </c>
      <c r="Q329" s="336">
        <f t="shared" si="72"/>
        <v>106194.24830794845</v>
      </c>
      <c r="R329" s="303">
        <f t="shared" si="73"/>
        <v>26.548562076987114</v>
      </c>
    </row>
    <row r="330" spans="1:18" x14ac:dyDescent="0.3">
      <c r="A330" s="2">
        <v>599</v>
      </c>
      <c r="B330" s="41" t="s">
        <v>294</v>
      </c>
      <c r="C330" s="2">
        <v>12</v>
      </c>
      <c r="D330" s="2" t="s">
        <v>32</v>
      </c>
      <c r="E330" s="294">
        <v>15500</v>
      </c>
      <c r="F330" s="296">
        <v>20750</v>
      </c>
      <c r="G330" s="352">
        <v>20</v>
      </c>
      <c r="H330" s="296">
        <f t="shared" si="68"/>
        <v>310000</v>
      </c>
      <c r="I330" s="122">
        <f t="shared" si="69"/>
        <v>415000</v>
      </c>
      <c r="J330" s="331">
        <f t="shared" si="70"/>
        <v>105000</v>
      </c>
      <c r="K330" s="292">
        <f>'09-RESUMEN'!$F$43/1375</f>
        <v>81431.961035221175</v>
      </c>
      <c r="L330" s="122">
        <f>('ESTADO RESULTADOS'!$C$36+'ESTADO RESULTADOS'!$C$71)/1375</f>
        <v>24762.287272727273</v>
      </c>
      <c r="M330" s="122">
        <v>0</v>
      </c>
      <c r="N330" s="122">
        <f t="shared" ref="N330:N340" si="74">SUM(H330+K330+L330+M330)</f>
        <v>416194.24830794847</v>
      </c>
      <c r="O330" s="122">
        <f t="shared" ref="O330:O340" si="75">N330/G330</f>
        <v>20809.712415397422</v>
      </c>
      <c r="P330" s="336">
        <f t="shared" si="71"/>
        <v>-1194.2483079484664</v>
      </c>
      <c r="Q330" s="336">
        <f t="shared" si="72"/>
        <v>5309.7124153974219</v>
      </c>
      <c r="R330" s="303">
        <f t="shared" si="73"/>
        <v>0.34256209131596271</v>
      </c>
    </row>
    <row r="331" spans="1:18" x14ac:dyDescent="0.3">
      <c r="A331" s="2">
        <v>600</v>
      </c>
      <c r="B331" s="41" t="s">
        <v>295</v>
      </c>
      <c r="C331" s="2">
        <v>10</v>
      </c>
      <c r="D331" s="2" t="s">
        <v>208</v>
      </c>
      <c r="E331" s="294">
        <v>2000</v>
      </c>
      <c r="F331" s="296">
        <v>2800</v>
      </c>
      <c r="G331" s="352">
        <v>285</v>
      </c>
      <c r="H331" s="296">
        <f t="shared" si="68"/>
        <v>570000</v>
      </c>
      <c r="I331" s="122">
        <f t="shared" si="69"/>
        <v>798000</v>
      </c>
      <c r="J331" s="331">
        <f t="shared" si="70"/>
        <v>228000</v>
      </c>
      <c r="K331" s="292">
        <f>'09-RESUMEN'!$F$43/1375</f>
        <v>81431.961035221175</v>
      </c>
      <c r="L331" s="122">
        <f>('ESTADO RESULTADOS'!$C$36+'ESTADO RESULTADOS'!$C$71)/1375</f>
        <v>24762.287272727273</v>
      </c>
      <c r="M331" s="122">
        <v>0</v>
      </c>
      <c r="N331" s="122">
        <f t="shared" si="74"/>
        <v>676194.24830794835</v>
      </c>
      <c r="O331" s="122">
        <f t="shared" si="75"/>
        <v>2372.6113975717485</v>
      </c>
      <c r="P331" s="336">
        <f t="shared" si="71"/>
        <v>121805.75169205165</v>
      </c>
      <c r="Q331" s="336">
        <f t="shared" si="72"/>
        <v>372.61139757174851</v>
      </c>
      <c r="R331" s="303">
        <f t="shared" si="73"/>
        <v>0.18630569878587425</v>
      </c>
    </row>
    <row r="332" spans="1:18" x14ac:dyDescent="0.3">
      <c r="A332" s="2">
        <v>602</v>
      </c>
      <c r="B332" s="41" t="s">
        <v>296</v>
      </c>
      <c r="C332" s="2">
        <v>14</v>
      </c>
      <c r="D332" s="2" t="s">
        <v>12</v>
      </c>
      <c r="E332" s="294">
        <v>376</v>
      </c>
      <c r="F332" s="296">
        <v>600</v>
      </c>
      <c r="G332" s="352">
        <v>60</v>
      </c>
      <c r="H332" s="296">
        <f t="shared" si="68"/>
        <v>22560</v>
      </c>
      <c r="I332" s="122">
        <f t="shared" si="69"/>
        <v>36000</v>
      </c>
      <c r="J332" s="331">
        <f t="shared" si="70"/>
        <v>13440</v>
      </c>
      <c r="K332" s="292">
        <f>'09-RESUMEN'!$F$43/1375</f>
        <v>81431.961035221175</v>
      </c>
      <c r="L332" s="122">
        <f>('ESTADO RESULTADOS'!$C$36+'ESTADO RESULTADOS'!$C$71)/1375</f>
        <v>24762.287272727273</v>
      </c>
      <c r="M332" s="122">
        <v>0</v>
      </c>
      <c r="N332" s="122">
        <f t="shared" si="74"/>
        <v>128754.24830794845</v>
      </c>
      <c r="O332" s="122">
        <f t="shared" si="75"/>
        <v>2145.9041384658076</v>
      </c>
      <c r="P332" s="336">
        <f t="shared" si="71"/>
        <v>-92754.248307948452</v>
      </c>
      <c r="Q332" s="336">
        <f t="shared" si="72"/>
        <v>1769.9041384658076</v>
      </c>
      <c r="R332" s="303">
        <f t="shared" si="73"/>
        <v>4.7071918576218286</v>
      </c>
    </row>
    <row r="333" spans="1:18" x14ac:dyDescent="0.3">
      <c r="A333" s="2">
        <v>603</v>
      </c>
      <c r="B333" s="41" t="s">
        <v>1656</v>
      </c>
      <c r="C333" s="2">
        <v>5</v>
      </c>
      <c r="D333" s="2" t="s">
        <v>5</v>
      </c>
      <c r="E333" s="294">
        <v>6700</v>
      </c>
      <c r="F333" s="296">
        <v>8000</v>
      </c>
      <c r="G333" s="352">
        <v>5</v>
      </c>
      <c r="H333" s="296">
        <f t="shared" si="68"/>
        <v>33500</v>
      </c>
      <c r="I333" s="122">
        <f t="shared" si="69"/>
        <v>40000</v>
      </c>
      <c r="J333" s="331">
        <f t="shared" si="70"/>
        <v>6500</v>
      </c>
      <c r="K333" s="292">
        <f>'09-RESUMEN'!$F$43/1375</f>
        <v>81431.961035221175</v>
      </c>
      <c r="L333" s="122">
        <f>('ESTADO RESULTADOS'!$C$36+'ESTADO RESULTADOS'!$C$71)/1375</f>
        <v>24762.287272727273</v>
      </c>
      <c r="M333" s="122">
        <v>0</v>
      </c>
      <c r="N333" s="122">
        <f t="shared" si="74"/>
        <v>139694.24830794844</v>
      </c>
      <c r="O333" s="122">
        <f t="shared" si="75"/>
        <v>27938.849661589687</v>
      </c>
      <c r="P333" s="336">
        <f t="shared" si="71"/>
        <v>-99694.248307948437</v>
      </c>
      <c r="Q333" s="336">
        <f t="shared" si="72"/>
        <v>21238.849661589687</v>
      </c>
      <c r="R333" s="303">
        <f t="shared" si="73"/>
        <v>3.1699775614312968</v>
      </c>
    </row>
    <row r="334" spans="1:18" x14ac:dyDescent="0.3">
      <c r="A334" s="2">
        <v>604</v>
      </c>
      <c r="B334" s="41" t="s">
        <v>297</v>
      </c>
      <c r="C334" s="2">
        <v>7</v>
      </c>
      <c r="D334" s="2" t="s">
        <v>160</v>
      </c>
      <c r="E334" s="294">
        <v>2230</v>
      </c>
      <c r="F334" s="296">
        <v>2733.3333333333335</v>
      </c>
      <c r="G334" s="352">
        <v>11</v>
      </c>
      <c r="H334" s="296">
        <f t="shared" si="68"/>
        <v>24530</v>
      </c>
      <c r="I334" s="122">
        <f t="shared" si="69"/>
        <v>30066.666666666668</v>
      </c>
      <c r="J334" s="331">
        <f t="shared" si="70"/>
        <v>5536.6666666666679</v>
      </c>
      <c r="K334" s="292">
        <f>'09-RESUMEN'!$F$43/1375</f>
        <v>81431.961035221175</v>
      </c>
      <c r="L334" s="122">
        <f>('ESTADO RESULTADOS'!$C$36+'ESTADO RESULTADOS'!$C$71)/1375</f>
        <v>24762.287272727273</v>
      </c>
      <c r="M334" s="122">
        <v>0</v>
      </c>
      <c r="N334" s="122">
        <f t="shared" si="74"/>
        <v>130724.24830794845</v>
      </c>
      <c r="O334" s="122">
        <f t="shared" si="75"/>
        <v>11884.02257344986</v>
      </c>
      <c r="P334" s="336">
        <f t="shared" si="71"/>
        <v>-100657.58164128178</v>
      </c>
      <c r="Q334" s="336">
        <f t="shared" si="72"/>
        <v>9654.0225734498599</v>
      </c>
      <c r="R334" s="303">
        <f t="shared" si="73"/>
        <v>4.3291581046860355</v>
      </c>
    </row>
    <row r="335" spans="1:18" x14ac:dyDescent="0.3">
      <c r="A335" s="2">
        <v>605</v>
      </c>
      <c r="B335" s="41" t="s">
        <v>298</v>
      </c>
      <c r="C335" s="2">
        <v>12</v>
      </c>
      <c r="D335" s="2" t="s">
        <v>12</v>
      </c>
      <c r="E335" s="294">
        <v>1700</v>
      </c>
      <c r="F335" s="296">
        <v>1700</v>
      </c>
      <c r="G335" s="352">
        <v>1</v>
      </c>
      <c r="H335" s="296">
        <f t="shared" si="68"/>
        <v>1700</v>
      </c>
      <c r="I335" s="122">
        <f t="shared" si="69"/>
        <v>1700</v>
      </c>
      <c r="J335" s="331">
        <f t="shared" si="70"/>
        <v>0</v>
      </c>
      <c r="K335" s="292">
        <f>'09-RESUMEN'!$F$43/1375</f>
        <v>81431.961035221175</v>
      </c>
      <c r="L335" s="122">
        <f>('ESTADO RESULTADOS'!$C$36+'ESTADO RESULTADOS'!$C$71)/1375</f>
        <v>24762.287272727273</v>
      </c>
      <c r="M335" s="122">
        <v>0</v>
      </c>
      <c r="N335" s="122">
        <f t="shared" si="74"/>
        <v>107894.24830794845</v>
      </c>
      <c r="O335" s="122">
        <f t="shared" si="75"/>
        <v>107894.24830794845</v>
      </c>
      <c r="P335" s="336">
        <f t="shared" si="71"/>
        <v>-106194.24830794845</v>
      </c>
      <c r="Q335" s="336">
        <f t="shared" si="72"/>
        <v>106194.24830794845</v>
      </c>
      <c r="R335" s="303">
        <f t="shared" si="73"/>
        <v>62.467204887028501</v>
      </c>
    </row>
    <row r="336" spans="1:18" x14ac:dyDescent="0.3">
      <c r="A336" s="2">
        <v>607</v>
      </c>
      <c r="B336" s="41" t="s">
        <v>299</v>
      </c>
      <c r="C336" s="2">
        <v>5</v>
      </c>
      <c r="D336" s="2" t="s">
        <v>16</v>
      </c>
      <c r="E336" s="294">
        <v>43100</v>
      </c>
      <c r="F336" s="296">
        <v>48500</v>
      </c>
      <c r="G336" s="352">
        <v>16</v>
      </c>
      <c r="H336" s="296">
        <f t="shared" si="68"/>
        <v>689600</v>
      </c>
      <c r="I336" s="122">
        <f t="shared" si="69"/>
        <v>776000</v>
      </c>
      <c r="J336" s="331">
        <f t="shared" si="70"/>
        <v>86400</v>
      </c>
      <c r="K336" s="292">
        <f>'09-RESUMEN'!$F$43/1375</f>
        <v>81431.961035221175</v>
      </c>
      <c r="L336" s="122">
        <f>('ESTADO RESULTADOS'!$C$36+'ESTADO RESULTADOS'!$C$71)/1375</f>
        <v>24762.287272727273</v>
      </c>
      <c r="M336" s="122">
        <v>0</v>
      </c>
      <c r="N336" s="122">
        <f t="shared" si="74"/>
        <v>795794.24830794835</v>
      </c>
      <c r="O336" s="122">
        <f t="shared" si="75"/>
        <v>49737.140519246772</v>
      </c>
      <c r="P336" s="336">
        <f t="shared" si="71"/>
        <v>-19794.24830794835</v>
      </c>
      <c r="Q336" s="336">
        <f t="shared" si="72"/>
        <v>6637.1405192467719</v>
      </c>
      <c r="R336" s="303">
        <f t="shared" si="73"/>
        <v>0.1539939795648903</v>
      </c>
    </row>
    <row r="337" spans="1:18" x14ac:dyDescent="0.3">
      <c r="A337" s="2">
        <v>609</v>
      </c>
      <c r="B337" s="41" t="s">
        <v>300</v>
      </c>
      <c r="C337" s="2">
        <v>6</v>
      </c>
      <c r="D337" s="2" t="s">
        <v>21</v>
      </c>
      <c r="E337" s="294">
        <v>9215</v>
      </c>
      <c r="F337" s="296">
        <v>10500</v>
      </c>
      <c r="G337" s="352">
        <v>5</v>
      </c>
      <c r="H337" s="296">
        <f t="shared" si="68"/>
        <v>46075</v>
      </c>
      <c r="I337" s="122">
        <f t="shared" si="69"/>
        <v>52500</v>
      </c>
      <c r="J337" s="331">
        <f t="shared" si="70"/>
        <v>6425</v>
      </c>
      <c r="K337" s="292">
        <f>'09-RESUMEN'!$F$43/1375</f>
        <v>81431.961035221175</v>
      </c>
      <c r="L337" s="122">
        <f>('ESTADO RESULTADOS'!$C$36+'ESTADO RESULTADOS'!$C$71)/1375</f>
        <v>24762.287272727273</v>
      </c>
      <c r="M337" s="122">
        <v>0</v>
      </c>
      <c r="N337" s="122">
        <f t="shared" si="74"/>
        <v>152269.24830794844</v>
      </c>
      <c r="O337" s="122">
        <f t="shared" si="75"/>
        <v>30453.849661589687</v>
      </c>
      <c r="P337" s="336">
        <f t="shared" si="71"/>
        <v>-99769.248307948437</v>
      </c>
      <c r="Q337" s="336">
        <f t="shared" si="72"/>
        <v>21238.849661589687</v>
      </c>
      <c r="R337" s="303">
        <f t="shared" si="73"/>
        <v>2.3048127684850446</v>
      </c>
    </row>
    <row r="338" spans="1:18" x14ac:dyDescent="0.3">
      <c r="A338" s="2">
        <v>610</v>
      </c>
      <c r="B338" s="41" t="s">
        <v>301</v>
      </c>
      <c r="C338" s="2">
        <v>14</v>
      </c>
      <c r="D338" s="2" t="s">
        <v>32</v>
      </c>
      <c r="E338" s="294">
        <v>7980.4544999999998</v>
      </c>
      <c r="F338" s="296">
        <v>13450</v>
      </c>
      <c r="G338" s="352">
        <v>10</v>
      </c>
      <c r="H338" s="296">
        <f t="shared" si="68"/>
        <v>79804.544999999998</v>
      </c>
      <c r="I338" s="122">
        <f t="shared" si="69"/>
        <v>134500</v>
      </c>
      <c r="J338" s="331">
        <f t="shared" si="70"/>
        <v>54695.455000000002</v>
      </c>
      <c r="K338" s="292">
        <f>'09-RESUMEN'!$F$43/1375</f>
        <v>81431.961035221175</v>
      </c>
      <c r="L338" s="122">
        <f>('ESTADO RESULTADOS'!$C$36+'ESTADO RESULTADOS'!$C$71)/1375</f>
        <v>24762.287272727273</v>
      </c>
      <c r="M338" s="122">
        <v>0</v>
      </c>
      <c r="N338" s="122">
        <f t="shared" si="74"/>
        <v>185998.79330794842</v>
      </c>
      <c r="O338" s="122">
        <f t="shared" si="75"/>
        <v>18599.879330794844</v>
      </c>
      <c r="P338" s="336">
        <f t="shared" si="71"/>
        <v>-51498.793307948421</v>
      </c>
      <c r="Q338" s="336">
        <f t="shared" si="72"/>
        <v>10619.424830794844</v>
      </c>
      <c r="R338" s="303">
        <f t="shared" si="73"/>
        <v>1.3306792026437646</v>
      </c>
    </row>
    <row r="339" spans="1:18" x14ac:dyDescent="0.3">
      <c r="A339" s="2">
        <v>611</v>
      </c>
      <c r="B339" s="41" t="s">
        <v>302</v>
      </c>
      <c r="C339" s="2">
        <v>14</v>
      </c>
      <c r="D339" s="2" t="s">
        <v>32</v>
      </c>
      <c r="E339" s="294">
        <v>25506</v>
      </c>
      <c r="F339" s="296">
        <v>33900</v>
      </c>
      <c r="G339" s="352">
        <v>5</v>
      </c>
      <c r="H339" s="296">
        <f t="shared" si="68"/>
        <v>127530</v>
      </c>
      <c r="I339" s="122">
        <f t="shared" si="69"/>
        <v>169500</v>
      </c>
      <c r="J339" s="331">
        <f t="shared" si="70"/>
        <v>41970</v>
      </c>
      <c r="K339" s="292">
        <f>'09-RESUMEN'!$F$43/1375</f>
        <v>81431.961035221175</v>
      </c>
      <c r="L339" s="122">
        <f>('ESTADO RESULTADOS'!$C$36+'ESTADO RESULTADOS'!$C$71)/1375</f>
        <v>24762.287272727273</v>
      </c>
      <c r="M339" s="122">
        <v>0</v>
      </c>
      <c r="N339" s="122">
        <f t="shared" si="74"/>
        <v>233724.24830794844</v>
      </c>
      <c r="O339" s="122">
        <f t="shared" si="75"/>
        <v>46744.849661589687</v>
      </c>
      <c r="P339" s="336">
        <f t="shared" si="71"/>
        <v>-64224.248307948437</v>
      </c>
      <c r="Q339" s="336">
        <f t="shared" si="72"/>
        <v>21238.849661589687</v>
      </c>
      <c r="R339" s="303">
        <f t="shared" si="73"/>
        <v>0.83270013571668189</v>
      </c>
    </row>
    <row r="340" spans="1:18" x14ac:dyDescent="0.3">
      <c r="A340" s="2">
        <v>617</v>
      </c>
      <c r="B340" s="41" t="s">
        <v>303</v>
      </c>
      <c r="C340" s="2">
        <v>4</v>
      </c>
      <c r="D340" s="2" t="s">
        <v>21</v>
      </c>
      <c r="E340" s="294">
        <v>24226.62</v>
      </c>
      <c r="F340" s="296">
        <v>32250</v>
      </c>
      <c r="G340" s="352">
        <v>27</v>
      </c>
      <c r="H340" s="296">
        <f t="shared" si="68"/>
        <v>654118.74</v>
      </c>
      <c r="I340" s="122">
        <f t="shared" si="69"/>
        <v>870750</v>
      </c>
      <c r="J340" s="331">
        <f t="shared" si="70"/>
        <v>216631.26</v>
      </c>
      <c r="K340" s="292">
        <f>'09-RESUMEN'!$F$43/1375</f>
        <v>81431.961035221175</v>
      </c>
      <c r="L340" s="122">
        <f>('ESTADO RESULTADOS'!$C$36+'ESTADO RESULTADOS'!$C$71)/1375</f>
        <v>24762.287272727273</v>
      </c>
      <c r="M340" s="122">
        <v>0</v>
      </c>
      <c r="N340" s="122">
        <f t="shared" si="74"/>
        <v>760312.98830794834</v>
      </c>
      <c r="O340" s="122">
        <f t="shared" si="75"/>
        <v>28159.740307701792</v>
      </c>
      <c r="P340" s="336">
        <f t="shared" si="71"/>
        <v>110437.01169205166</v>
      </c>
      <c r="Q340" s="336">
        <f t="shared" si="72"/>
        <v>3933.1203077017926</v>
      </c>
      <c r="R340" s="303">
        <f t="shared" si="73"/>
        <v>0.16234705079378769</v>
      </c>
    </row>
    <row r="341" spans="1:18" x14ac:dyDescent="0.3">
      <c r="A341" s="2">
        <v>618</v>
      </c>
      <c r="B341" s="41" t="s">
        <v>304</v>
      </c>
      <c r="C341" s="2">
        <v>12</v>
      </c>
      <c r="D341" s="2" t="s">
        <v>12</v>
      </c>
      <c r="E341" s="294">
        <v>3117.8</v>
      </c>
      <c r="F341" s="296">
        <v>4000</v>
      </c>
      <c r="G341" s="352">
        <v>0</v>
      </c>
      <c r="H341" s="296">
        <f t="shared" si="68"/>
        <v>0</v>
      </c>
      <c r="I341" s="122">
        <f t="shared" si="69"/>
        <v>0</v>
      </c>
      <c r="J341" s="331">
        <f t="shared" si="70"/>
        <v>0</v>
      </c>
      <c r="K341" s="292">
        <f>'09-RESUMEN'!$F$43/1375</f>
        <v>81431.961035221175</v>
      </c>
      <c r="L341" s="122">
        <f>('ESTADO RESULTADOS'!$C$36+'ESTADO RESULTADOS'!$C$71)/1375</f>
        <v>24762.287272727273</v>
      </c>
      <c r="M341" s="122">
        <v>0</v>
      </c>
      <c r="N341" s="122">
        <f>SUM(E341+K341+L341+M341)</f>
        <v>109312.04830794845</v>
      </c>
      <c r="O341" s="122">
        <f>N341</f>
        <v>109312.04830794845</v>
      </c>
      <c r="P341" s="336">
        <f t="shared" si="71"/>
        <v>-109312.04830794845</v>
      </c>
      <c r="Q341" s="336">
        <f t="shared" si="72"/>
        <v>106194.24830794845</v>
      </c>
      <c r="R341" s="303">
        <f t="shared" si="73"/>
        <v>34.060635161956654</v>
      </c>
    </row>
    <row r="342" spans="1:18" x14ac:dyDescent="0.3">
      <c r="A342" s="2">
        <v>621</v>
      </c>
      <c r="B342" s="41" t="s">
        <v>305</v>
      </c>
      <c r="C342" s="2">
        <v>1</v>
      </c>
      <c r="D342" s="2" t="s">
        <v>5</v>
      </c>
      <c r="E342" s="321">
        <v>4580.54</v>
      </c>
      <c r="F342" s="322">
        <v>5700</v>
      </c>
      <c r="G342" s="353">
        <v>390</v>
      </c>
      <c r="H342" s="322">
        <f t="shared" si="68"/>
        <v>1786410.6</v>
      </c>
      <c r="I342" s="122">
        <f t="shared" si="69"/>
        <v>2223000</v>
      </c>
      <c r="J342" s="331">
        <f t="shared" si="70"/>
        <v>436589.39999999991</v>
      </c>
      <c r="K342" s="292">
        <f>'09-RESUMEN'!$F$43/1375+('09-RESUMEN'!$F$42/17)</f>
        <v>283519.42464527232</v>
      </c>
      <c r="L342" s="122">
        <f>('ESTADO RESULTADOS'!$C$36+'ESTADO RESULTADOS'!$C$71)/1375</f>
        <v>24762.287272727273</v>
      </c>
      <c r="M342" s="122">
        <f>'ESTADO RESULTADOS'!$C$37/17</f>
        <v>106174.11764705883</v>
      </c>
      <c r="N342" s="122">
        <f>SUM(H342+K342+L342+M342)</f>
        <v>2200866.4295650586</v>
      </c>
      <c r="O342" s="122">
        <f>N342/G342</f>
        <v>5643.2472552950221</v>
      </c>
      <c r="P342" s="336">
        <f t="shared" si="71"/>
        <v>22133.570434941445</v>
      </c>
      <c r="Q342" s="336">
        <f t="shared" si="72"/>
        <v>1062.7072552950222</v>
      </c>
      <c r="R342" s="303">
        <f t="shared" si="73"/>
        <v>0.23200479753370173</v>
      </c>
    </row>
    <row r="343" spans="1:18" x14ac:dyDescent="0.3">
      <c r="A343" s="2">
        <v>622</v>
      </c>
      <c r="B343" s="41" t="s">
        <v>306</v>
      </c>
      <c r="C343" s="2">
        <v>14</v>
      </c>
      <c r="D343" s="2" t="s">
        <v>59</v>
      </c>
      <c r="E343" s="294">
        <v>29294</v>
      </c>
      <c r="F343" s="296">
        <v>37550</v>
      </c>
      <c r="G343" s="352">
        <v>2</v>
      </c>
      <c r="H343" s="296">
        <f t="shared" si="68"/>
        <v>58588</v>
      </c>
      <c r="I343" s="122">
        <f t="shared" si="69"/>
        <v>75100</v>
      </c>
      <c r="J343" s="331">
        <f t="shared" si="70"/>
        <v>16512</v>
      </c>
      <c r="K343" s="292">
        <f>'09-RESUMEN'!$F$43/1375</f>
        <v>81431.961035221175</v>
      </c>
      <c r="L343" s="122">
        <f>('ESTADO RESULTADOS'!$C$36+'ESTADO RESULTADOS'!$C$71)/1375</f>
        <v>24762.287272727273</v>
      </c>
      <c r="M343" s="122">
        <v>0</v>
      </c>
      <c r="N343" s="122">
        <f>SUM(H343+K343+L343+M343)</f>
        <v>164782.24830794844</v>
      </c>
      <c r="O343" s="122">
        <f>N343/G343</f>
        <v>82391.124153974219</v>
      </c>
      <c r="P343" s="336">
        <f t="shared" si="71"/>
        <v>-89682.248307948437</v>
      </c>
      <c r="Q343" s="336">
        <f t="shared" si="72"/>
        <v>53097.124153974219</v>
      </c>
      <c r="R343" s="303">
        <f t="shared" si="73"/>
        <v>1.8125597103152256</v>
      </c>
    </row>
    <row r="344" spans="1:18" x14ac:dyDescent="0.3">
      <c r="A344" s="2">
        <v>623</v>
      </c>
      <c r="B344" s="41" t="s">
        <v>307</v>
      </c>
      <c r="C344" s="2">
        <v>14</v>
      </c>
      <c r="D344" s="2" t="s">
        <v>59</v>
      </c>
      <c r="E344" s="294">
        <v>8130</v>
      </c>
      <c r="F344" s="296">
        <v>9500</v>
      </c>
      <c r="G344" s="352">
        <v>10</v>
      </c>
      <c r="H344" s="296">
        <f t="shared" si="68"/>
        <v>81300</v>
      </c>
      <c r="I344" s="122">
        <f t="shared" si="69"/>
        <v>95000</v>
      </c>
      <c r="J344" s="331">
        <f t="shared" si="70"/>
        <v>13700</v>
      </c>
      <c r="K344" s="292">
        <f>'09-RESUMEN'!$F$43/1375</f>
        <v>81431.961035221175</v>
      </c>
      <c r="L344" s="122">
        <f>('ESTADO RESULTADOS'!$C$36+'ESTADO RESULTADOS'!$C$71)/1375</f>
        <v>24762.287272727273</v>
      </c>
      <c r="M344" s="122">
        <v>0</v>
      </c>
      <c r="N344" s="122">
        <f>SUM(H344+K344+L344+M344)</f>
        <v>187494.24830794844</v>
      </c>
      <c r="O344" s="122">
        <f>N344/G344</f>
        <v>18749.424830794844</v>
      </c>
      <c r="P344" s="336">
        <f t="shared" si="71"/>
        <v>-92494.248307948437</v>
      </c>
      <c r="Q344" s="336">
        <f t="shared" si="72"/>
        <v>10619.424830794844</v>
      </c>
      <c r="R344" s="303">
        <f t="shared" si="73"/>
        <v>1.306202316210928</v>
      </c>
    </row>
    <row r="345" spans="1:18" x14ac:dyDescent="0.3">
      <c r="A345" s="2">
        <v>624</v>
      </c>
      <c r="B345" s="41" t="s">
        <v>308</v>
      </c>
      <c r="C345" s="2">
        <v>10</v>
      </c>
      <c r="D345" s="2" t="s">
        <v>12</v>
      </c>
      <c r="E345" s="294">
        <v>15232</v>
      </c>
      <c r="F345" s="296">
        <v>18200</v>
      </c>
      <c r="G345" s="352">
        <v>1</v>
      </c>
      <c r="H345" s="296">
        <f t="shared" si="68"/>
        <v>15232</v>
      </c>
      <c r="I345" s="122">
        <f t="shared" si="69"/>
        <v>18200</v>
      </c>
      <c r="J345" s="331">
        <f t="shared" si="70"/>
        <v>2968</v>
      </c>
      <c r="K345" s="292">
        <f>'09-RESUMEN'!$F$43/1375</f>
        <v>81431.961035221175</v>
      </c>
      <c r="L345" s="122">
        <f>('ESTADO RESULTADOS'!$C$36+'ESTADO RESULTADOS'!$C$71)/1375</f>
        <v>24762.287272727273</v>
      </c>
      <c r="M345" s="122">
        <v>0</v>
      </c>
      <c r="N345" s="122">
        <f>SUM(H345+K345+L345+M345)</f>
        <v>121426.24830794845</v>
      </c>
      <c r="O345" s="122">
        <f>N345/G345</f>
        <v>121426.24830794845</v>
      </c>
      <c r="P345" s="336">
        <f t="shared" si="71"/>
        <v>-103226.24830794845</v>
      </c>
      <c r="Q345" s="336">
        <f t="shared" si="72"/>
        <v>106194.24830794845</v>
      </c>
      <c r="R345" s="303">
        <f t="shared" si="73"/>
        <v>6.971786259713002</v>
      </c>
    </row>
    <row r="346" spans="1:18" x14ac:dyDescent="0.3">
      <c r="A346" s="2">
        <v>625</v>
      </c>
      <c r="B346" s="41" t="s">
        <v>309</v>
      </c>
      <c r="C346" s="2">
        <v>4</v>
      </c>
      <c r="D346" s="2" t="s">
        <v>21</v>
      </c>
      <c r="E346" s="294">
        <v>24850</v>
      </c>
      <c r="F346" s="296">
        <v>33500</v>
      </c>
      <c r="G346" s="352">
        <v>66</v>
      </c>
      <c r="H346" s="296">
        <f t="shared" si="68"/>
        <v>1640100</v>
      </c>
      <c r="I346" s="122">
        <f t="shared" si="69"/>
        <v>2211000</v>
      </c>
      <c r="J346" s="331">
        <f t="shared" si="70"/>
        <v>570900</v>
      </c>
      <c r="K346" s="292">
        <f>'09-RESUMEN'!$F$43/1375</f>
        <v>81431.961035221175</v>
      </c>
      <c r="L346" s="122">
        <f>('ESTADO RESULTADOS'!$C$36+'ESTADO RESULTADOS'!$C$71)/1375</f>
        <v>24762.287272727273</v>
      </c>
      <c r="M346" s="122">
        <v>0</v>
      </c>
      <c r="N346" s="122">
        <f>SUM(H346+K346+L346+M346)</f>
        <v>1746294.2483079485</v>
      </c>
      <c r="O346" s="122">
        <f>N346/G346</f>
        <v>26459.003762241642</v>
      </c>
      <c r="P346" s="336">
        <f t="shared" si="71"/>
        <v>464705.75169205153</v>
      </c>
      <c r="Q346" s="336">
        <f t="shared" si="72"/>
        <v>1609.0037622416421</v>
      </c>
      <c r="R346" s="303">
        <f t="shared" si="73"/>
        <v>6.4748642343728055E-2</v>
      </c>
    </row>
    <row r="347" spans="1:18" x14ac:dyDescent="0.3">
      <c r="A347" s="2">
        <v>626</v>
      </c>
      <c r="B347" s="41" t="s">
        <v>1657</v>
      </c>
      <c r="C347" s="2">
        <v>14</v>
      </c>
      <c r="D347" s="2" t="s">
        <v>21</v>
      </c>
      <c r="E347" s="294">
        <v>1745.37</v>
      </c>
      <c r="F347" s="296">
        <v>2500</v>
      </c>
      <c r="G347" s="352">
        <v>0</v>
      </c>
      <c r="H347" s="296">
        <f t="shared" si="68"/>
        <v>0</v>
      </c>
      <c r="I347" s="122">
        <f t="shared" si="69"/>
        <v>0</v>
      </c>
      <c r="J347" s="331">
        <f t="shared" si="70"/>
        <v>0</v>
      </c>
      <c r="K347" s="292">
        <f>'09-RESUMEN'!$F$43/1375</f>
        <v>81431.961035221175</v>
      </c>
      <c r="L347" s="122">
        <f>('ESTADO RESULTADOS'!$C$36+'ESTADO RESULTADOS'!$C$71)/1375</f>
        <v>24762.287272727273</v>
      </c>
      <c r="M347" s="122">
        <v>0</v>
      </c>
      <c r="N347" s="122">
        <f>SUM(E347+K347+L347+M347)</f>
        <v>107939.61830794845</v>
      </c>
      <c r="O347" s="122">
        <f>N347</f>
        <v>107939.61830794845</v>
      </c>
      <c r="P347" s="336">
        <f t="shared" si="71"/>
        <v>-107939.61830794845</v>
      </c>
      <c r="Q347" s="336">
        <f t="shared" si="72"/>
        <v>106194.24830794845</v>
      </c>
      <c r="R347" s="303">
        <f t="shared" si="73"/>
        <v>60.843401862039833</v>
      </c>
    </row>
    <row r="348" spans="1:18" x14ac:dyDescent="0.3">
      <c r="A348" s="2">
        <v>627</v>
      </c>
      <c r="B348" s="41" t="s">
        <v>310</v>
      </c>
      <c r="C348" s="2">
        <v>6</v>
      </c>
      <c r="D348" s="2" t="s">
        <v>32</v>
      </c>
      <c r="E348" s="294">
        <v>23429</v>
      </c>
      <c r="F348" s="296">
        <v>28500</v>
      </c>
      <c r="G348" s="352">
        <v>12</v>
      </c>
      <c r="H348" s="296">
        <f t="shared" si="68"/>
        <v>281148</v>
      </c>
      <c r="I348" s="122">
        <f t="shared" si="69"/>
        <v>342000</v>
      </c>
      <c r="J348" s="331">
        <f t="shared" si="70"/>
        <v>60852</v>
      </c>
      <c r="K348" s="292">
        <f>'09-RESUMEN'!$F$43/1375</f>
        <v>81431.961035221175</v>
      </c>
      <c r="L348" s="122">
        <f>('ESTADO RESULTADOS'!$C$36+'ESTADO RESULTADOS'!$C$71)/1375</f>
        <v>24762.287272727273</v>
      </c>
      <c r="M348" s="122">
        <v>0</v>
      </c>
      <c r="N348" s="122">
        <f t="shared" ref="N348:N353" si="76">SUM(H348+K348+L348+M348)</f>
        <v>387342.24830794847</v>
      </c>
      <c r="O348" s="122">
        <f t="shared" ref="O348:O353" si="77">N348/G348</f>
        <v>32278.520692329039</v>
      </c>
      <c r="P348" s="336">
        <f t="shared" si="71"/>
        <v>-45342.248307948466</v>
      </c>
      <c r="Q348" s="336">
        <f t="shared" si="72"/>
        <v>8849.5206923290389</v>
      </c>
      <c r="R348" s="303">
        <f t="shared" si="73"/>
        <v>0.37771653473596989</v>
      </c>
    </row>
    <row r="349" spans="1:18" x14ac:dyDescent="0.3">
      <c r="A349" s="2">
        <v>628</v>
      </c>
      <c r="B349" s="41" t="s">
        <v>311</v>
      </c>
      <c r="C349" s="2">
        <v>6</v>
      </c>
      <c r="D349" s="2" t="s">
        <v>32</v>
      </c>
      <c r="E349" s="294">
        <v>57674</v>
      </c>
      <c r="F349" s="296">
        <v>65000</v>
      </c>
      <c r="G349" s="352">
        <v>3</v>
      </c>
      <c r="H349" s="296">
        <f t="shared" si="68"/>
        <v>173022</v>
      </c>
      <c r="I349" s="122">
        <f t="shared" si="69"/>
        <v>195000</v>
      </c>
      <c r="J349" s="331">
        <f t="shared" si="70"/>
        <v>21978</v>
      </c>
      <c r="K349" s="292">
        <f>'09-RESUMEN'!$F$43/1375</f>
        <v>81431.961035221175</v>
      </c>
      <c r="L349" s="122">
        <f>('ESTADO RESULTADOS'!$C$36+'ESTADO RESULTADOS'!$C$71)/1375</f>
        <v>24762.287272727273</v>
      </c>
      <c r="M349" s="122">
        <v>0</v>
      </c>
      <c r="N349" s="122">
        <f t="shared" si="76"/>
        <v>279216.24830794847</v>
      </c>
      <c r="O349" s="122">
        <f t="shared" si="77"/>
        <v>93072.082769316155</v>
      </c>
      <c r="P349" s="336">
        <f t="shared" si="71"/>
        <v>-84216.248307948466</v>
      </c>
      <c r="Q349" s="336">
        <f t="shared" si="72"/>
        <v>35398.082769316155</v>
      </c>
      <c r="R349" s="303">
        <f t="shared" si="73"/>
        <v>0.61376153499525188</v>
      </c>
    </row>
    <row r="350" spans="1:18" x14ac:dyDescent="0.3">
      <c r="A350" s="2">
        <v>629</v>
      </c>
      <c r="B350" s="41" t="s">
        <v>312</v>
      </c>
      <c r="C350" s="2">
        <v>14</v>
      </c>
      <c r="D350" s="2" t="s">
        <v>32</v>
      </c>
      <c r="E350" s="294">
        <v>33645</v>
      </c>
      <c r="F350" s="296">
        <v>43000</v>
      </c>
      <c r="G350" s="352">
        <v>10</v>
      </c>
      <c r="H350" s="296">
        <f t="shared" si="68"/>
        <v>336450</v>
      </c>
      <c r="I350" s="122">
        <f t="shared" si="69"/>
        <v>430000</v>
      </c>
      <c r="J350" s="331">
        <f t="shared" si="70"/>
        <v>93550</v>
      </c>
      <c r="K350" s="292">
        <f>'09-RESUMEN'!$F$43/1375</f>
        <v>81431.961035221175</v>
      </c>
      <c r="L350" s="122">
        <f>('ESTADO RESULTADOS'!$C$36+'ESTADO RESULTADOS'!$C$71)/1375</f>
        <v>24762.287272727273</v>
      </c>
      <c r="M350" s="122">
        <v>0</v>
      </c>
      <c r="N350" s="122">
        <f t="shared" si="76"/>
        <v>442644.24830794847</v>
      </c>
      <c r="O350" s="122">
        <f t="shared" si="77"/>
        <v>44264.424830794844</v>
      </c>
      <c r="P350" s="336">
        <f t="shared" si="71"/>
        <v>-12644.248307948466</v>
      </c>
      <c r="Q350" s="336">
        <f t="shared" si="72"/>
        <v>10619.424830794844</v>
      </c>
      <c r="R350" s="303">
        <f t="shared" si="73"/>
        <v>0.31563158956144577</v>
      </c>
    </row>
    <row r="351" spans="1:18" x14ac:dyDescent="0.3">
      <c r="A351" s="2">
        <v>630</v>
      </c>
      <c r="B351" s="41" t="s">
        <v>313</v>
      </c>
      <c r="C351" s="2">
        <v>14</v>
      </c>
      <c r="D351" s="2" t="s">
        <v>32</v>
      </c>
      <c r="E351" s="294">
        <v>7401</v>
      </c>
      <c r="F351" s="296">
        <v>8500</v>
      </c>
      <c r="G351" s="352">
        <v>6</v>
      </c>
      <c r="H351" s="296">
        <f t="shared" si="68"/>
        <v>44406</v>
      </c>
      <c r="I351" s="122">
        <f t="shared" si="69"/>
        <v>51000</v>
      </c>
      <c r="J351" s="331">
        <f t="shared" si="70"/>
        <v>6594</v>
      </c>
      <c r="K351" s="292">
        <f>'09-RESUMEN'!$F$43/1375</f>
        <v>81431.961035221175</v>
      </c>
      <c r="L351" s="122">
        <f>('ESTADO RESULTADOS'!$C$36+'ESTADO RESULTADOS'!$C$71)/1375</f>
        <v>24762.287272727273</v>
      </c>
      <c r="M351" s="122">
        <v>0</v>
      </c>
      <c r="N351" s="122">
        <f t="shared" si="76"/>
        <v>150600.24830794844</v>
      </c>
      <c r="O351" s="122">
        <f t="shared" si="77"/>
        <v>25100.041384658074</v>
      </c>
      <c r="P351" s="336">
        <f t="shared" si="71"/>
        <v>-99600.248307948437</v>
      </c>
      <c r="Q351" s="336">
        <f t="shared" si="72"/>
        <v>17699.041384658074</v>
      </c>
      <c r="R351" s="303">
        <f t="shared" si="73"/>
        <v>2.3914391818211151</v>
      </c>
    </row>
    <row r="352" spans="1:18" x14ac:dyDescent="0.3">
      <c r="A352" s="2">
        <v>631</v>
      </c>
      <c r="B352" s="41" t="s">
        <v>314</v>
      </c>
      <c r="C352" s="2">
        <v>14</v>
      </c>
      <c r="D352" s="2" t="s">
        <v>32</v>
      </c>
      <c r="E352" s="294">
        <v>142726</v>
      </c>
      <c r="F352" s="296">
        <v>190000</v>
      </c>
      <c r="G352" s="352">
        <v>3</v>
      </c>
      <c r="H352" s="296">
        <f t="shared" si="68"/>
        <v>428178</v>
      </c>
      <c r="I352" s="122">
        <f t="shared" si="69"/>
        <v>570000</v>
      </c>
      <c r="J352" s="331">
        <f t="shared" si="70"/>
        <v>141822</v>
      </c>
      <c r="K352" s="292">
        <f>'09-RESUMEN'!$F$43/1375</f>
        <v>81431.961035221175</v>
      </c>
      <c r="L352" s="122">
        <f>('ESTADO RESULTADOS'!$C$36+'ESTADO RESULTADOS'!$C$71)/1375</f>
        <v>24762.287272727273</v>
      </c>
      <c r="M352" s="122">
        <v>0</v>
      </c>
      <c r="N352" s="122">
        <f t="shared" si="76"/>
        <v>534372.24830794847</v>
      </c>
      <c r="O352" s="122">
        <f t="shared" si="77"/>
        <v>178124.08276931616</v>
      </c>
      <c r="P352" s="336">
        <f t="shared" si="71"/>
        <v>35627.751692051534</v>
      </c>
      <c r="Q352" s="336">
        <f t="shared" si="72"/>
        <v>35398.082769316155</v>
      </c>
      <c r="R352" s="303">
        <f t="shared" si="73"/>
        <v>0.24801425647265499</v>
      </c>
    </row>
    <row r="353" spans="1:18" x14ac:dyDescent="0.3">
      <c r="A353" s="2">
        <v>632</v>
      </c>
      <c r="B353" s="41" t="s">
        <v>315</v>
      </c>
      <c r="C353" s="2">
        <v>14</v>
      </c>
      <c r="D353" s="2" t="s">
        <v>32</v>
      </c>
      <c r="E353" s="294">
        <v>19284</v>
      </c>
      <c r="F353" s="296">
        <v>23000</v>
      </c>
      <c r="G353" s="352">
        <v>8</v>
      </c>
      <c r="H353" s="296">
        <f t="shared" si="68"/>
        <v>154272</v>
      </c>
      <c r="I353" s="122">
        <f t="shared" si="69"/>
        <v>184000</v>
      </c>
      <c r="J353" s="331">
        <f t="shared" si="70"/>
        <v>29728</v>
      </c>
      <c r="K353" s="292">
        <f>'09-RESUMEN'!$F$43/1375</f>
        <v>81431.961035221175</v>
      </c>
      <c r="L353" s="122">
        <f>('ESTADO RESULTADOS'!$C$36+'ESTADO RESULTADOS'!$C$71)/1375</f>
        <v>24762.287272727273</v>
      </c>
      <c r="M353" s="122">
        <v>0</v>
      </c>
      <c r="N353" s="122">
        <f t="shared" si="76"/>
        <v>260466.24830794844</v>
      </c>
      <c r="O353" s="122">
        <f t="shared" si="77"/>
        <v>32558.281038493555</v>
      </c>
      <c r="P353" s="336">
        <f t="shared" si="71"/>
        <v>-76466.248307948437</v>
      </c>
      <c r="Q353" s="336">
        <f t="shared" si="72"/>
        <v>13274.281038493555</v>
      </c>
      <c r="R353" s="303">
        <f t="shared" si="73"/>
        <v>0.68835724115813912</v>
      </c>
    </row>
    <row r="354" spans="1:18" x14ac:dyDescent="0.3">
      <c r="A354" s="2">
        <v>633</v>
      </c>
      <c r="B354" s="41" t="s">
        <v>1658</v>
      </c>
      <c r="C354" s="2">
        <v>14</v>
      </c>
      <c r="D354" s="2" t="s">
        <v>32</v>
      </c>
      <c r="E354" s="294">
        <v>14634</v>
      </c>
      <c r="F354" s="296">
        <v>16500</v>
      </c>
      <c r="G354" s="352">
        <v>0</v>
      </c>
      <c r="H354" s="296">
        <f t="shared" si="68"/>
        <v>0</v>
      </c>
      <c r="I354" s="122">
        <f t="shared" si="69"/>
        <v>0</v>
      </c>
      <c r="J354" s="331">
        <f t="shared" si="70"/>
        <v>0</v>
      </c>
      <c r="K354" s="292">
        <f>'09-RESUMEN'!$F$43/1375</f>
        <v>81431.961035221175</v>
      </c>
      <c r="L354" s="122">
        <f>('ESTADO RESULTADOS'!$C$36+'ESTADO RESULTADOS'!$C$71)/1375</f>
        <v>24762.287272727273</v>
      </c>
      <c r="M354" s="122">
        <v>0</v>
      </c>
      <c r="N354" s="122">
        <f>SUM(E354+K354+L354+M354)</f>
        <v>120828.24830794845</v>
      </c>
      <c r="O354" s="122">
        <f>N354</f>
        <v>120828.24830794845</v>
      </c>
      <c r="P354" s="336">
        <f t="shared" si="71"/>
        <v>-120828.24830794845</v>
      </c>
      <c r="Q354" s="336">
        <f t="shared" si="72"/>
        <v>106194.24830794845</v>
      </c>
      <c r="R354" s="303">
        <f t="shared" si="73"/>
        <v>7.2566795345051558</v>
      </c>
    </row>
    <row r="355" spans="1:18" x14ac:dyDescent="0.3">
      <c r="A355" s="2">
        <v>636</v>
      </c>
      <c r="B355" s="41" t="s">
        <v>316</v>
      </c>
      <c r="C355" s="2">
        <v>14</v>
      </c>
      <c r="D355" s="2" t="s">
        <v>21</v>
      </c>
      <c r="E355" s="294">
        <v>8556.5625</v>
      </c>
      <c r="F355" s="296">
        <v>9833.3333333333339</v>
      </c>
      <c r="G355" s="352">
        <v>13</v>
      </c>
      <c r="H355" s="296">
        <f t="shared" si="68"/>
        <v>111235.3125</v>
      </c>
      <c r="I355" s="122">
        <f t="shared" si="69"/>
        <v>127833.33333333334</v>
      </c>
      <c r="J355" s="331">
        <f t="shared" si="70"/>
        <v>16598.020833333343</v>
      </c>
      <c r="K355" s="292">
        <f>'09-RESUMEN'!$F$43/1375</f>
        <v>81431.961035221175</v>
      </c>
      <c r="L355" s="122">
        <f>('ESTADO RESULTADOS'!$C$36+'ESTADO RESULTADOS'!$C$71)/1375</f>
        <v>24762.287272727273</v>
      </c>
      <c r="M355" s="122">
        <v>0</v>
      </c>
      <c r="N355" s="122">
        <f t="shared" ref="N355:N380" si="78">SUM(H355+K355+L355+M355)</f>
        <v>217429.56080794844</v>
      </c>
      <c r="O355" s="122">
        <f t="shared" ref="O355:O380" si="79">N355/G355</f>
        <v>16725.350831380649</v>
      </c>
      <c r="P355" s="336">
        <f t="shared" si="71"/>
        <v>-89596.227474615094</v>
      </c>
      <c r="Q355" s="336">
        <f t="shared" si="72"/>
        <v>8168.7883313806487</v>
      </c>
      <c r="R355" s="303">
        <f t="shared" si="73"/>
        <v>0.95468108032643351</v>
      </c>
    </row>
    <row r="356" spans="1:18" x14ac:dyDescent="0.3">
      <c r="A356" s="2">
        <v>639</v>
      </c>
      <c r="B356" s="41" t="s">
        <v>317</v>
      </c>
      <c r="C356" s="2">
        <v>1</v>
      </c>
      <c r="D356" s="2" t="s">
        <v>3</v>
      </c>
      <c r="E356" s="321">
        <v>192000</v>
      </c>
      <c r="F356" s="322">
        <v>200000</v>
      </c>
      <c r="G356" s="353">
        <v>10</v>
      </c>
      <c r="H356" s="322">
        <f t="shared" si="68"/>
        <v>1920000</v>
      </c>
      <c r="I356" s="122">
        <f t="shared" si="69"/>
        <v>2000000</v>
      </c>
      <c r="J356" s="331">
        <f t="shared" si="70"/>
        <v>80000</v>
      </c>
      <c r="K356" s="292">
        <f>'09-RESUMEN'!$F$43/1375</f>
        <v>81431.961035221175</v>
      </c>
      <c r="L356" s="122">
        <f>('ESTADO RESULTADOS'!$C$36+'ESTADO RESULTADOS'!$C$71)/1375</f>
        <v>24762.287272727273</v>
      </c>
      <c r="M356" s="122">
        <v>0</v>
      </c>
      <c r="N356" s="122">
        <f t="shared" si="78"/>
        <v>2026194.2483079485</v>
      </c>
      <c r="O356" s="122">
        <f t="shared" si="79"/>
        <v>202619.42483079486</v>
      </c>
      <c r="P356" s="336">
        <f t="shared" si="71"/>
        <v>-26194.248307948466</v>
      </c>
      <c r="Q356" s="336">
        <f t="shared" si="72"/>
        <v>10619.424830794858</v>
      </c>
      <c r="R356" s="303">
        <f t="shared" si="73"/>
        <v>5.5309504327056551E-2</v>
      </c>
    </row>
    <row r="357" spans="1:18" x14ac:dyDescent="0.3">
      <c r="A357" s="2">
        <v>640</v>
      </c>
      <c r="B357" s="41" t="s">
        <v>318</v>
      </c>
      <c r="C357" s="2">
        <v>1</v>
      </c>
      <c r="D357" s="2" t="s">
        <v>3</v>
      </c>
      <c r="E357" s="321">
        <v>111000</v>
      </c>
      <c r="F357" s="322">
        <v>116583.33333333333</v>
      </c>
      <c r="G357" s="353">
        <v>38</v>
      </c>
      <c r="H357" s="322">
        <f t="shared" si="68"/>
        <v>4218000</v>
      </c>
      <c r="I357" s="122">
        <f t="shared" si="69"/>
        <v>4430166.666666666</v>
      </c>
      <c r="J357" s="331">
        <f t="shared" si="70"/>
        <v>212166.66666666605</v>
      </c>
      <c r="K357" s="292">
        <f>'09-RESUMEN'!$F$43/1375</f>
        <v>81431.961035221175</v>
      </c>
      <c r="L357" s="122">
        <f>('ESTADO RESULTADOS'!$C$36+'ESTADO RESULTADOS'!$C$71)/1375</f>
        <v>24762.287272727273</v>
      </c>
      <c r="M357" s="122">
        <v>0</v>
      </c>
      <c r="N357" s="122">
        <f t="shared" si="78"/>
        <v>4324194.248307948</v>
      </c>
      <c r="O357" s="122">
        <f t="shared" si="79"/>
        <v>113794.5854817881</v>
      </c>
      <c r="P357" s="336">
        <f t="shared" si="71"/>
        <v>105972.41835871805</v>
      </c>
      <c r="Q357" s="336">
        <f t="shared" si="72"/>
        <v>2794.5854817881045</v>
      </c>
      <c r="R357" s="303">
        <f t="shared" si="73"/>
        <v>2.5176445781874817E-2</v>
      </c>
    </row>
    <row r="358" spans="1:18" x14ac:dyDescent="0.3">
      <c r="A358" s="2">
        <v>642</v>
      </c>
      <c r="B358" s="41" t="s">
        <v>1659</v>
      </c>
      <c r="C358" s="2">
        <v>1</v>
      </c>
      <c r="D358" s="2" t="s">
        <v>3</v>
      </c>
      <c r="E358" s="321">
        <v>230000</v>
      </c>
      <c r="F358" s="322">
        <v>240500</v>
      </c>
      <c r="G358" s="353">
        <v>21</v>
      </c>
      <c r="H358" s="322">
        <f t="shared" si="68"/>
        <v>4830000</v>
      </c>
      <c r="I358" s="122">
        <f t="shared" si="69"/>
        <v>5050500</v>
      </c>
      <c r="J358" s="331">
        <f t="shared" si="70"/>
        <v>220500</v>
      </c>
      <c r="K358" s="292">
        <f>'09-RESUMEN'!$F$43/1375</f>
        <v>81431.961035221175</v>
      </c>
      <c r="L358" s="122">
        <f>('ESTADO RESULTADOS'!$C$36+'ESTADO RESULTADOS'!$C$71)/1375</f>
        <v>24762.287272727273</v>
      </c>
      <c r="M358" s="122">
        <v>0</v>
      </c>
      <c r="N358" s="122">
        <f t="shared" si="78"/>
        <v>4936194.248307948</v>
      </c>
      <c r="O358" s="122">
        <f t="shared" si="79"/>
        <v>235056.86896704516</v>
      </c>
      <c r="P358" s="336">
        <f t="shared" si="71"/>
        <v>114305.751692052</v>
      </c>
      <c r="Q358" s="336">
        <f t="shared" si="72"/>
        <v>5056.8689670451568</v>
      </c>
      <c r="R358" s="303">
        <f t="shared" si="73"/>
        <v>2.1986386813239812E-2</v>
      </c>
    </row>
    <row r="359" spans="1:18" x14ac:dyDescent="0.3">
      <c r="A359" s="2">
        <v>645</v>
      </c>
      <c r="B359" s="41" t="s">
        <v>319</v>
      </c>
      <c r="C359" s="2">
        <v>14</v>
      </c>
      <c r="D359" s="2" t="s">
        <v>12</v>
      </c>
      <c r="E359" s="294">
        <v>4702</v>
      </c>
      <c r="F359" s="296">
        <v>5750</v>
      </c>
      <c r="G359" s="352">
        <v>13</v>
      </c>
      <c r="H359" s="296">
        <f t="shared" si="68"/>
        <v>61126</v>
      </c>
      <c r="I359" s="122">
        <f t="shared" si="69"/>
        <v>74750</v>
      </c>
      <c r="J359" s="331">
        <f t="shared" si="70"/>
        <v>13624</v>
      </c>
      <c r="K359" s="292">
        <f>'09-RESUMEN'!$F$43/1375</f>
        <v>81431.961035221175</v>
      </c>
      <c r="L359" s="122">
        <f>('ESTADO RESULTADOS'!$C$36+'ESTADO RESULTADOS'!$C$71)/1375</f>
        <v>24762.287272727273</v>
      </c>
      <c r="M359" s="122">
        <v>0</v>
      </c>
      <c r="N359" s="122">
        <f t="shared" si="78"/>
        <v>167320.24830794844</v>
      </c>
      <c r="O359" s="122">
        <f t="shared" si="79"/>
        <v>12870.788331380649</v>
      </c>
      <c r="P359" s="336">
        <f t="shared" si="71"/>
        <v>-92570.248307948437</v>
      </c>
      <c r="Q359" s="336">
        <f t="shared" si="72"/>
        <v>8168.7883313806487</v>
      </c>
      <c r="R359" s="303">
        <f t="shared" si="73"/>
        <v>1.7373007935730858</v>
      </c>
    </row>
    <row r="360" spans="1:18" x14ac:dyDescent="0.3">
      <c r="A360" s="2">
        <v>646</v>
      </c>
      <c r="B360" s="41" t="s">
        <v>320</v>
      </c>
      <c r="C360" s="2">
        <v>14</v>
      </c>
      <c r="D360" s="2" t="s">
        <v>32</v>
      </c>
      <c r="E360" s="294">
        <v>5699</v>
      </c>
      <c r="F360" s="296">
        <v>7500</v>
      </c>
      <c r="G360" s="352">
        <v>4</v>
      </c>
      <c r="H360" s="296">
        <f t="shared" si="68"/>
        <v>22796</v>
      </c>
      <c r="I360" s="122">
        <f t="shared" si="69"/>
        <v>30000</v>
      </c>
      <c r="J360" s="331">
        <f t="shared" si="70"/>
        <v>7204</v>
      </c>
      <c r="K360" s="292">
        <f>'09-RESUMEN'!$F$43/1375</f>
        <v>81431.961035221175</v>
      </c>
      <c r="L360" s="122">
        <f>('ESTADO RESULTADOS'!$C$36+'ESTADO RESULTADOS'!$C$71)/1375</f>
        <v>24762.287272727273</v>
      </c>
      <c r="M360" s="122">
        <v>0</v>
      </c>
      <c r="N360" s="122">
        <f t="shared" si="78"/>
        <v>128990.24830794845</v>
      </c>
      <c r="O360" s="122">
        <f t="shared" si="79"/>
        <v>32247.562076987113</v>
      </c>
      <c r="P360" s="336">
        <f t="shared" si="71"/>
        <v>-98990.248307948452</v>
      </c>
      <c r="Q360" s="336">
        <f t="shared" si="72"/>
        <v>26548.562076987113</v>
      </c>
      <c r="R360" s="303">
        <f t="shared" si="73"/>
        <v>4.6584597432860351</v>
      </c>
    </row>
    <row r="361" spans="1:18" x14ac:dyDescent="0.3">
      <c r="A361" s="2">
        <v>648</v>
      </c>
      <c r="B361" s="41" t="s">
        <v>321</v>
      </c>
      <c r="C361" s="2">
        <v>7</v>
      </c>
      <c r="D361" s="2" t="s">
        <v>12</v>
      </c>
      <c r="E361" s="294">
        <v>2230</v>
      </c>
      <c r="F361" s="296">
        <v>3200</v>
      </c>
      <c r="G361" s="352">
        <v>4</v>
      </c>
      <c r="H361" s="296">
        <f t="shared" si="68"/>
        <v>8920</v>
      </c>
      <c r="I361" s="122">
        <f t="shared" si="69"/>
        <v>12800</v>
      </c>
      <c r="J361" s="331">
        <f t="shared" si="70"/>
        <v>3880</v>
      </c>
      <c r="K361" s="292">
        <f>'09-RESUMEN'!$F$43/1375</f>
        <v>81431.961035221175</v>
      </c>
      <c r="L361" s="122">
        <f>('ESTADO RESULTADOS'!$C$36+'ESTADO RESULTADOS'!$C$71)/1375</f>
        <v>24762.287272727273</v>
      </c>
      <c r="M361" s="122">
        <v>0</v>
      </c>
      <c r="N361" s="122">
        <f t="shared" si="78"/>
        <v>115114.24830794845</v>
      </c>
      <c r="O361" s="122">
        <f t="shared" si="79"/>
        <v>28778.562076987113</v>
      </c>
      <c r="P361" s="336">
        <f t="shared" si="71"/>
        <v>-102314.24830794845</v>
      </c>
      <c r="Q361" s="336">
        <f t="shared" si="72"/>
        <v>26548.562076987113</v>
      </c>
      <c r="R361" s="303">
        <f t="shared" si="73"/>
        <v>11.905184787886597</v>
      </c>
    </row>
    <row r="362" spans="1:18" x14ac:dyDescent="0.3">
      <c r="A362" s="2">
        <v>653</v>
      </c>
      <c r="B362" s="41" t="s">
        <v>322</v>
      </c>
      <c r="C362" s="2">
        <v>2</v>
      </c>
      <c r="D362" s="2" t="s">
        <v>5</v>
      </c>
      <c r="E362" s="294">
        <v>7648.6305000000002</v>
      </c>
      <c r="F362" s="296">
        <v>8666.6666666666661</v>
      </c>
      <c r="G362" s="352">
        <v>172</v>
      </c>
      <c r="H362" s="296">
        <f t="shared" si="68"/>
        <v>1315564.446</v>
      </c>
      <c r="I362" s="122">
        <f t="shared" si="69"/>
        <v>1490666.6666666665</v>
      </c>
      <c r="J362" s="331">
        <f t="shared" si="70"/>
        <v>175102.22066666652</v>
      </c>
      <c r="K362" s="292">
        <f>'09-RESUMEN'!$F$43/1375</f>
        <v>81431.961035221175</v>
      </c>
      <c r="L362" s="122">
        <f>('ESTADO RESULTADOS'!$C$36+'ESTADO RESULTADOS'!$C$71)/1375</f>
        <v>24762.287272727273</v>
      </c>
      <c r="M362" s="122">
        <v>0</v>
      </c>
      <c r="N362" s="122">
        <f t="shared" si="78"/>
        <v>1421758.6943079485</v>
      </c>
      <c r="O362" s="122">
        <f t="shared" si="79"/>
        <v>8266.038920395049</v>
      </c>
      <c r="P362" s="336">
        <f t="shared" si="71"/>
        <v>68907.972358718049</v>
      </c>
      <c r="Q362" s="336">
        <f t="shared" si="72"/>
        <v>617.40842039504878</v>
      </c>
      <c r="R362" s="303">
        <f t="shared" si="73"/>
        <v>8.0721433777595705E-2</v>
      </c>
    </row>
    <row r="363" spans="1:18" x14ac:dyDescent="0.3">
      <c r="A363" s="2">
        <v>654</v>
      </c>
      <c r="B363" s="41" t="s">
        <v>323</v>
      </c>
      <c r="C363" s="2">
        <v>7</v>
      </c>
      <c r="D363" s="2" t="s">
        <v>21</v>
      </c>
      <c r="E363" s="294">
        <v>3510</v>
      </c>
      <c r="F363" s="296">
        <v>3600</v>
      </c>
      <c r="G363" s="352">
        <v>31</v>
      </c>
      <c r="H363" s="296">
        <f t="shared" si="68"/>
        <v>108810</v>
      </c>
      <c r="I363" s="122">
        <f t="shared" si="69"/>
        <v>111600</v>
      </c>
      <c r="J363" s="331">
        <f t="shared" si="70"/>
        <v>2790</v>
      </c>
      <c r="K363" s="292">
        <f>'09-RESUMEN'!$F$43/1375</f>
        <v>81431.961035221175</v>
      </c>
      <c r="L363" s="122">
        <f>('ESTADO RESULTADOS'!$C$36+'ESTADO RESULTADOS'!$C$71)/1375</f>
        <v>24762.287272727273</v>
      </c>
      <c r="M363" s="122">
        <v>0</v>
      </c>
      <c r="N363" s="122">
        <f t="shared" si="78"/>
        <v>215004.24830794844</v>
      </c>
      <c r="O363" s="122">
        <f t="shared" si="79"/>
        <v>6935.620913159627</v>
      </c>
      <c r="P363" s="336">
        <f t="shared" si="71"/>
        <v>-103404.24830794844</v>
      </c>
      <c r="Q363" s="336">
        <f t="shared" si="72"/>
        <v>3425.620913159627</v>
      </c>
      <c r="R363" s="303">
        <f t="shared" si="73"/>
        <v>0.97596037411955183</v>
      </c>
    </row>
    <row r="364" spans="1:18" x14ac:dyDescent="0.3">
      <c r="A364" s="2">
        <v>655</v>
      </c>
      <c r="B364" s="41" t="s">
        <v>325</v>
      </c>
      <c r="C364" s="2">
        <v>7</v>
      </c>
      <c r="D364" s="2" t="s">
        <v>12</v>
      </c>
      <c r="E364" s="294">
        <v>600</v>
      </c>
      <c r="F364" s="296">
        <v>800</v>
      </c>
      <c r="G364" s="352">
        <v>21</v>
      </c>
      <c r="H364" s="296">
        <f t="shared" si="68"/>
        <v>12600</v>
      </c>
      <c r="I364" s="122">
        <f t="shared" si="69"/>
        <v>16800</v>
      </c>
      <c r="J364" s="331">
        <f t="shared" si="70"/>
        <v>4200</v>
      </c>
      <c r="K364" s="292">
        <f>'09-RESUMEN'!$F$43/1375</f>
        <v>81431.961035221175</v>
      </c>
      <c r="L364" s="122">
        <f>('ESTADO RESULTADOS'!$C$36+'ESTADO RESULTADOS'!$C$71)/1375</f>
        <v>24762.287272727273</v>
      </c>
      <c r="M364" s="122">
        <v>0</v>
      </c>
      <c r="N364" s="122">
        <f t="shared" si="78"/>
        <v>118794.24830794845</v>
      </c>
      <c r="O364" s="122">
        <f t="shared" si="79"/>
        <v>5656.868967045164</v>
      </c>
      <c r="P364" s="336">
        <f t="shared" si="71"/>
        <v>-101994.24830794845</v>
      </c>
      <c r="Q364" s="336">
        <f t="shared" si="72"/>
        <v>5056.868967045164</v>
      </c>
      <c r="R364" s="303">
        <f t="shared" si="73"/>
        <v>8.4281149450752739</v>
      </c>
    </row>
    <row r="365" spans="1:18" x14ac:dyDescent="0.3">
      <c r="A365" s="2">
        <v>657</v>
      </c>
      <c r="B365" s="41" t="s">
        <v>326</v>
      </c>
      <c r="C365" s="2">
        <v>7</v>
      </c>
      <c r="D365" s="2" t="s">
        <v>12</v>
      </c>
      <c r="E365" s="294">
        <v>2500</v>
      </c>
      <c r="F365" s="296">
        <v>3200</v>
      </c>
      <c r="G365" s="352">
        <v>9</v>
      </c>
      <c r="H365" s="296">
        <f t="shared" si="68"/>
        <v>22500</v>
      </c>
      <c r="I365" s="122">
        <f t="shared" si="69"/>
        <v>28800</v>
      </c>
      <c r="J365" s="331">
        <f t="shared" si="70"/>
        <v>6300</v>
      </c>
      <c r="K365" s="292">
        <f>'09-RESUMEN'!$F$43/1375</f>
        <v>81431.961035221175</v>
      </c>
      <c r="L365" s="122">
        <f>('ESTADO RESULTADOS'!$C$36+'ESTADO RESULTADOS'!$C$71)/1375</f>
        <v>24762.287272727273</v>
      </c>
      <c r="M365" s="122">
        <v>0</v>
      </c>
      <c r="N365" s="122">
        <f t="shared" si="78"/>
        <v>128694.24830794845</v>
      </c>
      <c r="O365" s="122">
        <f t="shared" si="79"/>
        <v>14299.360923105383</v>
      </c>
      <c r="P365" s="336">
        <f t="shared" si="71"/>
        <v>-99894.248307948452</v>
      </c>
      <c r="Q365" s="336">
        <f t="shared" si="72"/>
        <v>11799.360923105383</v>
      </c>
      <c r="R365" s="303">
        <f t="shared" si="73"/>
        <v>4.7197443692421537</v>
      </c>
    </row>
    <row r="366" spans="1:18" x14ac:dyDescent="0.3">
      <c r="A366" s="2">
        <v>659</v>
      </c>
      <c r="B366" s="41" t="s">
        <v>1660</v>
      </c>
      <c r="C366" s="2">
        <v>7</v>
      </c>
      <c r="D366" s="2" t="s">
        <v>21</v>
      </c>
      <c r="E366" s="294">
        <v>1360</v>
      </c>
      <c r="F366" s="296">
        <v>2733.3333333333335</v>
      </c>
      <c r="G366" s="352">
        <v>20</v>
      </c>
      <c r="H366" s="296">
        <f t="shared" si="68"/>
        <v>27200</v>
      </c>
      <c r="I366" s="122">
        <f t="shared" si="69"/>
        <v>54666.666666666672</v>
      </c>
      <c r="J366" s="331">
        <f t="shared" si="70"/>
        <v>27466.666666666672</v>
      </c>
      <c r="K366" s="292">
        <f>'09-RESUMEN'!$F$43/1375</f>
        <v>81431.961035221175</v>
      </c>
      <c r="L366" s="122">
        <f>('ESTADO RESULTADOS'!$C$36+'ESTADO RESULTADOS'!$C$71)/1375</f>
        <v>24762.287272727273</v>
      </c>
      <c r="M366" s="122">
        <v>0</v>
      </c>
      <c r="N366" s="122">
        <f t="shared" si="78"/>
        <v>133394.24830794844</v>
      </c>
      <c r="O366" s="122">
        <f t="shared" si="79"/>
        <v>6669.7124153974219</v>
      </c>
      <c r="P366" s="336">
        <f t="shared" si="71"/>
        <v>-78727.581641281766</v>
      </c>
      <c r="Q366" s="336">
        <f t="shared" si="72"/>
        <v>5309.7124153974219</v>
      </c>
      <c r="R366" s="303">
        <f t="shared" si="73"/>
        <v>3.9042003054392809</v>
      </c>
    </row>
    <row r="367" spans="1:18" x14ac:dyDescent="0.3">
      <c r="A367" s="2">
        <v>661</v>
      </c>
      <c r="B367" s="41" t="s">
        <v>327</v>
      </c>
      <c r="C367" s="2">
        <v>7</v>
      </c>
      <c r="D367" s="2" t="s">
        <v>12</v>
      </c>
      <c r="E367" s="294">
        <v>2230</v>
      </c>
      <c r="F367" s="296">
        <v>2866.6666666666665</v>
      </c>
      <c r="G367" s="352">
        <v>37</v>
      </c>
      <c r="H367" s="296">
        <f t="shared" si="68"/>
        <v>82510</v>
      </c>
      <c r="I367" s="122">
        <f t="shared" si="69"/>
        <v>106066.66666666666</v>
      </c>
      <c r="J367" s="331">
        <f t="shared" si="70"/>
        <v>23556.666666666657</v>
      </c>
      <c r="K367" s="292">
        <f>'09-RESUMEN'!$F$43/1375</f>
        <v>81431.961035221175</v>
      </c>
      <c r="L367" s="122">
        <f>('ESTADO RESULTADOS'!$C$36+'ESTADO RESULTADOS'!$C$71)/1375</f>
        <v>24762.287272727273</v>
      </c>
      <c r="M367" s="122">
        <v>0</v>
      </c>
      <c r="N367" s="122">
        <f t="shared" si="78"/>
        <v>188704.24830794844</v>
      </c>
      <c r="O367" s="122">
        <f t="shared" si="79"/>
        <v>5100.1148191337415</v>
      </c>
      <c r="P367" s="336">
        <f t="shared" si="71"/>
        <v>-82637.58164128178</v>
      </c>
      <c r="Q367" s="336">
        <f t="shared" si="72"/>
        <v>2870.1148191337415</v>
      </c>
      <c r="R367" s="303">
        <f t="shared" si="73"/>
        <v>1.2870470040958482</v>
      </c>
    </row>
    <row r="368" spans="1:18" x14ac:dyDescent="0.3">
      <c r="A368" s="2">
        <v>663</v>
      </c>
      <c r="B368" s="41" t="s">
        <v>1661</v>
      </c>
      <c r="C368" s="2">
        <v>7</v>
      </c>
      <c r="D368" s="2" t="s">
        <v>35</v>
      </c>
      <c r="E368" s="294">
        <v>15300</v>
      </c>
      <c r="F368" s="296">
        <v>18000</v>
      </c>
      <c r="G368" s="352">
        <v>2</v>
      </c>
      <c r="H368" s="296">
        <f t="shared" si="68"/>
        <v>30600</v>
      </c>
      <c r="I368" s="122">
        <f t="shared" si="69"/>
        <v>36000</v>
      </c>
      <c r="J368" s="331">
        <f t="shared" si="70"/>
        <v>5400</v>
      </c>
      <c r="K368" s="292">
        <f>'09-RESUMEN'!$F$43/1375</f>
        <v>81431.961035221175</v>
      </c>
      <c r="L368" s="122">
        <f>('ESTADO RESULTADOS'!$C$36+'ESTADO RESULTADOS'!$C$71)/1375</f>
        <v>24762.287272727273</v>
      </c>
      <c r="M368" s="122">
        <v>0</v>
      </c>
      <c r="N368" s="122">
        <f t="shared" si="78"/>
        <v>136794.24830794844</v>
      </c>
      <c r="O368" s="122">
        <f t="shared" si="79"/>
        <v>68397.124153974219</v>
      </c>
      <c r="P368" s="336">
        <f t="shared" si="71"/>
        <v>-100794.24830794844</v>
      </c>
      <c r="Q368" s="336">
        <f t="shared" si="72"/>
        <v>53097.124153974219</v>
      </c>
      <c r="R368" s="303">
        <f t="shared" si="73"/>
        <v>3.4704002715015827</v>
      </c>
    </row>
    <row r="369" spans="1:18" x14ac:dyDescent="0.3">
      <c r="A369" s="2">
        <v>664</v>
      </c>
      <c r="B369" s="41" t="s">
        <v>329</v>
      </c>
      <c r="C369" s="2">
        <v>7</v>
      </c>
      <c r="D369" s="2" t="s">
        <v>324</v>
      </c>
      <c r="E369" s="294">
        <v>2200</v>
      </c>
      <c r="F369" s="296">
        <v>3066.6666666666665</v>
      </c>
      <c r="G369" s="352">
        <v>30</v>
      </c>
      <c r="H369" s="296">
        <f t="shared" si="68"/>
        <v>66000</v>
      </c>
      <c r="I369" s="122">
        <f t="shared" si="69"/>
        <v>92000</v>
      </c>
      <c r="J369" s="331">
        <f t="shared" si="70"/>
        <v>26000</v>
      </c>
      <c r="K369" s="292">
        <f>'09-RESUMEN'!$F$43/1375</f>
        <v>81431.961035221175</v>
      </c>
      <c r="L369" s="122">
        <f>('ESTADO RESULTADOS'!$C$36+'ESTADO RESULTADOS'!$C$71)/1375</f>
        <v>24762.287272727273</v>
      </c>
      <c r="M369" s="122">
        <v>0</v>
      </c>
      <c r="N369" s="122">
        <f t="shared" si="78"/>
        <v>172194.24830794844</v>
      </c>
      <c r="O369" s="122">
        <f t="shared" si="79"/>
        <v>5739.8082769316143</v>
      </c>
      <c r="P369" s="336">
        <f t="shared" si="71"/>
        <v>-80194.248307948437</v>
      </c>
      <c r="Q369" s="336">
        <f t="shared" si="72"/>
        <v>3539.8082769316143</v>
      </c>
      <c r="R369" s="303">
        <f t="shared" si="73"/>
        <v>1.6090037622416429</v>
      </c>
    </row>
    <row r="370" spans="1:18" x14ac:dyDescent="0.3">
      <c r="A370" s="2">
        <v>665</v>
      </c>
      <c r="B370" s="41" t="s">
        <v>330</v>
      </c>
      <c r="C370" s="2">
        <v>7</v>
      </c>
      <c r="D370" s="2" t="s">
        <v>5</v>
      </c>
      <c r="E370" s="294">
        <v>15000</v>
      </c>
      <c r="F370" s="296">
        <v>27900</v>
      </c>
      <c r="G370" s="352">
        <v>27</v>
      </c>
      <c r="H370" s="296">
        <f t="shared" si="68"/>
        <v>405000</v>
      </c>
      <c r="I370" s="122">
        <f t="shared" si="69"/>
        <v>753300</v>
      </c>
      <c r="J370" s="331">
        <f t="shared" si="70"/>
        <v>348300</v>
      </c>
      <c r="K370" s="292">
        <f>'09-RESUMEN'!$F$43/1375</f>
        <v>81431.961035221175</v>
      </c>
      <c r="L370" s="122">
        <f>('ESTADO RESULTADOS'!$C$36+'ESTADO RESULTADOS'!$C$71)/1375</f>
        <v>24762.287272727273</v>
      </c>
      <c r="M370" s="122">
        <v>0</v>
      </c>
      <c r="N370" s="122">
        <f t="shared" si="78"/>
        <v>511194.24830794847</v>
      </c>
      <c r="O370" s="122">
        <f t="shared" si="79"/>
        <v>18933.120307701796</v>
      </c>
      <c r="P370" s="336">
        <f t="shared" si="71"/>
        <v>242105.75169205153</v>
      </c>
      <c r="Q370" s="336">
        <f t="shared" si="72"/>
        <v>3933.1203077017963</v>
      </c>
      <c r="R370" s="303">
        <f t="shared" si="73"/>
        <v>0.2622080205134531</v>
      </c>
    </row>
    <row r="371" spans="1:18" x14ac:dyDescent="0.3">
      <c r="A371" s="2">
        <v>700</v>
      </c>
      <c r="B371" s="41" t="s">
        <v>331</v>
      </c>
      <c r="C371" s="2">
        <v>9</v>
      </c>
      <c r="D371" s="2" t="s">
        <v>12</v>
      </c>
      <c r="E371" s="294">
        <v>9758</v>
      </c>
      <c r="F371" s="296">
        <v>14000</v>
      </c>
      <c r="G371" s="352">
        <v>35</v>
      </c>
      <c r="H371" s="296">
        <f t="shared" si="68"/>
        <v>341530</v>
      </c>
      <c r="I371" s="122">
        <f t="shared" si="69"/>
        <v>490000</v>
      </c>
      <c r="J371" s="331">
        <f t="shared" si="70"/>
        <v>148470</v>
      </c>
      <c r="K371" s="292">
        <f>'09-RESUMEN'!$F$43/1375</f>
        <v>81431.961035221175</v>
      </c>
      <c r="L371" s="122">
        <f>('ESTADO RESULTADOS'!$C$36+'ESTADO RESULTADOS'!$C$71)/1375</f>
        <v>24762.287272727273</v>
      </c>
      <c r="M371" s="122">
        <v>0</v>
      </c>
      <c r="N371" s="122">
        <f t="shared" si="78"/>
        <v>447724.24830794847</v>
      </c>
      <c r="O371" s="122">
        <f t="shared" si="79"/>
        <v>12792.1213802271</v>
      </c>
      <c r="P371" s="336">
        <f t="shared" si="71"/>
        <v>42275.751692051534</v>
      </c>
      <c r="Q371" s="336">
        <f t="shared" si="72"/>
        <v>3034.1213802270995</v>
      </c>
      <c r="R371" s="303">
        <f t="shared" si="73"/>
        <v>0.31093680879556257</v>
      </c>
    </row>
    <row r="372" spans="1:18" x14ac:dyDescent="0.3">
      <c r="A372" s="2">
        <v>701</v>
      </c>
      <c r="B372" s="41" t="s">
        <v>1662</v>
      </c>
      <c r="C372" s="2">
        <v>9</v>
      </c>
      <c r="D372" s="2" t="s">
        <v>12</v>
      </c>
      <c r="E372" s="294">
        <v>2915.5</v>
      </c>
      <c r="F372" s="296">
        <v>3466.6666666666665</v>
      </c>
      <c r="G372" s="352">
        <v>46</v>
      </c>
      <c r="H372" s="296">
        <f t="shared" si="68"/>
        <v>134113</v>
      </c>
      <c r="I372" s="122">
        <f t="shared" si="69"/>
        <v>159466.66666666666</v>
      </c>
      <c r="J372" s="331">
        <f t="shared" si="70"/>
        <v>25353.666666666657</v>
      </c>
      <c r="K372" s="292">
        <f>'09-RESUMEN'!$F$43/1375</f>
        <v>81431.961035221175</v>
      </c>
      <c r="L372" s="122">
        <f>('ESTADO RESULTADOS'!$C$36+'ESTADO RESULTADOS'!$C$71)/1375</f>
        <v>24762.287272727273</v>
      </c>
      <c r="M372" s="122">
        <v>0</v>
      </c>
      <c r="N372" s="122">
        <f t="shared" si="78"/>
        <v>240307.24830794844</v>
      </c>
      <c r="O372" s="122">
        <f t="shared" si="79"/>
        <v>5224.0706153901838</v>
      </c>
      <c r="P372" s="336">
        <f t="shared" si="71"/>
        <v>-80840.58164128178</v>
      </c>
      <c r="Q372" s="336">
        <f t="shared" si="72"/>
        <v>2308.5706153901838</v>
      </c>
      <c r="R372" s="303">
        <f t="shared" si="73"/>
        <v>0.79182665593901003</v>
      </c>
    </row>
    <row r="373" spans="1:18" x14ac:dyDescent="0.3">
      <c r="A373" s="163">
        <v>702</v>
      </c>
      <c r="B373" s="329" t="s">
        <v>332</v>
      </c>
      <c r="C373" s="163">
        <v>2</v>
      </c>
      <c r="D373" s="163" t="s">
        <v>328</v>
      </c>
      <c r="E373" s="297">
        <v>2353.8000000000002</v>
      </c>
      <c r="F373" s="299">
        <v>2700</v>
      </c>
      <c r="G373" s="354">
        <v>801</v>
      </c>
      <c r="H373" s="296">
        <f t="shared" si="68"/>
        <v>1885393.8</v>
      </c>
      <c r="I373" s="122">
        <f t="shared" si="69"/>
        <v>2162700</v>
      </c>
      <c r="J373" s="331">
        <f t="shared" si="70"/>
        <v>277306.19999999995</v>
      </c>
      <c r="K373" s="293">
        <f>'09-RESUMEN'!$F$43/1375+('09-RESUMEN'!$F$42/17)</f>
        <v>283519.42464527232</v>
      </c>
      <c r="L373" s="256">
        <f>('ESTADO RESULTADOS'!$C$36+'ESTADO RESULTADOS'!$C$71)/1375</f>
        <v>24762.287272727273</v>
      </c>
      <c r="M373" s="256">
        <f>'ESTADO RESULTADOS'!$C$37/17</f>
        <v>106174.11764705883</v>
      </c>
      <c r="N373" s="122">
        <f t="shared" si="78"/>
        <v>2299849.6295650583</v>
      </c>
      <c r="O373" s="122">
        <f t="shared" si="79"/>
        <v>2871.2230081960779</v>
      </c>
      <c r="P373" s="336">
        <f t="shared" si="71"/>
        <v>-137149.62956505828</v>
      </c>
      <c r="Q373" s="336">
        <f t="shared" si="72"/>
        <v>517.42300819607772</v>
      </c>
      <c r="R373" s="303">
        <f t="shared" si="73"/>
        <v>0.21982454252531128</v>
      </c>
    </row>
    <row r="374" spans="1:18" x14ac:dyDescent="0.3">
      <c r="A374" s="163">
        <v>704</v>
      </c>
      <c r="B374" s="329" t="s">
        <v>333</v>
      </c>
      <c r="C374" s="163">
        <v>2</v>
      </c>
      <c r="D374" s="163" t="s">
        <v>12</v>
      </c>
      <c r="E374" s="297">
        <v>1949</v>
      </c>
      <c r="F374" s="299">
        <v>2400</v>
      </c>
      <c r="G374" s="354">
        <v>529</v>
      </c>
      <c r="H374" s="296">
        <f t="shared" si="68"/>
        <v>1031021</v>
      </c>
      <c r="I374" s="122">
        <f t="shared" si="69"/>
        <v>1269600</v>
      </c>
      <c r="J374" s="331">
        <f t="shared" si="70"/>
        <v>238579</v>
      </c>
      <c r="K374" s="293">
        <f>'09-RESUMEN'!$F$43/1375+('09-RESUMEN'!$F$42/17)</f>
        <v>283519.42464527232</v>
      </c>
      <c r="L374" s="256">
        <f>('ESTADO RESULTADOS'!$C$36+'ESTADO RESULTADOS'!$C$71)/1375</f>
        <v>24762.287272727273</v>
      </c>
      <c r="M374" s="256">
        <f>'ESTADO RESULTADOS'!$C$37/17</f>
        <v>106174.11764705883</v>
      </c>
      <c r="N374" s="122">
        <f t="shared" si="78"/>
        <v>1445476.8295650585</v>
      </c>
      <c r="O374" s="122">
        <f t="shared" si="79"/>
        <v>2732.4703772496377</v>
      </c>
      <c r="P374" s="336">
        <f t="shared" si="71"/>
        <v>-175876.82956505846</v>
      </c>
      <c r="Q374" s="336">
        <f t="shared" si="72"/>
        <v>783.47037724963775</v>
      </c>
      <c r="R374" s="303">
        <f t="shared" si="73"/>
        <v>0.40198582721890086</v>
      </c>
    </row>
    <row r="375" spans="1:18" x14ac:dyDescent="0.3">
      <c r="A375" s="2">
        <v>705</v>
      </c>
      <c r="B375" s="41" t="s">
        <v>334</v>
      </c>
      <c r="C375" s="2">
        <v>14</v>
      </c>
      <c r="D375" s="2" t="s">
        <v>3</v>
      </c>
      <c r="E375" s="294">
        <v>23038.857100000001</v>
      </c>
      <c r="F375" s="296">
        <v>27600</v>
      </c>
      <c r="G375" s="352">
        <v>6</v>
      </c>
      <c r="H375" s="296">
        <f t="shared" si="68"/>
        <v>138233.14260000002</v>
      </c>
      <c r="I375" s="122">
        <f t="shared" si="69"/>
        <v>165600</v>
      </c>
      <c r="J375" s="331">
        <f t="shared" si="70"/>
        <v>27366.857399999979</v>
      </c>
      <c r="K375" s="292">
        <f>'09-RESUMEN'!$F$43/1375</f>
        <v>81431.961035221175</v>
      </c>
      <c r="L375" s="122">
        <f>('ESTADO RESULTADOS'!$C$36+'ESTADO RESULTADOS'!$C$71)/1375</f>
        <v>24762.287272727273</v>
      </c>
      <c r="M375" s="122">
        <v>0</v>
      </c>
      <c r="N375" s="122">
        <f t="shared" si="78"/>
        <v>244427.39090794846</v>
      </c>
      <c r="O375" s="122">
        <f t="shared" si="79"/>
        <v>40737.898484658079</v>
      </c>
      <c r="P375" s="336">
        <f t="shared" si="71"/>
        <v>-78827.390907948458</v>
      </c>
      <c r="Q375" s="336">
        <f t="shared" si="72"/>
        <v>17699.041384658078</v>
      </c>
      <c r="R375" s="303">
        <f t="shared" si="73"/>
        <v>0.76822566795894043</v>
      </c>
    </row>
    <row r="376" spans="1:18" x14ac:dyDescent="0.3">
      <c r="A376" s="2">
        <v>709</v>
      </c>
      <c r="B376" s="41" t="s">
        <v>335</v>
      </c>
      <c r="C376" s="2">
        <v>8</v>
      </c>
      <c r="D376" s="2" t="s">
        <v>16</v>
      </c>
      <c r="E376" s="294">
        <v>31969</v>
      </c>
      <c r="F376" s="296">
        <v>36200</v>
      </c>
      <c r="G376" s="352">
        <v>8</v>
      </c>
      <c r="H376" s="296">
        <f t="shared" si="68"/>
        <v>255752</v>
      </c>
      <c r="I376" s="122">
        <f t="shared" si="69"/>
        <v>289600</v>
      </c>
      <c r="J376" s="331">
        <f t="shared" si="70"/>
        <v>33848</v>
      </c>
      <c r="K376" s="292">
        <f>'09-RESUMEN'!$F$43/1375</f>
        <v>81431.961035221175</v>
      </c>
      <c r="L376" s="122">
        <f>('ESTADO RESULTADOS'!$C$36+'ESTADO RESULTADOS'!$C$71)/1375</f>
        <v>24762.287272727273</v>
      </c>
      <c r="M376" s="122">
        <v>0</v>
      </c>
      <c r="N376" s="122">
        <f t="shared" si="78"/>
        <v>361946.24830794847</v>
      </c>
      <c r="O376" s="122">
        <f t="shared" si="79"/>
        <v>45243.281038493558</v>
      </c>
      <c r="P376" s="336">
        <f t="shared" si="71"/>
        <v>-72346.248307948466</v>
      </c>
      <c r="Q376" s="336">
        <f t="shared" si="72"/>
        <v>13274.281038493558</v>
      </c>
      <c r="R376" s="303">
        <f t="shared" si="73"/>
        <v>0.4152235302478513</v>
      </c>
    </row>
    <row r="377" spans="1:18" x14ac:dyDescent="0.3">
      <c r="A377" s="2">
        <v>710</v>
      </c>
      <c r="B377" s="41" t="s">
        <v>336</v>
      </c>
      <c r="C377" s="2">
        <v>4</v>
      </c>
      <c r="D377" s="2" t="s">
        <v>21</v>
      </c>
      <c r="E377" s="294">
        <v>18718.5</v>
      </c>
      <c r="F377" s="296">
        <v>21000</v>
      </c>
      <c r="G377" s="352">
        <v>4</v>
      </c>
      <c r="H377" s="296">
        <f t="shared" si="68"/>
        <v>74874</v>
      </c>
      <c r="I377" s="122">
        <f t="shared" si="69"/>
        <v>84000</v>
      </c>
      <c r="J377" s="331">
        <f t="shared" si="70"/>
        <v>9126</v>
      </c>
      <c r="K377" s="292">
        <f>'09-RESUMEN'!$F$43/1375</f>
        <v>81431.961035221175</v>
      </c>
      <c r="L377" s="122">
        <f>('ESTADO RESULTADOS'!$C$36+'ESTADO RESULTADOS'!$C$71)/1375</f>
        <v>24762.287272727273</v>
      </c>
      <c r="M377" s="122">
        <v>0</v>
      </c>
      <c r="N377" s="122">
        <f t="shared" si="78"/>
        <v>181068.24830794844</v>
      </c>
      <c r="O377" s="122">
        <f t="shared" si="79"/>
        <v>45267.062076987109</v>
      </c>
      <c r="P377" s="336">
        <f t="shared" si="71"/>
        <v>-97068.248307948437</v>
      </c>
      <c r="Q377" s="336">
        <f t="shared" si="72"/>
        <v>26548.562076987109</v>
      </c>
      <c r="R377" s="303">
        <f t="shared" si="73"/>
        <v>1.4183060649617816</v>
      </c>
    </row>
    <row r="378" spans="1:18" x14ac:dyDescent="0.3">
      <c r="A378" s="2">
        <v>711</v>
      </c>
      <c r="B378" s="41" t="s">
        <v>1663</v>
      </c>
      <c r="C378" s="2">
        <v>2</v>
      </c>
      <c r="D378" s="2" t="s">
        <v>5</v>
      </c>
      <c r="E378" s="294">
        <v>73100</v>
      </c>
      <c r="F378" s="296">
        <v>79383.333333333328</v>
      </c>
      <c r="G378" s="352">
        <v>17</v>
      </c>
      <c r="H378" s="296">
        <f t="shared" si="68"/>
        <v>1242700</v>
      </c>
      <c r="I378" s="122">
        <f t="shared" si="69"/>
        <v>1349516.6666666665</v>
      </c>
      <c r="J378" s="331">
        <f t="shared" si="70"/>
        <v>106816.66666666651</v>
      </c>
      <c r="K378" s="292">
        <f>'09-RESUMEN'!$F$43/1375</f>
        <v>81431.961035221175</v>
      </c>
      <c r="L378" s="122">
        <f>('ESTADO RESULTADOS'!$C$36+'ESTADO RESULTADOS'!$C$71)/1375</f>
        <v>24762.287272727273</v>
      </c>
      <c r="M378" s="122">
        <v>0</v>
      </c>
      <c r="N378" s="122">
        <f t="shared" si="78"/>
        <v>1348894.2483079485</v>
      </c>
      <c r="O378" s="122">
        <f t="shared" si="79"/>
        <v>79346.720488702849</v>
      </c>
      <c r="P378" s="336">
        <f t="shared" si="71"/>
        <v>622.41835871804506</v>
      </c>
      <c r="Q378" s="336">
        <f t="shared" si="72"/>
        <v>6246.7204887028493</v>
      </c>
      <c r="R378" s="303">
        <f t="shared" si="73"/>
        <v>8.5454452649833784E-2</v>
      </c>
    </row>
    <row r="379" spans="1:18" x14ac:dyDescent="0.3">
      <c r="A379" s="2">
        <v>712</v>
      </c>
      <c r="B379" s="41" t="s">
        <v>337</v>
      </c>
      <c r="C379" s="2">
        <v>2</v>
      </c>
      <c r="D379" s="2" t="s">
        <v>324</v>
      </c>
      <c r="E379" s="294">
        <v>121700</v>
      </c>
      <c r="F379" s="296">
        <v>130466.66666666667</v>
      </c>
      <c r="G379" s="352">
        <v>8</v>
      </c>
      <c r="H379" s="296">
        <f t="shared" si="68"/>
        <v>973600</v>
      </c>
      <c r="I379" s="122">
        <f t="shared" si="69"/>
        <v>1043733.3333333334</v>
      </c>
      <c r="J379" s="331">
        <f t="shared" si="70"/>
        <v>70133.333333333372</v>
      </c>
      <c r="K379" s="292">
        <f>'09-RESUMEN'!$F$43/1375</f>
        <v>81431.961035221175</v>
      </c>
      <c r="L379" s="122">
        <f>('ESTADO RESULTADOS'!$C$36+'ESTADO RESULTADOS'!$C$71)/1375</f>
        <v>24762.287272727273</v>
      </c>
      <c r="M379" s="122">
        <v>0</v>
      </c>
      <c r="N379" s="122">
        <f t="shared" si="78"/>
        <v>1079794.2483079485</v>
      </c>
      <c r="O379" s="122">
        <f t="shared" si="79"/>
        <v>134974.28103849356</v>
      </c>
      <c r="P379" s="336">
        <f t="shared" si="71"/>
        <v>-36060.914974615094</v>
      </c>
      <c r="Q379" s="336">
        <f t="shared" si="72"/>
        <v>13274.281038493558</v>
      </c>
      <c r="R379" s="303">
        <f t="shared" si="73"/>
        <v>0.10907379653651239</v>
      </c>
    </row>
    <row r="380" spans="1:18" x14ac:dyDescent="0.3">
      <c r="A380" s="163">
        <v>715</v>
      </c>
      <c r="B380" s="329" t="s">
        <v>339</v>
      </c>
      <c r="C380" s="163">
        <v>2</v>
      </c>
      <c r="D380" s="163" t="s">
        <v>12</v>
      </c>
      <c r="E380" s="297">
        <v>4187</v>
      </c>
      <c r="F380" s="299">
        <v>4800</v>
      </c>
      <c r="G380" s="354">
        <v>373</v>
      </c>
      <c r="H380" s="299">
        <f t="shared" si="68"/>
        <v>1561751</v>
      </c>
      <c r="I380" s="122">
        <f t="shared" si="69"/>
        <v>1790400</v>
      </c>
      <c r="J380" s="331">
        <f t="shared" si="70"/>
        <v>228649</v>
      </c>
      <c r="K380" s="293">
        <f>'09-RESUMEN'!$F$43/1375+('09-RESUMEN'!$F$42/17)</f>
        <v>283519.42464527232</v>
      </c>
      <c r="L380" s="256">
        <f>('ESTADO RESULTADOS'!$C$36+'ESTADO RESULTADOS'!$C$71)/1375</f>
        <v>24762.287272727273</v>
      </c>
      <c r="M380" s="122">
        <v>0</v>
      </c>
      <c r="N380" s="122">
        <f t="shared" si="78"/>
        <v>1870032.7119179997</v>
      </c>
      <c r="O380" s="122">
        <f t="shared" si="79"/>
        <v>5013.4925252493285</v>
      </c>
      <c r="P380" s="336">
        <f t="shared" si="71"/>
        <v>-79632.711917999666</v>
      </c>
      <c r="Q380" s="336">
        <f t="shared" si="72"/>
        <v>826.49252524932854</v>
      </c>
      <c r="R380" s="303">
        <f t="shared" si="73"/>
        <v>0.19739491885582244</v>
      </c>
    </row>
    <row r="381" spans="1:18" x14ac:dyDescent="0.3">
      <c r="A381" s="2">
        <v>716</v>
      </c>
      <c r="B381" s="41" t="s">
        <v>1664</v>
      </c>
      <c r="C381" s="2">
        <v>2</v>
      </c>
      <c r="D381" s="2" t="s">
        <v>243</v>
      </c>
      <c r="E381" s="294">
        <v>52327.8</v>
      </c>
      <c r="F381" s="296">
        <v>60783.333333333336</v>
      </c>
      <c r="G381" s="352">
        <v>0</v>
      </c>
      <c r="H381" s="296">
        <f t="shared" si="68"/>
        <v>0</v>
      </c>
      <c r="I381" s="122">
        <f t="shared" si="69"/>
        <v>0</v>
      </c>
      <c r="J381" s="331">
        <f t="shared" si="70"/>
        <v>0</v>
      </c>
      <c r="K381" s="292">
        <f>'09-RESUMEN'!$F$43/1375</f>
        <v>81431.961035221175</v>
      </c>
      <c r="L381" s="122">
        <f>('ESTADO RESULTADOS'!$C$36+'ESTADO RESULTADOS'!$C$71)/1375</f>
        <v>24762.287272727273</v>
      </c>
      <c r="M381" s="122">
        <v>0</v>
      </c>
      <c r="N381" s="122">
        <f>SUM(E381+K381+L381+M381)</f>
        <v>158522.04830794843</v>
      </c>
      <c r="O381" s="122">
        <f>N381</f>
        <v>158522.04830794843</v>
      </c>
      <c r="P381" s="336">
        <f t="shared" si="71"/>
        <v>-158522.04830794843</v>
      </c>
      <c r="Q381" s="336">
        <f t="shared" si="72"/>
        <v>106194.24830794842</v>
      </c>
      <c r="R381" s="303">
        <f t="shared" si="73"/>
        <v>2.0294040320431668</v>
      </c>
    </row>
    <row r="382" spans="1:18" x14ac:dyDescent="0.3">
      <c r="A382" s="2">
        <v>718</v>
      </c>
      <c r="B382" s="41" t="s">
        <v>340</v>
      </c>
      <c r="C382" s="2">
        <v>8</v>
      </c>
      <c r="D382" s="2" t="s">
        <v>16</v>
      </c>
      <c r="E382" s="294">
        <v>24700</v>
      </c>
      <c r="F382" s="296">
        <v>28600</v>
      </c>
      <c r="G382" s="352">
        <v>12</v>
      </c>
      <c r="H382" s="296">
        <f t="shared" si="68"/>
        <v>296400</v>
      </c>
      <c r="I382" s="122">
        <f t="shared" si="69"/>
        <v>343200</v>
      </c>
      <c r="J382" s="331">
        <f t="shared" si="70"/>
        <v>46800</v>
      </c>
      <c r="K382" s="292">
        <f>'09-RESUMEN'!$F$43/1375</f>
        <v>81431.961035221175</v>
      </c>
      <c r="L382" s="122">
        <f>('ESTADO RESULTADOS'!$C$36+'ESTADO RESULTADOS'!$C$71)/1375</f>
        <v>24762.287272727273</v>
      </c>
      <c r="M382" s="122">
        <v>0</v>
      </c>
      <c r="N382" s="122">
        <f t="shared" ref="N382:N423" si="80">SUM(H382+K382+L382+M382)</f>
        <v>402594.24830794847</v>
      </c>
      <c r="O382" s="122">
        <f t="shared" ref="O382:O423" si="81">N382/G382</f>
        <v>33549.520692329039</v>
      </c>
      <c r="P382" s="336">
        <f t="shared" si="71"/>
        <v>-59394.248307948466</v>
      </c>
      <c r="Q382" s="336">
        <f t="shared" si="72"/>
        <v>8849.5206923290389</v>
      </c>
      <c r="R382" s="303">
        <f t="shared" si="73"/>
        <v>0.35828018997283556</v>
      </c>
    </row>
    <row r="383" spans="1:18" x14ac:dyDescent="0.3">
      <c r="A383" s="2">
        <v>726</v>
      </c>
      <c r="B383" s="41" t="s">
        <v>341</v>
      </c>
      <c r="C383" s="2">
        <v>1</v>
      </c>
      <c r="D383" s="2" t="s">
        <v>5</v>
      </c>
      <c r="E383" s="321">
        <v>13000</v>
      </c>
      <c r="F383" s="322">
        <v>15383</v>
      </c>
      <c r="G383" s="353">
        <v>268</v>
      </c>
      <c r="H383" s="322">
        <f t="shared" si="68"/>
        <v>3484000</v>
      </c>
      <c r="I383" s="122">
        <f t="shared" si="69"/>
        <v>4122644</v>
      </c>
      <c r="J383" s="331">
        <f t="shared" si="70"/>
        <v>638644</v>
      </c>
      <c r="K383" s="292">
        <f>'09-RESUMEN'!$F$43/1375</f>
        <v>81431.961035221175</v>
      </c>
      <c r="L383" s="122">
        <f>('ESTADO RESULTADOS'!$C$36+'ESTADO RESULTADOS'!$C$71)/1375</f>
        <v>24762.287272727273</v>
      </c>
      <c r="M383" s="122">
        <v>0</v>
      </c>
      <c r="N383" s="122">
        <f t="shared" si="80"/>
        <v>3590194.2483079485</v>
      </c>
      <c r="O383" s="122">
        <f t="shared" si="81"/>
        <v>13396.247195178912</v>
      </c>
      <c r="P383" s="336">
        <f t="shared" si="71"/>
        <v>532449.75169205153</v>
      </c>
      <c r="Q383" s="336">
        <f t="shared" si="72"/>
        <v>396.24719517891208</v>
      </c>
      <c r="R383" s="303">
        <f t="shared" si="73"/>
        <v>3.0480553475300928E-2</v>
      </c>
    </row>
    <row r="384" spans="1:18" x14ac:dyDescent="0.3">
      <c r="A384" s="2">
        <v>729</v>
      </c>
      <c r="B384" s="41" t="s">
        <v>342</v>
      </c>
      <c r="C384" s="2">
        <v>5</v>
      </c>
      <c r="D384" s="2" t="s">
        <v>16</v>
      </c>
      <c r="E384" s="294">
        <v>20494.9892</v>
      </c>
      <c r="F384" s="296">
        <v>25433.333333333332</v>
      </c>
      <c r="G384" s="352">
        <v>22</v>
      </c>
      <c r="H384" s="296">
        <f t="shared" si="68"/>
        <v>450889.76240000001</v>
      </c>
      <c r="I384" s="122">
        <f t="shared" si="69"/>
        <v>559533.33333333326</v>
      </c>
      <c r="J384" s="331">
        <f t="shared" si="70"/>
        <v>108643.57093333325</v>
      </c>
      <c r="K384" s="292">
        <f>'09-RESUMEN'!$F$43/1375</f>
        <v>81431.961035221175</v>
      </c>
      <c r="L384" s="122">
        <f>('ESTADO RESULTADOS'!$C$36+'ESTADO RESULTADOS'!$C$71)/1375</f>
        <v>24762.287272727273</v>
      </c>
      <c r="M384" s="122">
        <v>0</v>
      </c>
      <c r="N384" s="122">
        <f t="shared" si="80"/>
        <v>557084.01070794847</v>
      </c>
      <c r="O384" s="122">
        <f t="shared" si="81"/>
        <v>25322.00048672493</v>
      </c>
      <c r="P384" s="336">
        <f t="shared" si="71"/>
        <v>2449.3226253847824</v>
      </c>
      <c r="Q384" s="336">
        <f t="shared" si="72"/>
        <v>4827.01128672493</v>
      </c>
      <c r="R384" s="303">
        <f t="shared" si="73"/>
        <v>0.23552153356220992</v>
      </c>
    </row>
    <row r="385" spans="1:18" x14ac:dyDescent="0.3">
      <c r="A385" s="2">
        <v>730</v>
      </c>
      <c r="B385" s="41" t="s">
        <v>343</v>
      </c>
      <c r="C385" s="2">
        <v>6</v>
      </c>
      <c r="D385" s="2" t="s">
        <v>32</v>
      </c>
      <c r="E385" s="294">
        <v>19629</v>
      </c>
      <c r="F385" s="296">
        <v>24466.666666666668</v>
      </c>
      <c r="G385" s="352">
        <v>7</v>
      </c>
      <c r="H385" s="296">
        <f t="shared" si="68"/>
        <v>137403</v>
      </c>
      <c r="I385" s="122">
        <f t="shared" si="69"/>
        <v>171266.66666666669</v>
      </c>
      <c r="J385" s="331">
        <f t="shared" si="70"/>
        <v>33863.666666666686</v>
      </c>
      <c r="K385" s="292">
        <f>'09-RESUMEN'!$F$43/1375</f>
        <v>81431.961035221175</v>
      </c>
      <c r="L385" s="122">
        <f>('ESTADO RESULTADOS'!$C$36+'ESTADO RESULTADOS'!$C$71)/1375</f>
        <v>24762.287272727273</v>
      </c>
      <c r="M385" s="122">
        <v>0</v>
      </c>
      <c r="N385" s="122">
        <f t="shared" si="80"/>
        <v>243597.24830794844</v>
      </c>
      <c r="O385" s="122">
        <f t="shared" si="81"/>
        <v>34799.606901135492</v>
      </c>
      <c r="P385" s="336">
        <f t="shared" si="71"/>
        <v>-72330.581641281751</v>
      </c>
      <c r="Q385" s="336">
        <f t="shared" si="72"/>
        <v>15170.606901135492</v>
      </c>
      <c r="R385" s="303">
        <f t="shared" si="73"/>
        <v>0.77286702843422961</v>
      </c>
    </row>
    <row r="386" spans="1:18" x14ac:dyDescent="0.3">
      <c r="A386" s="2">
        <v>731</v>
      </c>
      <c r="B386" s="41" t="s">
        <v>344</v>
      </c>
      <c r="C386" s="2">
        <v>9</v>
      </c>
      <c r="D386" s="2" t="s">
        <v>12</v>
      </c>
      <c r="E386" s="294">
        <v>19572.335999999999</v>
      </c>
      <c r="F386" s="296">
        <v>23000</v>
      </c>
      <c r="G386" s="352">
        <v>2</v>
      </c>
      <c r="H386" s="296">
        <f t="shared" si="68"/>
        <v>39144.671999999999</v>
      </c>
      <c r="I386" s="122">
        <f t="shared" si="69"/>
        <v>46000</v>
      </c>
      <c r="J386" s="331">
        <f t="shared" si="70"/>
        <v>6855.3280000000013</v>
      </c>
      <c r="K386" s="292">
        <f>'09-RESUMEN'!$F$43/1375</f>
        <v>81431.961035221175</v>
      </c>
      <c r="L386" s="122">
        <f>('ESTADO RESULTADOS'!$C$36+'ESTADO RESULTADOS'!$C$71)/1375</f>
        <v>24762.287272727273</v>
      </c>
      <c r="M386" s="122">
        <v>0</v>
      </c>
      <c r="N386" s="122">
        <f t="shared" si="80"/>
        <v>145338.92030794843</v>
      </c>
      <c r="O386" s="122">
        <f t="shared" si="81"/>
        <v>72669.460153974214</v>
      </c>
      <c r="P386" s="336">
        <f t="shared" si="71"/>
        <v>-99338.920307948429</v>
      </c>
      <c r="Q386" s="336">
        <f t="shared" si="72"/>
        <v>53097.124153974219</v>
      </c>
      <c r="R386" s="303">
        <f t="shared" si="73"/>
        <v>2.712865963162201</v>
      </c>
    </row>
    <row r="387" spans="1:18" x14ac:dyDescent="0.3">
      <c r="A387" s="2">
        <v>732</v>
      </c>
      <c r="B387" s="41" t="s">
        <v>345</v>
      </c>
      <c r="C387" s="2">
        <v>9</v>
      </c>
      <c r="D387" s="2" t="s">
        <v>338</v>
      </c>
      <c r="E387" s="294">
        <v>6200</v>
      </c>
      <c r="F387" s="296">
        <v>7500</v>
      </c>
      <c r="G387" s="352">
        <v>216</v>
      </c>
      <c r="H387" s="296">
        <f t="shared" si="68"/>
        <v>1339200</v>
      </c>
      <c r="I387" s="122">
        <f t="shared" si="69"/>
        <v>1620000</v>
      </c>
      <c r="J387" s="331">
        <f t="shared" si="70"/>
        <v>280800</v>
      </c>
      <c r="K387" s="292">
        <f>'09-RESUMEN'!$F$43/1375</f>
        <v>81431.961035221175</v>
      </c>
      <c r="L387" s="122">
        <f>('ESTADO RESULTADOS'!$C$36+'ESTADO RESULTADOS'!$C$71)/1375</f>
        <v>24762.287272727273</v>
      </c>
      <c r="M387" s="122">
        <v>0</v>
      </c>
      <c r="N387" s="122">
        <f t="shared" si="80"/>
        <v>1445394.2483079485</v>
      </c>
      <c r="O387" s="122">
        <f t="shared" si="81"/>
        <v>6691.6400384627241</v>
      </c>
      <c r="P387" s="336">
        <f t="shared" si="71"/>
        <v>174605.75169205153</v>
      </c>
      <c r="Q387" s="336">
        <f t="shared" si="72"/>
        <v>491.64003846272408</v>
      </c>
      <c r="R387" s="303">
        <f t="shared" si="73"/>
        <v>7.9296780397213565E-2</v>
      </c>
    </row>
    <row r="388" spans="1:18" x14ac:dyDescent="0.3">
      <c r="A388" s="2">
        <v>733</v>
      </c>
      <c r="B388" s="41" t="s">
        <v>347</v>
      </c>
      <c r="C388" s="2">
        <v>14</v>
      </c>
      <c r="D388" s="2" t="s">
        <v>12</v>
      </c>
      <c r="E388" s="294">
        <v>2642</v>
      </c>
      <c r="F388" s="296">
        <v>4000</v>
      </c>
      <c r="G388" s="352">
        <v>8</v>
      </c>
      <c r="H388" s="296">
        <f t="shared" ref="H388:H451" si="82">E388*G388</f>
        <v>21136</v>
      </c>
      <c r="I388" s="122">
        <f t="shared" ref="I388:I451" si="83">F388*G388</f>
        <v>32000</v>
      </c>
      <c r="J388" s="331">
        <f t="shared" ref="J388:J451" si="84">I388-H388</f>
        <v>10864</v>
      </c>
      <c r="K388" s="292">
        <f>'09-RESUMEN'!$F$43/1375</f>
        <v>81431.961035221175</v>
      </c>
      <c r="L388" s="122">
        <f>('ESTADO RESULTADOS'!$C$36+'ESTADO RESULTADOS'!$C$71)/1375</f>
        <v>24762.287272727273</v>
      </c>
      <c r="M388" s="122">
        <v>0</v>
      </c>
      <c r="N388" s="122">
        <f t="shared" si="80"/>
        <v>127330.24830794845</v>
      </c>
      <c r="O388" s="122">
        <f t="shared" si="81"/>
        <v>15916.281038493556</v>
      </c>
      <c r="P388" s="336">
        <f t="shared" si="71"/>
        <v>-95330.248307948452</v>
      </c>
      <c r="Q388" s="336">
        <f t="shared" si="72"/>
        <v>13274.281038493556</v>
      </c>
      <c r="R388" s="303">
        <f t="shared" si="73"/>
        <v>5.0243304460611489</v>
      </c>
    </row>
    <row r="389" spans="1:18" x14ac:dyDescent="0.3">
      <c r="A389" s="2">
        <v>734</v>
      </c>
      <c r="B389" s="41" t="s">
        <v>348</v>
      </c>
      <c r="C389" s="2">
        <v>14</v>
      </c>
      <c r="D389" s="2" t="s">
        <v>81</v>
      </c>
      <c r="E389" s="294">
        <v>13560</v>
      </c>
      <c r="F389" s="296">
        <v>16700</v>
      </c>
      <c r="G389" s="352">
        <v>8</v>
      </c>
      <c r="H389" s="296">
        <f t="shared" si="82"/>
        <v>108480</v>
      </c>
      <c r="I389" s="122">
        <f t="shared" si="83"/>
        <v>133600</v>
      </c>
      <c r="J389" s="331">
        <f t="shared" si="84"/>
        <v>25120</v>
      </c>
      <c r="K389" s="292">
        <f>'09-RESUMEN'!$F$43/1375</f>
        <v>81431.961035221175</v>
      </c>
      <c r="L389" s="122">
        <f>('ESTADO RESULTADOS'!$C$36+'ESTADO RESULTADOS'!$C$71)/1375</f>
        <v>24762.287272727273</v>
      </c>
      <c r="M389" s="122">
        <v>0</v>
      </c>
      <c r="N389" s="122">
        <f t="shared" si="80"/>
        <v>214674.24830794844</v>
      </c>
      <c r="O389" s="122">
        <f t="shared" si="81"/>
        <v>26834.281038493555</v>
      </c>
      <c r="P389" s="336">
        <f t="shared" ref="P389:P452" si="85">I389-N389</f>
        <v>-81074.248307948437</v>
      </c>
      <c r="Q389" s="336">
        <f t="shared" ref="Q389:Q452" si="86">O389-E389</f>
        <v>13274.281038493555</v>
      </c>
      <c r="R389" s="303">
        <f t="shared" ref="R389:R452" si="87">Q389/E389</f>
        <v>0.97892928012489344</v>
      </c>
    </row>
    <row r="390" spans="1:18" x14ac:dyDescent="0.3">
      <c r="A390" s="2">
        <v>737</v>
      </c>
      <c r="B390" s="41" t="s">
        <v>349</v>
      </c>
      <c r="C390" s="2">
        <v>14</v>
      </c>
      <c r="D390" s="2" t="s">
        <v>16</v>
      </c>
      <c r="E390" s="294">
        <v>20604</v>
      </c>
      <c r="F390" s="296">
        <v>27000</v>
      </c>
      <c r="G390" s="352">
        <v>8</v>
      </c>
      <c r="H390" s="296">
        <f t="shared" si="82"/>
        <v>164832</v>
      </c>
      <c r="I390" s="122">
        <f t="shared" si="83"/>
        <v>216000</v>
      </c>
      <c r="J390" s="331">
        <f t="shared" si="84"/>
        <v>51168</v>
      </c>
      <c r="K390" s="292">
        <f>'09-RESUMEN'!$F$43/1375</f>
        <v>81431.961035221175</v>
      </c>
      <c r="L390" s="122">
        <f>('ESTADO RESULTADOS'!$C$36+'ESTADO RESULTADOS'!$C$71)/1375</f>
        <v>24762.287272727273</v>
      </c>
      <c r="M390" s="122">
        <v>0</v>
      </c>
      <c r="N390" s="122">
        <f t="shared" si="80"/>
        <v>271026.24830794847</v>
      </c>
      <c r="O390" s="122">
        <f t="shared" si="81"/>
        <v>33878.281038493558</v>
      </c>
      <c r="P390" s="336">
        <f t="shared" si="85"/>
        <v>-55026.248307948466</v>
      </c>
      <c r="Q390" s="336">
        <f t="shared" si="86"/>
        <v>13274.281038493558</v>
      </c>
      <c r="R390" s="303">
        <f t="shared" si="87"/>
        <v>0.64425747614509599</v>
      </c>
    </row>
    <row r="391" spans="1:18" x14ac:dyDescent="0.3">
      <c r="A391" s="2">
        <v>739</v>
      </c>
      <c r="B391" s="41" t="s">
        <v>351</v>
      </c>
      <c r="C391" s="2">
        <v>14</v>
      </c>
      <c r="D391" s="2" t="s">
        <v>81</v>
      </c>
      <c r="E391" s="294">
        <v>2841</v>
      </c>
      <c r="F391" s="296">
        <v>4000</v>
      </c>
      <c r="G391" s="352">
        <v>16</v>
      </c>
      <c r="H391" s="296">
        <f t="shared" si="82"/>
        <v>45456</v>
      </c>
      <c r="I391" s="122">
        <f t="shared" si="83"/>
        <v>64000</v>
      </c>
      <c r="J391" s="331">
        <f t="shared" si="84"/>
        <v>18544</v>
      </c>
      <c r="K391" s="292">
        <f>'09-RESUMEN'!$F$43/1375</f>
        <v>81431.961035221175</v>
      </c>
      <c r="L391" s="122">
        <f>('ESTADO RESULTADOS'!$C$36+'ESTADO RESULTADOS'!$C$71)/1375</f>
        <v>24762.287272727273</v>
      </c>
      <c r="M391" s="122">
        <v>0</v>
      </c>
      <c r="N391" s="122">
        <f t="shared" si="80"/>
        <v>151650.24830794844</v>
      </c>
      <c r="O391" s="122">
        <f t="shared" si="81"/>
        <v>9478.1405192467773</v>
      </c>
      <c r="P391" s="336">
        <f t="shared" si="85"/>
        <v>-87650.248307948437</v>
      </c>
      <c r="Q391" s="336">
        <f t="shared" si="86"/>
        <v>6637.1405192467773</v>
      </c>
      <c r="R391" s="303">
        <f t="shared" si="87"/>
        <v>2.3361987044163244</v>
      </c>
    </row>
    <row r="392" spans="1:18" x14ac:dyDescent="0.3">
      <c r="A392" s="2">
        <v>740</v>
      </c>
      <c r="B392" s="41" t="s">
        <v>352</v>
      </c>
      <c r="C392" s="2">
        <v>14</v>
      </c>
      <c r="D392" s="2" t="s">
        <v>81</v>
      </c>
      <c r="E392" s="294">
        <v>17258</v>
      </c>
      <c r="F392" s="296">
        <v>20300</v>
      </c>
      <c r="G392" s="352">
        <v>7</v>
      </c>
      <c r="H392" s="296">
        <f t="shared" si="82"/>
        <v>120806</v>
      </c>
      <c r="I392" s="122">
        <f t="shared" si="83"/>
        <v>142100</v>
      </c>
      <c r="J392" s="331">
        <f t="shared" si="84"/>
        <v>21294</v>
      </c>
      <c r="K392" s="292">
        <f>'09-RESUMEN'!$F$43/1375</f>
        <v>81431.961035221175</v>
      </c>
      <c r="L392" s="122">
        <f>('ESTADO RESULTADOS'!$C$36+'ESTADO RESULTADOS'!$C$71)/1375</f>
        <v>24762.287272727273</v>
      </c>
      <c r="M392" s="122">
        <v>0</v>
      </c>
      <c r="N392" s="122">
        <f t="shared" si="80"/>
        <v>227000.24830794844</v>
      </c>
      <c r="O392" s="122">
        <f t="shared" si="81"/>
        <v>32428.606901135492</v>
      </c>
      <c r="P392" s="336">
        <f t="shared" si="85"/>
        <v>-84900.248307948437</v>
      </c>
      <c r="Q392" s="336">
        <f t="shared" si="86"/>
        <v>15170.606901135492</v>
      </c>
      <c r="R392" s="303">
        <f t="shared" si="87"/>
        <v>0.87904779818840495</v>
      </c>
    </row>
    <row r="393" spans="1:18" x14ac:dyDescent="0.3">
      <c r="A393" s="2">
        <v>744</v>
      </c>
      <c r="B393" s="41" t="s">
        <v>353</v>
      </c>
      <c r="C393" s="2">
        <v>2</v>
      </c>
      <c r="D393" s="2" t="s">
        <v>10</v>
      </c>
      <c r="E393" s="294">
        <v>87664</v>
      </c>
      <c r="F393" s="296">
        <v>100283.33333333333</v>
      </c>
      <c r="G393" s="352">
        <v>273</v>
      </c>
      <c r="H393" s="296">
        <f t="shared" si="82"/>
        <v>23932272</v>
      </c>
      <c r="I393" s="122">
        <f t="shared" si="83"/>
        <v>27377350</v>
      </c>
      <c r="J393" s="331">
        <f t="shared" si="84"/>
        <v>3445078</v>
      </c>
      <c r="K393" s="292">
        <f>'09-RESUMEN'!$F$43/1375</f>
        <v>81431.961035221175</v>
      </c>
      <c r="L393" s="122">
        <f>('ESTADO RESULTADOS'!$C$36+'ESTADO RESULTADOS'!$C$71)/1375</f>
        <v>24762.287272727273</v>
      </c>
      <c r="M393" s="122">
        <v>0</v>
      </c>
      <c r="N393" s="122">
        <f t="shared" si="80"/>
        <v>24038466.248307951</v>
      </c>
      <c r="O393" s="122">
        <f t="shared" si="81"/>
        <v>88052.98992054195</v>
      </c>
      <c r="P393" s="336">
        <f t="shared" si="85"/>
        <v>3338883.7516920492</v>
      </c>
      <c r="Q393" s="336">
        <f t="shared" si="86"/>
        <v>388.98992054194969</v>
      </c>
      <c r="R393" s="303">
        <f t="shared" si="87"/>
        <v>4.437282356976064E-3</v>
      </c>
    </row>
    <row r="394" spans="1:18" x14ac:dyDescent="0.3">
      <c r="A394" s="2">
        <v>745</v>
      </c>
      <c r="B394" s="41" t="s">
        <v>1665</v>
      </c>
      <c r="C394" s="2">
        <v>2</v>
      </c>
      <c r="D394" s="2" t="s">
        <v>237</v>
      </c>
      <c r="E394" s="294">
        <v>70000</v>
      </c>
      <c r="F394" s="296">
        <v>75750</v>
      </c>
      <c r="G394" s="352">
        <v>212.5</v>
      </c>
      <c r="H394" s="296">
        <f t="shared" si="82"/>
        <v>14875000</v>
      </c>
      <c r="I394" s="122">
        <f t="shared" si="83"/>
        <v>16096875</v>
      </c>
      <c r="J394" s="331">
        <f t="shared" si="84"/>
        <v>1221875</v>
      </c>
      <c r="K394" s="292">
        <f>'09-RESUMEN'!$F$43/1375</f>
        <v>81431.961035221175</v>
      </c>
      <c r="L394" s="122">
        <f>('ESTADO RESULTADOS'!$C$36+'ESTADO RESULTADOS'!$C$71)/1375</f>
        <v>24762.287272727273</v>
      </c>
      <c r="M394" s="122">
        <v>0</v>
      </c>
      <c r="N394" s="122">
        <f t="shared" si="80"/>
        <v>14981194.248307949</v>
      </c>
      <c r="O394" s="122">
        <f t="shared" si="81"/>
        <v>70499.737639096231</v>
      </c>
      <c r="P394" s="336">
        <f t="shared" si="85"/>
        <v>1115680.7516920511</v>
      </c>
      <c r="Q394" s="336">
        <f t="shared" si="86"/>
        <v>499.73763909623085</v>
      </c>
      <c r="R394" s="303">
        <f t="shared" si="87"/>
        <v>7.1391091299461548E-3</v>
      </c>
    </row>
    <row r="395" spans="1:18" x14ac:dyDescent="0.3">
      <c r="A395" s="2">
        <v>747</v>
      </c>
      <c r="B395" s="41" t="s">
        <v>354</v>
      </c>
      <c r="C395" s="2">
        <v>14</v>
      </c>
      <c r="D395" s="2" t="s">
        <v>16</v>
      </c>
      <c r="E395" s="294">
        <v>105501</v>
      </c>
      <c r="F395" s="296">
        <v>136500</v>
      </c>
      <c r="G395" s="352">
        <v>2</v>
      </c>
      <c r="H395" s="296">
        <f t="shared" si="82"/>
        <v>211002</v>
      </c>
      <c r="I395" s="122">
        <f t="shared" si="83"/>
        <v>273000</v>
      </c>
      <c r="J395" s="331">
        <f t="shared" si="84"/>
        <v>61998</v>
      </c>
      <c r="K395" s="292">
        <f>'09-RESUMEN'!$F$43/1375</f>
        <v>81431.961035221175</v>
      </c>
      <c r="L395" s="122">
        <f>('ESTADO RESULTADOS'!$C$36+'ESTADO RESULTADOS'!$C$71)/1375</f>
        <v>24762.287272727273</v>
      </c>
      <c r="M395" s="122">
        <v>0</v>
      </c>
      <c r="N395" s="122">
        <f t="shared" si="80"/>
        <v>317196.24830794847</v>
      </c>
      <c r="O395" s="122">
        <f t="shared" si="81"/>
        <v>158598.12415397423</v>
      </c>
      <c r="P395" s="336">
        <f t="shared" si="85"/>
        <v>-44196.248307948466</v>
      </c>
      <c r="Q395" s="336">
        <f t="shared" si="86"/>
        <v>53097.124153974233</v>
      </c>
      <c r="R395" s="303">
        <f t="shared" si="87"/>
        <v>0.5032855058622594</v>
      </c>
    </row>
    <row r="396" spans="1:18" x14ac:dyDescent="0.3">
      <c r="A396" s="2">
        <v>754</v>
      </c>
      <c r="B396" s="41" t="s">
        <v>355</v>
      </c>
      <c r="C396" s="2">
        <v>4</v>
      </c>
      <c r="D396" s="2" t="s">
        <v>346</v>
      </c>
      <c r="E396" s="294">
        <v>20868.939999999999</v>
      </c>
      <c r="F396" s="296">
        <v>26200</v>
      </c>
      <c r="G396" s="352">
        <v>25</v>
      </c>
      <c r="H396" s="296">
        <f t="shared" si="82"/>
        <v>521723.49999999994</v>
      </c>
      <c r="I396" s="122">
        <f t="shared" si="83"/>
        <v>655000</v>
      </c>
      <c r="J396" s="331">
        <f t="shared" si="84"/>
        <v>133276.50000000006</v>
      </c>
      <c r="K396" s="292">
        <f>'09-RESUMEN'!$F$43/1375</f>
        <v>81431.961035221175</v>
      </c>
      <c r="L396" s="122">
        <f>('ESTADO RESULTADOS'!$C$36+'ESTADO RESULTADOS'!$C$71)/1375</f>
        <v>24762.287272727273</v>
      </c>
      <c r="M396" s="122">
        <v>0</v>
      </c>
      <c r="N396" s="122">
        <f t="shared" si="80"/>
        <v>627917.74830794835</v>
      </c>
      <c r="O396" s="122">
        <f t="shared" si="81"/>
        <v>25116.709932317935</v>
      </c>
      <c r="P396" s="336">
        <f t="shared" si="85"/>
        <v>27082.25169205165</v>
      </c>
      <c r="Q396" s="336">
        <f t="shared" si="86"/>
        <v>4247.7699323179368</v>
      </c>
      <c r="R396" s="303">
        <f t="shared" si="87"/>
        <v>0.20354507379473691</v>
      </c>
    </row>
    <row r="397" spans="1:18" x14ac:dyDescent="0.3">
      <c r="A397" s="2">
        <v>760</v>
      </c>
      <c r="B397" s="41" t="s">
        <v>1666</v>
      </c>
      <c r="C397" s="2">
        <v>9</v>
      </c>
      <c r="D397" s="2" t="s">
        <v>12</v>
      </c>
      <c r="E397" s="294">
        <v>14308</v>
      </c>
      <c r="F397" s="296">
        <v>16500</v>
      </c>
      <c r="G397" s="352">
        <v>1</v>
      </c>
      <c r="H397" s="296">
        <f t="shared" si="82"/>
        <v>14308</v>
      </c>
      <c r="I397" s="122">
        <f t="shared" si="83"/>
        <v>16500</v>
      </c>
      <c r="J397" s="331">
        <f t="shared" si="84"/>
        <v>2192</v>
      </c>
      <c r="K397" s="292">
        <f>'09-RESUMEN'!$F$43/1375</f>
        <v>81431.961035221175</v>
      </c>
      <c r="L397" s="122">
        <f>('ESTADO RESULTADOS'!$C$36+'ESTADO RESULTADOS'!$C$71)/1375</f>
        <v>24762.287272727273</v>
      </c>
      <c r="M397" s="122">
        <v>0</v>
      </c>
      <c r="N397" s="122">
        <f t="shared" si="80"/>
        <v>120502.24830794845</v>
      </c>
      <c r="O397" s="122">
        <f t="shared" si="81"/>
        <v>120502.24830794845</v>
      </c>
      <c r="P397" s="336">
        <f t="shared" si="85"/>
        <v>-104002.24830794845</v>
      </c>
      <c r="Q397" s="336">
        <f t="shared" si="86"/>
        <v>106194.24830794845</v>
      </c>
      <c r="R397" s="303">
        <f t="shared" si="87"/>
        <v>7.4220190318666797</v>
      </c>
    </row>
    <row r="398" spans="1:18" x14ac:dyDescent="0.3">
      <c r="A398" s="2">
        <v>761</v>
      </c>
      <c r="B398" s="41" t="s">
        <v>356</v>
      </c>
      <c r="C398" s="2">
        <v>2</v>
      </c>
      <c r="D398" s="2" t="s">
        <v>5</v>
      </c>
      <c r="E398" s="294">
        <v>5237.2057999999997</v>
      </c>
      <c r="F398" s="296">
        <v>6050</v>
      </c>
      <c r="G398" s="352">
        <v>49</v>
      </c>
      <c r="H398" s="296">
        <f t="shared" si="82"/>
        <v>256623.08419999998</v>
      </c>
      <c r="I398" s="122">
        <f t="shared" si="83"/>
        <v>296450</v>
      </c>
      <c r="J398" s="331">
        <f t="shared" si="84"/>
        <v>39826.915800000017</v>
      </c>
      <c r="K398" s="292">
        <f>'09-RESUMEN'!$F$43/1375</f>
        <v>81431.961035221175</v>
      </c>
      <c r="L398" s="122">
        <f>('ESTADO RESULTADOS'!$C$36+'ESTADO RESULTADOS'!$C$71)/1375</f>
        <v>24762.287272727273</v>
      </c>
      <c r="M398" s="122">
        <v>0</v>
      </c>
      <c r="N398" s="122">
        <f t="shared" si="80"/>
        <v>362817.33250794845</v>
      </c>
      <c r="O398" s="122">
        <f t="shared" si="81"/>
        <v>7404.4353573050703</v>
      </c>
      <c r="P398" s="336">
        <f t="shared" si="85"/>
        <v>-66367.332507948449</v>
      </c>
      <c r="Q398" s="336">
        <f t="shared" si="86"/>
        <v>2167.2295573050706</v>
      </c>
      <c r="R398" s="303">
        <f t="shared" si="87"/>
        <v>0.4138140909614571</v>
      </c>
    </row>
    <row r="399" spans="1:18" x14ac:dyDescent="0.3">
      <c r="A399" s="2">
        <v>763</v>
      </c>
      <c r="B399" s="41" t="s">
        <v>357</v>
      </c>
      <c r="C399" s="2">
        <v>2</v>
      </c>
      <c r="D399" s="2" t="s">
        <v>5</v>
      </c>
      <c r="E399" s="294">
        <v>75699.75</v>
      </c>
      <c r="F399" s="296">
        <v>89733.333333333328</v>
      </c>
      <c r="G399" s="352">
        <v>67</v>
      </c>
      <c r="H399" s="296">
        <f t="shared" si="82"/>
        <v>5071883.25</v>
      </c>
      <c r="I399" s="122">
        <f t="shared" si="83"/>
        <v>6012133.333333333</v>
      </c>
      <c r="J399" s="331">
        <f t="shared" si="84"/>
        <v>940250.08333333302</v>
      </c>
      <c r="K399" s="292">
        <f>'09-RESUMEN'!$F$43/1375</f>
        <v>81431.961035221175</v>
      </c>
      <c r="L399" s="122">
        <f>('ESTADO RESULTADOS'!$C$36+'ESTADO RESULTADOS'!$C$71)/1375</f>
        <v>24762.287272727273</v>
      </c>
      <c r="M399" s="122">
        <v>0</v>
      </c>
      <c r="N399" s="122">
        <f t="shared" si="80"/>
        <v>5178077.498307948</v>
      </c>
      <c r="O399" s="122">
        <f t="shared" si="81"/>
        <v>77284.738780715648</v>
      </c>
      <c r="P399" s="336">
        <f t="shared" si="85"/>
        <v>834055.83502538502</v>
      </c>
      <c r="Q399" s="336">
        <f t="shared" si="86"/>
        <v>1584.9887807156483</v>
      </c>
      <c r="R399" s="303">
        <f t="shared" si="87"/>
        <v>2.093783375395095E-2</v>
      </c>
    </row>
    <row r="400" spans="1:18" x14ac:dyDescent="0.3">
      <c r="A400" s="2">
        <v>764</v>
      </c>
      <c r="B400" s="41" t="s">
        <v>358</v>
      </c>
      <c r="C400" s="2">
        <v>2</v>
      </c>
      <c r="D400" s="2" t="s">
        <v>350</v>
      </c>
      <c r="E400" s="294">
        <v>172941.3</v>
      </c>
      <c r="F400" s="296">
        <v>197050</v>
      </c>
      <c r="G400" s="352">
        <v>4.5</v>
      </c>
      <c r="H400" s="296">
        <f t="shared" si="82"/>
        <v>778235.85</v>
      </c>
      <c r="I400" s="122">
        <f t="shared" si="83"/>
        <v>886725</v>
      </c>
      <c r="J400" s="331">
        <f t="shared" si="84"/>
        <v>108489.15000000002</v>
      </c>
      <c r="K400" s="292">
        <f>'09-RESUMEN'!$F$43/1375</f>
        <v>81431.961035221175</v>
      </c>
      <c r="L400" s="122">
        <f>('ESTADO RESULTADOS'!$C$36+'ESTADO RESULTADOS'!$C$71)/1375</f>
        <v>24762.287272727273</v>
      </c>
      <c r="M400" s="122">
        <v>0</v>
      </c>
      <c r="N400" s="122">
        <f t="shared" si="80"/>
        <v>884430.09830794844</v>
      </c>
      <c r="O400" s="122">
        <f t="shared" si="81"/>
        <v>196540.02184621076</v>
      </c>
      <c r="P400" s="336">
        <f t="shared" si="85"/>
        <v>2294.9016920515569</v>
      </c>
      <c r="Q400" s="336">
        <f t="shared" si="86"/>
        <v>23598.72184621077</v>
      </c>
      <c r="R400" s="303">
        <f t="shared" si="87"/>
        <v>0.13645509688091145</v>
      </c>
    </row>
    <row r="401" spans="1:18" x14ac:dyDescent="0.3">
      <c r="A401" s="2">
        <v>765</v>
      </c>
      <c r="B401" s="41" t="s">
        <v>359</v>
      </c>
      <c r="C401" s="2">
        <v>2</v>
      </c>
      <c r="D401" s="2" t="s">
        <v>5</v>
      </c>
      <c r="E401" s="294">
        <v>84842.887499999997</v>
      </c>
      <c r="F401" s="296">
        <v>96433.333333333328</v>
      </c>
      <c r="G401" s="352">
        <v>5</v>
      </c>
      <c r="H401" s="296">
        <f t="shared" si="82"/>
        <v>424214.4375</v>
      </c>
      <c r="I401" s="122">
        <f t="shared" si="83"/>
        <v>482166.66666666663</v>
      </c>
      <c r="J401" s="331">
        <f t="shared" si="84"/>
        <v>57952.229166666628</v>
      </c>
      <c r="K401" s="292">
        <f>'09-RESUMEN'!$F$43/1375</f>
        <v>81431.961035221175</v>
      </c>
      <c r="L401" s="122">
        <f>('ESTADO RESULTADOS'!$C$36+'ESTADO RESULTADOS'!$C$71)/1375</f>
        <v>24762.287272727273</v>
      </c>
      <c r="M401" s="122">
        <v>0</v>
      </c>
      <c r="N401" s="122">
        <f t="shared" si="80"/>
        <v>530408.68580794847</v>
      </c>
      <c r="O401" s="122">
        <f t="shared" si="81"/>
        <v>106081.7371615897</v>
      </c>
      <c r="P401" s="336">
        <f t="shared" si="85"/>
        <v>-48242.019141281839</v>
      </c>
      <c r="Q401" s="336">
        <f t="shared" si="86"/>
        <v>21238.849661589702</v>
      </c>
      <c r="R401" s="303">
        <f t="shared" si="87"/>
        <v>0.2503315279267187</v>
      </c>
    </row>
    <row r="402" spans="1:18" x14ac:dyDescent="0.3">
      <c r="A402" s="2">
        <v>766</v>
      </c>
      <c r="B402" s="41" t="s">
        <v>360</v>
      </c>
      <c r="C402" s="2">
        <v>2</v>
      </c>
      <c r="D402" s="2" t="s">
        <v>5</v>
      </c>
      <c r="E402" s="294">
        <v>8553.5835000000006</v>
      </c>
      <c r="F402" s="296">
        <v>10000</v>
      </c>
      <c r="G402" s="352">
        <v>118</v>
      </c>
      <c r="H402" s="296">
        <f t="shared" si="82"/>
        <v>1009322.8530000001</v>
      </c>
      <c r="I402" s="122">
        <f t="shared" si="83"/>
        <v>1180000</v>
      </c>
      <c r="J402" s="331">
        <f t="shared" si="84"/>
        <v>170677.14699999988</v>
      </c>
      <c r="K402" s="292">
        <f>'09-RESUMEN'!$F$43/1375</f>
        <v>81431.961035221175</v>
      </c>
      <c r="L402" s="122">
        <f>('ESTADO RESULTADOS'!$C$36+'ESTADO RESULTADOS'!$C$71)/1375</f>
        <v>24762.287272727273</v>
      </c>
      <c r="M402" s="122">
        <v>0</v>
      </c>
      <c r="N402" s="122">
        <f t="shared" si="80"/>
        <v>1115517.1013079486</v>
      </c>
      <c r="O402" s="122">
        <f t="shared" si="81"/>
        <v>9453.5347568470224</v>
      </c>
      <c r="P402" s="336">
        <f t="shared" si="85"/>
        <v>64482.898692051414</v>
      </c>
      <c r="Q402" s="336">
        <f t="shared" si="86"/>
        <v>899.9512568470218</v>
      </c>
      <c r="R402" s="303">
        <f t="shared" si="87"/>
        <v>0.10521335962255138</v>
      </c>
    </row>
    <row r="403" spans="1:18" x14ac:dyDescent="0.3">
      <c r="A403" s="2">
        <v>767</v>
      </c>
      <c r="B403" s="41" t="s">
        <v>361</v>
      </c>
      <c r="C403" s="2">
        <v>2</v>
      </c>
      <c r="D403" s="2" t="s">
        <v>5</v>
      </c>
      <c r="E403" s="294">
        <v>36761.760000000002</v>
      </c>
      <c r="F403" s="296">
        <v>41800</v>
      </c>
      <c r="G403" s="352">
        <v>5</v>
      </c>
      <c r="H403" s="296">
        <f t="shared" si="82"/>
        <v>183808.80000000002</v>
      </c>
      <c r="I403" s="122">
        <f t="shared" si="83"/>
        <v>209000</v>
      </c>
      <c r="J403" s="331">
        <f t="shared" si="84"/>
        <v>25191.199999999983</v>
      </c>
      <c r="K403" s="292">
        <f>'09-RESUMEN'!$F$43/1375</f>
        <v>81431.961035221175</v>
      </c>
      <c r="L403" s="122">
        <f>('ESTADO RESULTADOS'!$C$36+'ESTADO RESULTADOS'!$C$71)/1375</f>
        <v>24762.287272727273</v>
      </c>
      <c r="M403" s="122">
        <v>0</v>
      </c>
      <c r="N403" s="122">
        <f t="shared" si="80"/>
        <v>290003.04830794845</v>
      </c>
      <c r="O403" s="122">
        <f t="shared" si="81"/>
        <v>58000.609661589689</v>
      </c>
      <c r="P403" s="336">
        <f t="shared" si="85"/>
        <v>-81003.048307948455</v>
      </c>
      <c r="Q403" s="336">
        <f t="shared" si="86"/>
        <v>21238.849661589687</v>
      </c>
      <c r="R403" s="303">
        <f t="shared" si="87"/>
        <v>0.5777430041866789</v>
      </c>
    </row>
    <row r="404" spans="1:18" x14ac:dyDescent="0.3">
      <c r="A404" s="2">
        <v>769</v>
      </c>
      <c r="B404" s="41" t="s">
        <v>362</v>
      </c>
      <c r="C404" s="2">
        <v>4</v>
      </c>
      <c r="D404" s="2" t="s">
        <v>81</v>
      </c>
      <c r="E404" s="294">
        <v>15031</v>
      </c>
      <c r="F404" s="296">
        <v>17600</v>
      </c>
      <c r="G404" s="352">
        <v>6</v>
      </c>
      <c r="H404" s="296">
        <f t="shared" si="82"/>
        <v>90186</v>
      </c>
      <c r="I404" s="122">
        <f t="shared" si="83"/>
        <v>105600</v>
      </c>
      <c r="J404" s="331">
        <f t="shared" si="84"/>
        <v>15414</v>
      </c>
      <c r="K404" s="292">
        <f>'09-RESUMEN'!$F$43/1375</f>
        <v>81431.961035221175</v>
      </c>
      <c r="L404" s="122">
        <f>('ESTADO RESULTADOS'!$C$36+'ESTADO RESULTADOS'!$C$71)/1375</f>
        <v>24762.287272727273</v>
      </c>
      <c r="M404" s="122">
        <v>0</v>
      </c>
      <c r="N404" s="122">
        <f t="shared" si="80"/>
        <v>196380.24830794844</v>
      </c>
      <c r="O404" s="122">
        <f t="shared" si="81"/>
        <v>32730.041384658074</v>
      </c>
      <c r="P404" s="336">
        <f t="shared" si="85"/>
        <v>-90780.248307948437</v>
      </c>
      <c r="Q404" s="336">
        <f t="shared" si="86"/>
        <v>17699.041384658074</v>
      </c>
      <c r="R404" s="303">
        <f t="shared" si="87"/>
        <v>1.1775025869641458</v>
      </c>
    </row>
    <row r="405" spans="1:18" x14ac:dyDescent="0.3">
      <c r="A405" s="2">
        <v>771</v>
      </c>
      <c r="B405" s="41" t="s">
        <v>363</v>
      </c>
      <c r="C405" s="2">
        <v>5</v>
      </c>
      <c r="D405" s="2" t="s">
        <v>5</v>
      </c>
      <c r="E405" s="294">
        <v>12745.098</v>
      </c>
      <c r="F405" s="296">
        <v>15000</v>
      </c>
      <c r="G405" s="352">
        <v>87</v>
      </c>
      <c r="H405" s="296">
        <f t="shared" si="82"/>
        <v>1108823.5260000001</v>
      </c>
      <c r="I405" s="122">
        <f t="shared" si="83"/>
        <v>1305000</v>
      </c>
      <c r="J405" s="331">
        <f t="shared" si="84"/>
        <v>196176.47399999993</v>
      </c>
      <c r="K405" s="292">
        <f>'09-RESUMEN'!$F$43/1375</f>
        <v>81431.961035221175</v>
      </c>
      <c r="L405" s="122">
        <f>('ESTADO RESULTADOS'!$C$36+'ESTADO RESULTADOS'!$C$71)/1375</f>
        <v>24762.287272727273</v>
      </c>
      <c r="M405" s="122">
        <v>0</v>
      </c>
      <c r="N405" s="122">
        <f t="shared" si="80"/>
        <v>1215017.7743079485</v>
      </c>
      <c r="O405" s="122">
        <f t="shared" si="81"/>
        <v>13965.721543769523</v>
      </c>
      <c r="P405" s="336">
        <f t="shared" si="85"/>
        <v>89982.225692051463</v>
      </c>
      <c r="Q405" s="336">
        <f t="shared" si="86"/>
        <v>1220.6235437695232</v>
      </c>
      <c r="R405" s="303">
        <f t="shared" si="87"/>
        <v>9.5772001421214906E-2</v>
      </c>
    </row>
    <row r="406" spans="1:18" x14ac:dyDescent="0.3">
      <c r="A406" s="2">
        <v>772</v>
      </c>
      <c r="B406" s="41" t="s">
        <v>364</v>
      </c>
      <c r="C406" s="2">
        <v>5</v>
      </c>
      <c r="D406" s="2" t="s">
        <v>5</v>
      </c>
      <c r="E406" s="294">
        <v>16200</v>
      </c>
      <c r="F406" s="296">
        <v>19000</v>
      </c>
      <c r="G406" s="352">
        <v>53</v>
      </c>
      <c r="H406" s="296">
        <f t="shared" si="82"/>
        <v>858600</v>
      </c>
      <c r="I406" s="122">
        <f t="shared" si="83"/>
        <v>1007000</v>
      </c>
      <c r="J406" s="331">
        <f t="shared" si="84"/>
        <v>148400</v>
      </c>
      <c r="K406" s="292">
        <f>'09-RESUMEN'!$F$43/1375</f>
        <v>81431.961035221175</v>
      </c>
      <c r="L406" s="122">
        <f>('ESTADO RESULTADOS'!$C$36+'ESTADO RESULTADOS'!$C$71)/1375</f>
        <v>24762.287272727273</v>
      </c>
      <c r="M406" s="122">
        <v>0</v>
      </c>
      <c r="N406" s="122">
        <f t="shared" si="80"/>
        <v>964794.24830794835</v>
      </c>
      <c r="O406" s="122">
        <f t="shared" si="81"/>
        <v>18203.665062414118</v>
      </c>
      <c r="P406" s="336">
        <f t="shared" si="85"/>
        <v>42205.75169205165</v>
      </c>
      <c r="Q406" s="336">
        <f t="shared" si="86"/>
        <v>2003.6650624141184</v>
      </c>
      <c r="R406" s="303">
        <f t="shared" si="87"/>
        <v>0.12368302854408139</v>
      </c>
    </row>
    <row r="407" spans="1:18" x14ac:dyDescent="0.3">
      <c r="A407" s="2">
        <v>777</v>
      </c>
      <c r="B407" s="41" t="s">
        <v>365</v>
      </c>
      <c r="C407" s="2">
        <v>12</v>
      </c>
      <c r="D407" s="2" t="s">
        <v>12</v>
      </c>
      <c r="E407" s="294">
        <v>180000</v>
      </c>
      <c r="F407" s="296">
        <v>205000</v>
      </c>
      <c r="G407" s="352">
        <v>6</v>
      </c>
      <c r="H407" s="296">
        <f t="shared" si="82"/>
        <v>1080000</v>
      </c>
      <c r="I407" s="122">
        <f t="shared" si="83"/>
        <v>1230000</v>
      </c>
      <c r="J407" s="331">
        <f t="shared" si="84"/>
        <v>150000</v>
      </c>
      <c r="K407" s="292">
        <f>'09-RESUMEN'!$F$43/1375</f>
        <v>81431.961035221175</v>
      </c>
      <c r="L407" s="122">
        <f>('ESTADO RESULTADOS'!$C$36+'ESTADO RESULTADOS'!$C$71)/1375</f>
        <v>24762.287272727273</v>
      </c>
      <c r="M407" s="122">
        <v>0</v>
      </c>
      <c r="N407" s="122">
        <f t="shared" si="80"/>
        <v>1186194.2483079485</v>
      </c>
      <c r="O407" s="122">
        <f t="shared" si="81"/>
        <v>197699.04138465808</v>
      </c>
      <c r="P407" s="336">
        <f t="shared" si="85"/>
        <v>43805.751692051534</v>
      </c>
      <c r="Q407" s="336">
        <f t="shared" si="86"/>
        <v>17699.041384658078</v>
      </c>
      <c r="R407" s="303">
        <f t="shared" si="87"/>
        <v>9.8328007692544878E-2</v>
      </c>
    </row>
    <row r="408" spans="1:18" x14ac:dyDescent="0.3">
      <c r="A408" s="2">
        <v>782</v>
      </c>
      <c r="B408" s="41" t="s">
        <v>366</v>
      </c>
      <c r="C408" s="2">
        <v>2</v>
      </c>
      <c r="D408" s="2" t="s">
        <v>5</v>
      </c>
      <c r="E408" s="294">
        <v>3999.9960000000001</v>
      </c>
      <c r="F408" s="296">
        <v>4366.666666666667</v>
      </c>
      <c r="G408" s="352">
        <v>18</v>
      </c>
      <c r="H408" s="296">
        <f t="shared" si="82"/>
        <v>71999.928</v>
      </c>
      <c r="I408" s="122">
        <f t="shared" si="83"/>
        <v>78600</v>
      </c>
      <c r="J408" s="331">
        <f t="shared" si="84"/>
        <v>6600.0720000000001</v>
      </c>
      <c r="K408" s="292">
        <f>'09-RESUMEN'!$F$43/1375</f>
        <v>81431.961035221175</v>
      </c>
      <c r="L408" s="122">
        <f>('ESTADO RESULTADOS'!$C$36+'ESTADO RESULTADOS'!$C$71)/1375</f>
        <v>24762.287272727273</v>
      </c>
      <c r="M408" s="122">
        <v>0</v>
      </c>
      <c r="N408" s="122">
        <f t="shared" si="80"/>
        <v>178194.17630794845</v>
      </c>
      <c r="O408" s="122">
        <f t="shared" si="81"/>
        <v>9899.6764615526918</v>
      </c>
      <c r="P408" s="336">
        <f t="shared" si="85"/>
        <v>-99594.176307948452</v>
      </c>
      <c r="Q408" s="336">
        <f t="shared" si="86"/>
        <v>5899.6804615526917</v>
      </c>
      <c r="R408" s="303">
        <f t="shared" si="87"/>
        <v>1.4749215903097632</v>
      </c>
    </row>
    <row r="409" spans="1:18" x14ac:dyDescent="0.3">
      <c r="A409" s="2">
        <v>784</v>
      </c>
      <c r="B409" s="41" t="s">
        <v>367</v>
      </c>
      <c r="C409" s="2">
        <v>2</v>
      </c>
      <c r="D409" s="2" t="s">
        <v>5</v>
      </c>
      <c r="E409" s="294">
        <v>23599.999500000002</v>
      </c>
      <c r="F409" s="296">
        <v>26200</v>
      </c>
      <c r="G409" s="352">
        <v>6</v>
      </c>
      <c r="H409" s="296">
        <f t="shared" si="82"/>
        <v>141599.997</v>
      </c>
      <c r="I409" s="122">
        <f t="shared" si="83"/>
        <v>157200</v>
      </c>
      <c r="J409" s="331">
        <f t="shared" si="84"/>
        <v>15600.002999999997</v>
      </c>
      <c r="K409" s="292">
        <f>'09-RESUMEN'!$F$43/1375</f>
        <v>81431.961035221175</v>
      </c>
      <c r="L409" s="122">
        <f>('ESTADO RESULTADOS'!$C$36+'ESTADO RESULTADOS'!$C$71)/1375</f>
        <v>24762.287272727273</v>
      </c>
      <c r="M409" s="122">
        <v>0</v>
      </c>
      <c r="N409" s="122">
        <f t="shared" si="80"/>
        <v>247794.24530794844</v>
      </c>
      <c r="O409" s="122">
        <f t="shared" si="81"/>
        <v>41299.040884658076</v>
      </c>
      <c r="P409" s="336">
        <f t="shared" si="85"/>
        <v>-90594.24530794844</v>
      </c>
      <c r="Q409" s="336">
        <f t="shared" si="86"/>
        <v>17699.041384658074</v>
      </c>
      <c r="R409" s="303">
        <f t="shared" si="87"/>
        <v>0.7499593965948208</v>
      </c>
    </row>
    <row r="410" spans="1:18" x14ac:dyDescent="0.3">
      <c r="A410" s="2">
        <v>785</v>
      </c>
      <c r="B410" s="41" t="s">
        <v>368</v>
      </c>
      <c r="C410" s="2">
        <v>2</v>
      </c>
      <c r="D410" s="2" t="s">
        <v>5</v>
      </c>
      <c r="E410" s="294">
        <v>74700.002999999997</v>
      </c>
      <c r="F410" s="296">
        <v>81633.333333333328</v>
      </c>
      <c r="G410" s="352">
        <v>6</v>
      </c>
      <c r="H410" s="296">
        <f t="shared" si="82"/>
        <v>448200.01799999998</v>
      </c>
      <c r="I410" s="122">
        <f t="shared" si="83"/>
        <v>489800</v>
      </c>
      <c r="J410" s="331">
        <f t="shared" si="84"/>
        <v>41599.982000000018</v>
      </c>
      <c r="K410" s="292">
        <f>'09-RESUMEN'!$F$43/1375</f>
        <v>81431.961035221175</v>
      </c>
      <c r="L410" s="122">
        <f>('ESTADO RESULTADOS'!$C$36+'ESTADO RESULTADOS'!$C$71)/1375</f>
        <v>24762.287272727273</v>
      </c>
      <c r="M410" s="122">
        <v>0</v>
      </c>
      <c r="N410" s="122">
        <f t="shared" si="80"/>
        <v>554394.26630794839</v>
      </c>
      <c r="O410" s="122">
        <f t="shared" si="81"/>
        <v>92399.04438465806</v>
      </c>
      <c r="P410" s="336">
        <f t="shared" si="85"/>
        <v>-64594.26630794839</v>
      </c>
      <c r="Q410" s="336">
        <f t="shared" si="86"/>
        <v>17699.041384658063</v>
      </c>
      <c r="R410" s="303">
        <f t="shared" si="87"/>
        <v>0.23693494877982887</v>
      </c>
    </row>
    <row r="411" spans="1:18" x14ac:dyDescent="0.3">
      <c r="A411" s="2">
        <v>786</v>
      </c>
      <c r="B411" s="41" t="s">
        <v>369</v>
      </c>
      <c r="C411" s="2">
        <v>2</v>
      </c>
      <c r="D411" s="2" t="s">
        <v>12</v>
      </c>
      <c r="E411" s="294">
        <v>77999.995500000005</v>
      </c>
      <c r="F411" s="296">
        <v>74766.666666666672</v>
      </c>
      <c r="G411" s="352">
        <v>5</v>
      </c>
      <c r="H411" s="296">
        <f t="shared" si="82"/>
        <v>389999.97750000004</v>
      </c>
      <c r="I411" s="122">
        <f t="shared" si="83"/>
        <v>373833.33333333337</v>
      </c>
      <c r="J411" s="331">
        <f t="shared" si="84"/>
        <v>-16166.644166666665</v>
      </c>
      <c r="K411" s="292">
        <f>'09-RESUMEN'!$F$43/1375</f>
        <v>81431.961035221175</v>
      </c>
      <c r="L411" s="122">
        <f>('ESTADO RESULTADOS'!$C$36+'ESTADO RESULTADOS'!$C$71)/1375</f>
        <v>24762.287272727273</v>
      </c>
      <c r="M411" s="122">
        <v>0</v>
      </c>
      <c r="N411" s="122">
        <f t="shared" si="80"/>
        <v>496194.2258079485</v>
      </c>
      <c r="O411" s="122">
        <f t="shared" si="81"/>
        <v>99238.845161589707</v>
      </c>
      <c r="P411" s="336">
        <f t="shared" si="85"/>
        <v>-122360.89247461513</v>
      </c>
      <c r="Q411" s="336">
        <f t="shared" si="86"/>
        <v>21238.849661589702</v>
      </c>
      <c r="R411" s="303">
        <f t="shared" si="87"/>
        <v>0.27229296008856435</v>
      </c>
    </row>
    <row r="412" spans="1:18" x14ac:dyDescent="0.3">
      <c r="A412" s="2">
        <v>787</v>
      </c>
      <c r="B412" s="41" t="s">
        <v>370</v>
      </c>
      <c r="C412" s="2">
        <v>10</v>
      </c>
      <c r="D412" s="2" t="s">
        <v>12</v>
      </c>
      <c r="E412" s="294">
        <v>8345.232</v>
      </c>
      <c r="F412" s="296">
        <v>9800</v>
      </c>
      <c r="G412" s="352">
        <v>24</v>
      </c>
      <c r="H412" s="296">
        <f t="shared" si="82"/>
        <v>200285.568</v>
      </c>
      <c r="I412" s="122">
        <f t="shared" si="83"/>
        <v>235200</v>
      </c>
      <c r="J412" s="331">
        <f t="shared" si="84"/>
        <v>34914.432000000001</v>
      </c>
      <c r="K412" s="292">
        <f>'09-RESUMEN'!$F$43/1375</f>
        <v>81431.961035221175</v>
      </c>
      <c r="L412" s="122">
        <f>('ESTADO RESULTADOS'!$C$36+'ESTADO RESULTADOS'!$C$71)/1375</f>
        <v>24762.287272727273</v>
      </c>
      <c r="M412" s="122">
        <v>0</v>
      </c>
      <c r="N412" s="122">
        <f t="shared" si="80"/>
        <v>306479.81630794849</v>
      </c>
      <c r="O412" s="122">
        <f t="shared" si="81"/>
        <v>12769.992346164521</v>
      </c>
      <c r="P412" s="336">
        <f t="shared" si="85"/>
        <v>-71279.816307948495</v>
      </c>
      <c r="Q412" s="336">
        <f t="shared" si="86"/>
        <v>4424.7603461645213</v>
      </c>
      <c r="R412" s="303">
        <f t="shared" si="87"/>
        <v>0.53021418052422287</v>
      </c>
    </row>
    <row r="413" spans="1:18" x14ac:dyDescent="0.3">
      <c r="A413" s="2">
        <v>788</v>
      </c>
      <c r="B413" s="41" t="s">
        <v>371</v>
      </c>
      <c r="C413" s="2">
        <v>2</v>
      </c>
      <c r="D413" s="2" t="s">
        <v>5</v>
      </c>
      <c r="E413" s="294">
        <v>12100.0005</v>
      </c>
      <c r="F413" s="296">
        <v>13383.333333333334</v>
      </c>
      <c r="G413" s="352">
        <v>3</v>
      </c>
      <c r="H413" s="296">
        <f t="shared" si="82"/>
        <v>36300.001499999998</v>
      </c>
      <c r="I413" s="122">
        <f t="shared" si="83"/>
        <v>40150</v>
      </c>
      <c r="J413" s="331">
        <f t="shared" si="84"/>
        <v>3849.9985000000015</v>
      </c>
      <c r="K413" s="292">
        <f>'09-RESUMEN'!$F$43/1375</f>
        <v>81431.961035221175</v>
      </c>
      <c r="L413" s="122">
        <f>('ESTADO RESULTADOS'!$C$36+'ESTADO RESULTADOS'!$C$71)/1375</f>
        <v>24762.287272727273</v>
      </c>
      <c r="M413" s="122">
        <v>0</v>
      </c>
      <c r="N413" s="122">
        <f t="shared" si="80"/>
        <v>142494.24980794845</v>
      </c>
      <c r="O413" s="122">
        <f t="shared" si="81"/>
        <v>47498.08326931615</v>
      </c>
      <c r="P413" s="336">
        <f t="shared" si="85"/>
        <v>-102344.24980794845</v>
      </c>
      <c r="Q413" s="336">
        <f t="shared" si="86"/>
        <v>35398.082769316148</v>
      </c>
      <c r="R413" s="303">
        <f t="shared" si="87"/>
        <v>2.9254612650070673</v>
      </c>
    </row>
    <row r="414" spans="1:18" x14ac:dyDescent="0.3">
      <c r="A414" s="2">
        <v>789</v>
      </c>
      <c r="B414" s="41" t="s">
        <v>372</v>
      </c>
      <c r="C414" s="2">
        <v>2</v>
      </c>
      <c r="D414" s="2" t="s">
        <v>5</v>
      </c>
      <c r="E414" s="294">
        <v>82100.004000000001</v>
      </c>
      <c r="F414" s="296">
        <v>88000</v>
      </c>
      <c r="G414" s="352">
        <v>3</v>
      </c>
      <c r="H414" s="296">
        <f t="shared" si="82"/>
        <v>246300.01199999999</v>
      </c>
      <c r="I414" s="122">
        <f t="shared" si="83"/>
        <v>264000</v>
      </c>
      <c r="J414" s="331">
        <f t="shared" si="84"/>
        <v>17699.988000000012</v>
      </c>
      <c r="K414" s="292">
        <f>'09-RESUMEN'!$F$43/1375</f>
        <v>81431.961035221175</v>
      </c>
      <c r="L414" s="122">
        <f>('ESTADO RESULTADOS'!$C$36+'ESTADO RESULTADOS'!$C$71)/1375</f>
        <v>24762.287272727273</v>
      </c>
      <c r="M414" s="122">
        <v>0</v>
      </c>
      <c r="N414" s="122">
        <f t="shared" si="80"/>
        <v>352494.26030794845</v>
      </c>
      <c r="O414" s="122">
        <f t="shared" si="81"/>
        <v>117498.08676931616</v>
      </c>
      <c r="P414" s="336">
        <f t="shared" si="85"/>
        <v>-88494.260307948454</v>
      </c>
      <c r="Q414" s="336">
        <f t="shared" si="86"/>
        <v>35398.082769316155</v>
      </c>
      <c r="R414" s="303">
        <f t="shared" si="87"/>
        <v>0.4311581126027248</v>
      </c>
    </row>
    <row r="415" spans="1:18" x14ac:dyDescent="0.3">
      <c r="A415" s="2">
        <v>790</v>
      </c>
      <c r="B415" s="41" t="s">
        <v>373</v>
      </c>
      <c r="C415" s="2">
        <v>2</v>
      </c>
      <c r="D415" s="2" t="s">
        <v>23</v>
      </c>
      <c r="E415" s="294">
        <v>3700.0005000000001</v>
      </c>
      <c r="F415" s="296">
        <v>4533.333333333333</v>
      </c>
      <c r="G415" s="352">
        <v>41</v>
      </c>
      <c r="H415" s="296">
        <f t="shared" si="82"/>
        <v>151700.02050000001</v>
      </c>
      <c r="I415" s="122">
        <f t="shared" si="83"/>
        <v>185866.66666666666</v>
      </c>
      <c r="J415" s="331">
        <f t="shared" si="84"/>
        <v>34166.646166666644</v>
      </c>
      <c r="K415" s="292">
        <f>'09-RESUMEN'!$F$43/1375</f>
        <v>81431.961035221175</v>
      </c>
      <c r="L415" s="122">
        <f>('ESTADO RESULTADOS'!$C$36+'ESTADO RESULTADOS'!$C$71)/1375</f>
        <v>24762.287272727273</v>
      </c>
      <c r="M415" s="122">
        <v>0</v>
      </c>
      <c r="N415" s="122">
        <f t="shared" si="80"/>
        <v>257894.26880794845</v>
      </c>
      <c r="O415" s="122">
        <f t="shared" si="81"/>
        <v>6290.1041172670357</v>
      </c>
      <c r="P415" s="336">
        <f t="shared" si="85"/>
        <v>-72027.602141281794</v>
      </c>
      <c r="Q415" s="336">
        <f t="shared" si="86"/>
        <v>2590.1036172670356</v>
      </c>
      <c r="R415" s="303">
        <f t="shared" si="87"/>
        <v>0.70002791006840015</v>
      </c>
    </row>
    <row r="416" spans="1:18" x14ac:dyDescent="0.3">
      <c r="A416" s="2">
        <v>791</v>
      </c>
      <c r="B416" s="41" t="s">
        <v>374</v>
      </c>
      <c r="C416" s="2">
        <v>2</v>
      </c>
      <c r="D416" s="2" t="s">
        <v>5</v>
      </c>
      <c r="E416" s="294">
        <v>72899.998500000002</v>
      </c>
      <c r="F416" s="296">
        <v>82000</v>
      </c>
      <c r="G416" s="352">
        <v>2</v>
      </c>
      <c r="H416" s="296">
        <f t="shared" si="82"/>
        <v>145799.997</v>
      </c>
      <c r="I416" s="122">
        <f t="shared" si="83"/>
        <v>164000</v>
      </c>
      <c r="J416" s="331">
        <f t="shared" si="84"/>
        <v>18200.002999999997</v>
      </c>
      <c r="K416" s="292">
        <f>'09-RESUMEN'!$F$43/1375</f>
        <v>81431.961035221175</v>
      </c>
      <c r="L416" s="122">
        <f>('ESTADO RESULTADOS'!$C$36+'ESTADO RESULTADOS'!$C$71)/1375</f>
        <v>24762.287272727273</v>
      </c>
      <c r="M416" s="122">
        <v>0</v>
      </c>
      <c r="N416" s="122">
        <f t="shared" si="80"/>
        <v>251994.24530794844</v>
      </c>
      <c r="O416" s="122">
        <f t="shared" si="81"/>
        <v>125997.12265397422</v>
      </c>
      <c r="P416" s="336">
        <f t="shared" si="85"/>
        <v>-87994.24530794844</v>
      </c>
      <c r="Q416" s="336">
        <f t="shared" si="86"/>
        <v>53097.124153974219</v>
      </c>
      <c r="R416" s="303">
        <f t="shared" si="87"/>
        <v>0.72835562752411054</v>
      </c>
    </row>
    <row r="417" spans="1:18" x14ac:dyDescent="0.3">
      <c r="A417" s="2">
        <v>796</v>
      </c>
      <c r="B417" s="41" t="s">
        <v>375</v>
      </c>
      <c r="C417" s="2">
        <v>2</v>
      </c>
      <c r="D417" s="2" t="s">
        <v>5</v>
      </c>
      <c r="E417" s="294">
        <v>3942.4690999999998</v>
      </c>
      <c r="F417" s="296">
        <v>4450</v>
      </c>
      <c r="G417" s="352">
        <v>269</v>
      </c>
      <c r="H417" s="296">
        <f t="shared" si="82"/>
        <v>1060524.1879</v>
      </c>
      <c r="I417" s="122">
        <f t="shared" si="83"/>
        <v>1197050</v>
      </c>
      <c r="J417" s="331">
        <f t="shared" si="84"/>
        <v>136525.81209999998</v>
      </c>
      <c r="K417" s="292">
        <f>'09-RESUMEN'!$F$43/1375</f>
        <v>81431.961035221175</v>
      </c>
      <c r="L417" s="122">
        <f>('ESTADO RESULTADOS'!$C$36+'ESTADO RESULTADOS'!$C$71)/1375</f>
        <v>24762.287272727273</v>
      </c>
      <c r="M417" s="122">
        <v>0</v>
      </c>
      <c r="N417" s="122">
        <f t="shared" si="80"/>
        <v>1166718.4362079485</v>
      </c>
      <c r="O417" s="122">
        <f t="shared" si="81"/>
        <v>4337.2432572786192</v>
      </c>
      <c r="P417" s="336">
        <f t="shared" si="85"/>
        <v>30331.563792051515</v>
      </c>
      <c r="Q417" s="336">
        <f t="shared" si="86"/>
        <v>394.77415727861944</v>
      </c>
      <c r="R417" s="303">
        <f t="shared" si="87"/>
        <v>0.10013373529766396</v>
      </c>
    </row>
    <row r="418" spans="1:18" x14ac:dyDescent="0.3">
      <c r="A418" s="2">
        <v>797</v>
      </c>
      <c r="B418" s="41" t="s">
        <v>1667</v>
      </c>
      <c r="C418" s="2">
        <v>2</v>
      </c>
      <c r="D418" s="2" t="s">
        <v>1668</v>
      </c>
      <c r="E418" s="294">
        <v>54225.097500000003</v>
      </c>
      <c r="F418" s="296">
        <v>59633.333333333336</v>
      </c>
      <c r="G418" s="352">
        <v>41</v>
      </c>
      <c r="H418" s="296">
        <f t="shared" si="82"/>
        <v>2223228.9975000001</v>
      </c>
      <c r="I418" s="122">
        <f t="shared" si="83"/>
        <v>2444966.666666667</v>
      </c>
      <c r="J418" s="331">
        <f t="shared" si="84"/>
        <v>221737.66916666692</v>
      </c>
      <c r="K418" s="292">
        <f>'09-RESUMEN'!$F$43/1375</f>
        <v>81431.961035221175</v>
      </c>
      <c r="L418" s="122">
        <f>('ESTADO RESULTADOS'!$C$36+'ESTADO RESULTADOS'!$C$71)/1375</f>
        <v>24762.287272727273</v>
      </c>
      <c r="M418" s="122">
        <v>0</v>
      </c>
      <c r="N418" s="122">
        <f t="shared" si="80"/>
        <v>2329423.2458079485</v>
      </c>
      <c r="O418" s="122">
        <f t="shared" si="81"/>
        <v>56815.201117267039</v>
      </c>
      <c r="P418" s="336">
        <f t="shared" si="85"/>
        <v>115543.42085871845</v>
      </c>
      <c r="Q418" s="336">
        <f t="shared" si="86"/>
        <v>2590.1036172670356</v>
      </c>
      <c r="R418" s="303">
        <f t="shared" si="87"/>
        <v>4.7765771509530902E-2</v>
      </c>
    </row>
    <row r="419" spans="1:18" x14ac:dyDescent="0.3">
      <c r="A419" s="2">
        <v>798</v>
      </c>
      <c r="B419" s="41" t="s">
        <v>376</v>
      </c>
      <c r="C419" s="2">
        <v>2</v>
      </c>
      <c r="D419" s="2" t="s">
        <v>5</v>
      </c>
      <c r="E419" s="294">
        <v>70964.145000000004</v>
      </c>
      <c r="F419" s="296">
        <v>80066.666666666672</v>
      </c>
      <c r="G419" s="352">
        <v>43</v>
      </c>
      <c r="H419" s="296">
        <f t="shared" si="82"/>
        <v>3051458.2350000003</v>
      </c>
      <c r="I419" s="122">
        <f t="shared" si="83"/>
        <v>3442866.666666667</v>
      </c>
      <c r="J419" s="331">
        <f t="shared" si="84"/>
        <v>391408.43166666664</v>
      </c>
      <c r="K419" s="292">
        <f>'09-RESUMEN'!$F$43/1375</f>
        <v>81431.961035221175</v>
      </c>
      <c r="L419" s="122">
        <f>('ESTADO RESULTADOS'!$C$36+'ESTADO RESULTADOS'!$C$71)/1375</f>
        <v>24762.287272727273</v>
      </c>
      <c r="M419" s="122">
        <v>0</v>
      </c>
      <c r="N419" s="122">
        <f t="shared" si="80"/>
        <v>3157652.4833079488</v>
      </c>
      <c r="O419" s="122">
        <f t="shared" si="81"/>
        <v>73433.77868158021</v>
      </c>
      <c r="P419" s="336">
        <f t="shared" si="85"/>
        <v>285214.18335871818</v>
      </c>
      <c r="Q419" s="336">
        <f t="shared" si="86"/>
        <v>2469.633681580206</v>
      </c>
      <c r="R419" s="303">
        <f t="shared" si="87"/>
        <v>3.4801147559520455E-2</v>
      </c>
    </row>
    <row r="420" spans="1:18" x14ac:dyDescent="0.3">
      <c r="A420" s="2">
        <v>800</v>
      </c>
      <c r="B420" s="41" t="s">
        <v>1669</v>
      </c>
      <c r="C420" s="2">
        <v>2</v>
      </c>
      <c r="D420" s="2" t="s">
        <v>237</v>
      </c>
      <c r="E420" s="294">
        <v>86658.6</v>
      </c>
      <c r="F420" s="296">
        <v>95200</v>
      </c>
      <c r="G420" s="352">
        <v>2</v>
      </c>
      <c r="H420" s="296">
        <f t="shared" si="82"/>
        <v>173317.2</v>
      </c>
      <c r="I420" s="122">
        <f t="shared" si="83"/>
        <v>190400</v>
      </c>
      <c r="J420" s="331">
        <f t="shared" si="84"/>
        <v>17082.799999999988</v>
      </c>
      <c r="K420" s="292">
        <f>'09-RESUMEN'!$F$43/1375</f>
        <v>81431.961035221175</v>
      </c>
      <c r="L420" s="122">
        <f>('ESTADO RESULTADOS'!$C$36+'ESTADO RESULTADOS'!$C$71)/1375</f>
        <v>24762.287272727273</v>
      </c>
      <c r="M420" s="122">
        <v>0</v>
      </c>
      <c r="N420" s="122">
        <f t="shared" si="80"/>
        <v>279511.44830794848</v>
      </c>
      <c r="O420" s="122">
        <f t="shared" si="81"/>
        <v>139755.72415397424</v>
      </c>
      <c r="P420" s="336">
        <f t="shared" si="85"/>
        <v>-89111.448307948478</v>
      </c>
      <c r="Q420" s="336">
        <f t="shared" si="86"/>
        <v>53097.124153974233</v>
      </c>
      <c r="R420" s="303">
        <f t="shared" si="87"/>
        <v>0.61271615458793738</v>
      </c>
    </row>
    <row r="421" spans="1:18" x14ac:dyDescent="0.3">
      <c r="A421" s="2">
        <v>803</v>
      </c>
      <c r="B421" s="41" t="s">
        <v>377</v>
      </c>
      <c r="C421" s="2">
        <v>6</v>
      </c>
      <c r="D421" s="2" t="s">
        <v>176</v>
      </c>
      <c r="E421" s="294">
        <v>35600</v>
      </c>
      <c r="F421" s="296">
        <v>40583.333333333336</v>
      </c>
      <c r="G421" s="352">
        <v>8</v>
      </c>
      <c r="H421" s="296">
        <f t="shared" si="82"/>
        <v>284800</v>
      </c>
      <c r="I421" s="122">
        <f t="shared" si="83"/>
        <v>324666.66666666669</v>
      </c>
      <c r="J421" s="331">
        <f t="shared" si="84"/>
        <v>39866.666666666686</v>
      </c>
      <c r="K421" s="292">
        <f>'09-RESUMEN'!$F$43/1375</f>
        <v>81431.961035221175</v>
      </c>
      <c r="L421" s="122">
        <f>('ESTADO RESULTADOS'!$C$36+'ESTADO RESULTADOS'!$C$71)/1375</f>
        <v>24762.287272727273</v>
      </c>
      <c r="M421" s="122">
        <v>0</v>
      </c>
      <c r="N421" s="122">
        <f t="shared" si="80"/>
        <v>390994.24830794847</v>
      </c>
      <c r="O421" s="122">
        <f t="shared" si="81"/>
        <v>48874.281038493558</v>
      </c>
      <c r="P421" s="336">
        <f t="shared" si="85"/>
        <v>-66327.58164128178</v>
      </c>
      <c r="Q421" s="336">
        <f t="shared" si="86"/>
        <v>13274.281038493558</v>
      </c>
      <c r="R421" s="303">
        <f t="shared" si="87"/>
        <v>0.37287306287903255</v>
      </c>
    </row>
    <row r="422" spans="1:18" x14ac:dyDescent="0.3">
      <c r="A422" s="2">
        <v>805</v>
      </c>
      <c r="B422" s="41" t="s">
        <v>378</v>
      </c>
      <c r="C422" s="2">
        <v>4</v>
      </c>
      <c r="D422" s="2" t="s">
        <v>176</v>
      </c>
      <c r="E422" s="294">
        <v>35200</v>
      </c>
      <c r="F422" s="296">
        <v>40500</v>
      </c>
      <c r="G422" s="352">
        <v>9</v>
      </c>
      <c r="H422" s="296">
        <f t="shared" si="82"/>
        <v>316800</v>
      </c>
      <c r="I422" s="122">
        <f t="shared" si="83"/>
        <v>364500</v>
      </c>
      <c r="J422" s="331">
        <f t="shared" si="84"/>
        <v>47700</v>
      </c>
      <c r="K422" s="292">
        <f>'09-RESUMEN'!$F$43/1375</f>
        <v>81431.961035221175</v>
      </c>
      <c r="L422" s="122">
        <f>('ESTADO RESULTADOS'!$C$36+'ESTADO RESULTADOS'!$C$71)/1375</f>
        <v>24762.287272727273</v>
      </c>
      <c r="M422" s="122">
        <v>0</v>
      </c>
      <c r="N422" s="122">
        <f t="shared" si="80"/>
        <v>422994.24830794847</v>
      </c>
      <c r="O422" s="122">
        <f t="shared" si="81"/>
        <v>46999.360923105385</v>
      </c>
      <c r="P422" s="336">
        <f t="shared" si="85"/>
        <v>-58494.248307948466</v>
      </c>
      <c r="Q422" s="336">
        <f t="shared" si="86"/>
        <v>11799.360923105385</v>
      </c>
      <c r="R422" s="303">
        <f t="shared" si="87"/>
        <v>0.33520911713367574</v>
      </c>
    </row>
    <row r="423" spans="1:18" x14ac:dyDescent="0.3">
      <c r="A423" s="2">
        <v>806</v>
      </c>
      <c r="B423" s="41" t="s">
        <v>379</v>
      </c>
      <c r="C423" s="2">
        <v>2</v>
      </c>
      <c r="D423" s="2" t="s">
        <v>35</v>
      </c>
      <c r="E423" s="294">
        <v>3450</v>
      </c>
      <c r="F423" s="296">
        <v>3833.3333333333335</v>
      </c>
      <c r="G423" s="352">
        <v>368</v>
      </c>
      <c r="H423" s="296">
        <f t="shared" si="82"/>
        <v>1269600</v>
      </c>
      <c r="I423" s="122">
        <f t="shared" si="83"/>
        <v>1410666.6666666667</v>
      </c>
      <c r="J423" s="331">
        <f t="shared" si="84"/>
        <v>141066.66666666674</v>
      </c>
      <c r="K423" s="292">
        <f>'09-RESUMEN'!$F$43/1375</f>
        <v>81431.961035221175</v>
      </c>
      <c r="L423" s="122">
        <f>('ESTADO RESULTADOS'!$C$36+'ESTADO RESULTADOS'!$C$71)/1375</f>
        <v>24762.287272727273</v>
      </c>
      <c r="M423" s="122">
        <v>0</v>
      </c>
      <c r="N423" s="122">
        <f t="shared" si="80"/>
        <v>1375794.2483079485</v>
      </c>
      <c r="O423" s="122">
        <f t="shared" si="81"/>
        <v>3738.5713269237731</v>
      </c>
      <c r="P423" s="336">
        <f t="shared" si="85"/>
        <v>34872.418358718278</v>
      </c>
      <c r="Q423" s="336">
        <f t="shared" si="86"/>
        <v>288.57132692377309</v>
      </c>
      <c r="R423" s="303">
        <f t="shared" si="87"/>
        <v>8.3643862876455963E-2</v>
      </c>
    </row>
    <row r="424" spans="1:18" x14ac:dyDescent="0.3">
      <c r="A424" s="2">
        <v>811</v>
      </c>
      <c r="B424" s="41" t="s">
        <v>1670</v>
      </c>
      <c r="C424" s="2">
        <v>5</v>
      </c>
      <c r="D424" s="2" t="s">
        <v>16</v>
      </c>
      <c r="E424" s="294">
        <v>35200</v>
      </c>
      <c r="F424" s="296">
        <v>41000</v>
      </c>
      <c r="G424" s="352">
        <v>0</v>
      </c>
      <c r="H424" s="296">
        <f t="shared" si="82"/>
        <v>0</v>
      </c>
      <c r="I424" s="122">
        <f t="shared" si="83"/>
        <v>0</v>
      </c>
      <c r="J424" s="331">
        <f t="shared" si="84"/>
        <v>0</v>
      </c>
      <c r="K424" s="292">
        <f>'09-RESUMEN'!$F$43/1375</f>
        <v>81431.961035221175</v>
      </c>
      <c r="L424" s="122">
        <f>('ESTADO RESULTADOS'!$C$36+'ESTADO RESULTADOS'!$C$71)/1375</f>
        <v>24762.287272727273</v>
      </c>
      <c r="M424" s="122">
        <v>0</v>
      </c>
      <c r="N424" s="122">
        <f>SUM(E424+K424+L424+M424)</f>
        <v>141394.24830794844</v>
      </c>
      <c r="O424" s="122">
        <f>N424</f>
        <v>141394.24830794844</v>
      </c>
      <c r="P424" s="336">
        <f t="shared" si="85"/>
        <v>-141394.24830794844</v>
      </c>
      <c r="Q424" s="336">
        <f t="shared" si="86"/>
        <v>106194.24830794844</v>
      </c>
      <c r="R424" s="303">
        <f t="shared" si="87"/>
        <v>3.0168820542030805</v>
      </c>
    </row>
    <row r="425" spans="1:18" x14ac:dyDescent="0.3">
      <c r="A425" s="2">
        <v>816</v>
      </c>
      <c r="B425" s="41" t="s">
        <v>1671</v>
      </c>
      <c r="C425" s="2">
        <v>16</v>
      </c>
      <c r="D425" s="2" t="s">
        <v>12</v>
      </c>
      <c r="E425" s="294">
        <v>1606.5</v>
      </c>
      <c r="F425" s="296">
        <v>2000</v>
      </c>
      <c r="G425" s="352">
        <v>0</v>
      </c>
      <c r="H425" s="296">
        <f t="shared" si="82"/>
        <v>0</v>
      </c>
      <c r="I425" s="122">
        <f t="shared" si="83"/>
        <v>0</v>
      </c>
      <c r="J425" s="331">
        <f t="shared" si="84"/>
        <v>0</v>
      </c>
      <c r="K425" s="292">
        <f>'09-RESUMEN'!$F$43/1375</f>
        <v>81431.961035221175</v>
      </c>
      <c r="L425" s="122">
        <f>('ESTADO RESULTADOS'!$C$36+'ESTADO RESULTADOS'!$C$71)/1375</f>
        <v>24762.287272727273</v>
      </c>
      <c r="M425" s="122">
        <v>0</v>
      </c>
      <c r="N425" s="122">
        <f>SUM(E425+K425+L425+M425)</f>
        <v>107800.74830794845</v>
      </c>
      <c r="O425" s="122">
        <f>N425</f>
        <v>107800.74830794845</v>
      </c>
      <c r="P425" s="336">
        <f t="shared" si="85"/>
        <v>-107800.74830794845</v>
      </c>
      <c r="Q425" s="336">
        <f t="shared" si="86"/>
        <v>106194.24830794845</v>
      </c>
      <c r="R425" s="303">
        <f t="shared" si="87"/>
        <v>66.102862314315871</v>
      </c>
    </row>
    <row r="426" spans="1:18" x14ac:dyDescent="0.3">
      <c r="A426" s="2">
        <v>825</v>
      </c>
      <c r="B426" s="41" t="s">
        <v>380</v>
      </c>
      <c r="C426" s="2">
        <v>14</v>
      </c>
      <c r="D426" s="2" t="s">
        <v>12</v>
      </c>
      <c r="E426" s="294">
        <v>15377</v>
      </c>
      <c r="F426" s="296">
        <v>19000</v>
      </c>
      <c r="G426" s="352">
        <v>5</v>
      </c>
      <c r="H426" s="296">
        <f t="shared" si="82"/>
        <v>76885</v>
      </c>
      <c r="I426" s="122">
        <f t="shared" si="83"/>
        <v>95000</v>
      </c>
      <c r="J426" s="331">
        <f t="shared" si="84"/>
        <v>18115</v>
      </c>
      <c r="K426" s="292">
        <f>'09-RESUMEN'!$F$43/1375</f>
        <v>81431.961035221175</v>
      </c>
      <c r="L426" s="122">
        <f>('ESTADO RESULTADOS'!$C$36+'ESTADO RESULTADOS'!$C$71)/1375</f>
        <v>24762.287272727273</v>
      </c>
      <c r="M426" s="122">
        <v>0</v>
      </c>
      <c r="N426" s="122">
        <f t="shared" ref="N426:N457" si="88">SUM(H426+K426+L426+M426)</f>
        <v>183079.24830794844</v>
      </c>
      <c r="O426" s="122">
        <f t="shared" ref="O426:O457" si="89">N426/G426</f>
        <v>36615.849661589687</v>
      </c>
      <c r="P426" s="336">
        <f t="shared" si="85"/>
        <v>-88079.248307948437</v>
      </c>
      <c r="Q426" s="336">
        <f t="shared" si="86"/>
        <v>21238.849661589687</v>
      </c>
      <c r="R426" s="303">
        <f t="shared" si="87"/>
        <v>1.3812089264219085</v>
      </c>
    </row>
    <row r="427" spans="1:18" x14ac:dyDescent="0.3">
      <c r="A427" s="2">
        <v>827</v>
      </c>
      <c r="B427" s="41" t="s">
        <v>381</v>
      </c>
      <c r="C427" s="2">
        <v>4</v>
      </c>
      <c r="D427" s="2" t="s">
        <v>12</v>
      </c>
      <c r="E427" s="294">
        <v>47525</v>
      </c>
      <c r="F427" s="296">
        <v>54333.333333333336</v>
      </c>
      <c r="G427" s="352">
        <v>5</v>
      </c>
      <c r="H427" s="296">
        <f t="shared" si="82"/>
        <v>237625</v>
      </c>
      <c r="I427" s="122">
        <f t="shared" si="83"/>
        <v>271666.66666666669</v>
      </c>
      <c r="J427" s="331">
        <f t="shared" si="84"/>
        <v>34041.666666666686</v>
      </c>
      <c r="K427" s="292">
        <f>'09-RESUMEN'!$F$43/1375</f>
        <v>81431.961035221175</v>
      </c>
      <c r="L427" s="122">
        <f>('ESTADO RESULTADOS'!$C$36+'ESTADO RESULTADOS'!$C$71)/1375</f>
        <v>24762.287272727273</v>
      </c>
      <c r="M427" s="122">
        <v>0</v>
      </c>
      <c r="N427" s="122">
        <f t="shared" si="88"/>
        <v>343819.24830794847</v>
      </c>
      <c r="O427" s="122">
        <f t="shared" si="89"/>
        <v>68763.849661589687</v>
      </c>
      <c r="P427" s="336">
        <f t="shared" si="85"/>
        <v>-72152.58164128178</v>
      </c>
      <c r="Q427" s="336">
        <f t="shared" si="86"/>
        <v>21238.849661589687</v>
      </c>
      <c r="R427" s="303">
        <f t="shared" si="87"/>
        <v>0.44689846736643213</v>
      </c>
    </row>
    <row r="428" spans="1:18" x14ac:dyDescent="0.3">
      <c r="A428" s="2">
        <v>832</v>
      </c>
      <c r="B428" s="41" t="s">
        <v>1672</v>
      </c>
      <c r="C428" s="2">
        <v>8</v>
      </c>
      <c r="D428" s="2" t="s">
        <v>16</v>
      </c>
      <c r="E428" s="294">
        <v>395000</v>
      </c>
      <c r="F428" s="296">
        <v>490000</v>
      </c>
      <c r="G428" s="352">
        <v>4</v>
      </c>
      <c r="H428" s="296">
        <f t="shared" si="82"/>
        <v>1580000</v>
      </c>
      <c r="I428" s="122">
        <f t="shared" si="83"/>
        <v>1960000</v>
      </c>
      <c r="J428" s="331">
        <f t="shared" si="84"/>
        <v>380000</v>
      </c>
      <c r="K428" s="292">
        <f>'09-RESUMEN'!$F$43/1375</f>
        <v>81431.961035221175</v>
      </c>
      <c r="L428" s="122">
        <f>('ESTADO RESULTADOS'!$C$36+'ESTADO RESULTADOS'!$C$71)/1375</f>
        <v>24762.287272727273</v>
      </c>
      <c r="M428" s="122">
        <v>0</v>
      </c>
      <c r="N428" s="122">
        <f t="shared" si="88"/>
        <v>1686194.2483079485</v>
      </c>
      <c r="O428" s="122">
        <f t="shared" si="89"/>
        <v>421548.56207698712</v>
      </c>
      <c r="P428" s="336">
        <f t="shared" si="85"/>
        <v>273805.75169205153</v>
      </c>
      <c r="Q428" s="336">
        <f t="shared" si="86"/>
        <v>26548.562076987117</v>
      </c>
      <c r="R428" s="303">
        <f t="shared" si="87"/>
        <v>6.7211549561992698E-2</v>
      </c>
    </row>
    <row r="429" spans="1:18" x14ac:dyDescent="0.3">
      <c r="A429" s="2">
        <v>834</v>
      </c>
      <c r="B429" s="41" t="s">
        <v>382</v>
      </c>
      <c r="C429" s="2">
        <v>14</v>
      </c>
      <c r="D429" s="2" t="s">
        <v>12</v>
      </c>
      <c r="E429" s="294">
        <v>46373</v>
      </c>
      <c r="F429" s="296">
        <v>56300</v>
      </c>
      <c r="G429" s="352">
        <v>5</v>
      </c>
      <c r="H429" s="296">
        <f t="shared" si="82"/>
        <v>231865</v>
      </c>
      <c r="I429" s="122">
        <f t="shared" si="83"/>
        <v>281500</v>
      </c>
      <c r="J429" s="331">
        <f t="shared" si="84"/>
        <v>49635</v>
      </c>
      <c r="K429" s="292">
        <f>'09-RESUMEN'!$F$43/1375</f>
        <v>81431.961035221175</v>
      </c>
      <c r="L429" s="122">
        <f>('ESTADO RESULTADOS'!$C$36+'ESTADO RESULTADOS'!$C$71)/1375</f>
        <v>24762.287272727273</v>
      </c>
      <c r="M429" s="122">
        <v>0</v>
      </c>
      <c r="N429" s="122">
        <f t="shared" si="88"/>
        <v>338059.24830794847</v>
      </c>
      <c r="O429" s="122">
        <f t="shared" si="89"/>
        <v>67611.849661589687</v>
      </c>
      <c r="P429" s="336">
        <f t="shared" si="85"/>
        <v>-56559.248307948466</v>
      </c>
      <c r="Q429" s="336">
        <f t="shared" si="86"/>
        <v>21238.849661589687</v>
      </c>
      <c r="R429" s="303">
        <f t="shared" si="87"/>
        <v>0.45800033773078491</v>
      </c>
    </row>
    <row r="430" spans="1:18" x14ac:dyDescent="0.3">
      <c r="A430" s="2">
        <v>835</v>
      </c>
      <c r="B430" s="41" t="s">
        <v>383</v>
      </c>
      <c r="C430" s="2">
        <v>14</v>
      </c>
      <c r="D430" s="2" t="s">
        <v>16</v>
      </c>
      <c r="E430" s="294">
        <v>31800</v>
      </c>
      <c r="F430" s="296">
        <v>39900</v>
      </c>
      <c r="G430" s="352">
        <v>3</v>
      </c>
      <c r="H430" s="296">
        <f t="shared" si="82"/>
        <v>95400</v>
      </c>
      <c r="I430" s="122">
        <f t="shared" si="83"/>
        <v>119700</v>
      </c>
      <c r="J430" s="331">
        <f t="shared" si="84"/>
        <v>24300</v>
      </c>
      <c r="K430" s="292">
        <f>'09-RESUMEN'!$F$43/1375</f>
        <v>81431.961035221175</v>
      </c>
      <c r="L430" s="122">
        <f>('ESTADO RESULTADOS'!$C$36+'ESTADO RESULTADOS'!$C$71)/1375</f>
        <v>24762.287272727273</v>
      </c>
      <c r="M430" s="122">
        <v>0</v>
      </c>
      <c r="N430" s="122">
        <f t="shared" si="88"/>
        <v>201594.24830794844</v>
      </c>
      <c r="O430" s="122">
        <f t="shared" si="89"/>
        <v>67198.082769316141</v>
      </c>
      <c r="P430" s="336">
        <f t="shared" si="85"/>
        <v>-81894.248307948437</v>
      </c>
      <c r="Q430" s="336">
        <f t="shared" si="86"/>
        <v>35398.082769316141</v>
      </c>
      <c r="R430" s="303">
        <f t="shared" si="87"/>
        <v>1.113147256896734</v>
      </c>
    </row>
    <row r="431" spans="1:18" x14ac:dyDescent="0.3">
      <c r="A431" s="2">
        <v>836</v>
      </c>
      <c r="B431" s="41" t="s">
        <v>384</v>
      </c>
      <c r="C431" s="2">
        <v>14</v>
      </c>
      <c r="D431" s="2" t="s">
        <v>5</v>
      </c>
      <c r="E431" s="294">
        <v>25067.7</v>
      </c>
      <c r="F431" s="296">
        <v>28800</v>
      </c>
      <c r="G431" s="352">
        <v>9</v>
      </c>
      <c r="H431" s="296">
        <f t="shared" si="82"/>
        <v>225609.30000000002</v>
      </c>
      <c r="I431" s="122">
        <f t="shared" si="83"/>
        <v>259200</v>
      </c>
      <c r="J431" s="331">
        <f t="shared" si="84"/>
        <v>33590.699999999983</v>
      </c>
      <c r="K431" s="292">
        <f>'09-RESUMEN'!$F$43/1375</f>
        <v>81431.961035221175</v>
      </c>
      <c r="L431" s="122">
        <f>('ESTADO RESULTADOS'!$C$36+'ESTADO RESULTADOS'!$C$71)/1375</f>
        <v>24762.287272727273</v>
      </c>
      <c r="M431" s="122">
        <v>0</v>
      </c>
      <c r="N431" s="122">
        <f t="shared" si="88"/>
        <v>331803.54830794845</v>
      </c>
      <c r="O431" s="122">
        <f t="shared" si="89"/>
        <v>36867.060923105382</v>
      </c>
      <c r="P431" s="336">
        <f t="shared" si="85"/>
        <v>-72603.548307948455</v>
      </c>
      <c r="Q431" s="336">
        <f t="shared" si="86"/>
        <v>11799.360923105382</v>
      </c>
      <c r="R431" s="303">
        <f t="shared" si="87"/>
        <v>0.47069978191479001</v>
      </c>
    </row>
    <row r="432" spans="1:18" x14ac:dyDescent="0.3">
      <c r="A432" s="2">
        <v>839</v>
      </c>
      <c r="B432" s="41" t="s">
        <v>385</v>
      </c>
      <c r="C432" s="2">
        <v>14</v>
      </c>
      <c r="D432" s="2" t="s">
        <v>12</v>
      </c>
      <c r="E432" s="294">
        <v>393.29169999999999</v>
      </c>
      <c r="F432" s="296">
        <v>500</v>
      </c>
      <c r="G432" s="352">
        <v>59</v>
      </c>
      <c r="H432" s="296">
        <f t="shared" si="82"/>
        <v>23204.210299999999</v>
      </c>
      <c r="I432" s="122">
        <f t="shared" si="83"/>
        <v>29500</v>
      </c>
      <c r="J432" s="331">
        <f t="shared" si="84"/>
        <v>6295.7897000000012</v>
      </c>
      <c r="K432" s="292">
        <f>'09-RESUMEN'!$F$43/1375</f>
        <v>81431.961035221175</v>
      </c>
      <c r="L432" s="122">
        <f>('ESTADO RESULTADOS'!$C$36+'ESTADO RESULTADOS'!$C$71)/1375</f>
        <v>24762.287272727273</v>
      </c>
      <c r="M432" s="122">
        <v>0</v>
      </c>
      <c r="N432" s="122">
        <f t="shared" si="88"/>
        <v>129398.45860794846</v>
      </c>
      <c r="O432" s="122">
        <f t="shared" si="89"/>
        <v>2193.1942136940415</v>
      </c>
      <c r="P432" s="336">
        <f t="shared" si="85"/>
        <v>-99898.458607948458</v>
      </c>
      <c r="Q432" s="336">
        <f t="shared" si="86"/>
        <v>1799.9025136940415</v>
      </c>
      <c r="R432" s="303">
        <f t="shared" si="87"/>
        <v>4.5765077516104249</v>
      </c>
    </row>
    <row r="433" spans="1:18" x14ac:dyDescent="0.3">
      <c r="A433" s="2">
        <v>841</v>
      </c>
      <c r="B433" s="41" t="s">
        <v>386</v>
      </c>
      <c r="C433" s="2">
        <v>6</v>
      </c>
      <c r="D433" s="2" t="s">
        <v>32</v>
      </c>
      <c r="E433" s="294">
        <v>98194</v>
      </c>
      <c r="F433" s="296">
        <v>112300</v>
      </c>
      <c r="G433" s="352">
        <v>4</v>
      </c>
      <c r="H433" s="296">
        <f t="shared" si="82"/>
        <v>392776</v>
      </c>
      <c r="I433" s="122">
        <f t="shared" si="83"/>
        <v>449200</v>
      </c>
      <c r="J433" s="331">
        <f t="shared" si="84"/>
        <v>56424</v>
      </c>
      <c r="K433" s="292">
        <f>'09-RESUMEN'!$F$43/1375</f>
        <v>81431.961035221175</v>
      </c>
      <c r="L433" s="122">
        <f>('ESTADO RESULTADOS'!$C$36+'ESTADO RESULTADOS'!$C$71)/1375</f>
        <v>24762.287272727273</v>
      </c>
      <c r="M433" s="122">
        <v>0</v>
      </c>
      <c r="N433" s="122">
        <f t="shared" si="88"/>
        <v>498970.24830794847</v>
      </c>
      <c r="O433" s="122">
        <f t="shared" si="89"/>
        <v>124742.56207698712</v>
      </c>
      <c r="P433" s="336">
        <f t="shared" si="85"/>
        <v>-49770.248307948466</v>
      </c>
      <c r="Q433" s="336">
        <f t="shared" si="86"/>
        <v>26548.562076987117</v>
      </c>
      <c r="R433" s="303">
        <f t="shared" si="87"/>
        <v>0.27036847543624981</v>
      </c>
    </row>
    <row r="434" spans="1:18" x14ac:dyDescent="0.3">
      <c r="A434" s="2">
        <v>842</v>
      </c>
      <c r="B434" s="41" t="s">
        <v>1673</v>
      </c>
      <c r="C434" s="2">
        <v>14</v>
      </c>
      <c r="D434" s="2" t="s">
        <v>23</v>
      </c>
      <c r="E434" s="294">
        <v>20223</v>
      </c>
      <c r="F434" s="296">
        <v>24500</v>
      </c>
      <c r="G434" s="352">
        <v>2</v>
      </c>
      <c r="H434" s="296">
        <f t="shared" si="82"/>
        <v>40446</v>
      </c>
      <c r="I434" s="122">
        <f t="shared" si="83"/>
        <v>49000</v>
      </c>
      <c r="J434" s="331">
        <f t="shared" si="84"/>
        <v>8554</v>
      </c>
      <c r="K434" s="292">
        <f>'09-RESUMEN'!$F$43/1375</f>
        <v>81431.961035221175</v>
      </c>
      <c r="L434" s="122">
        <f>('ESTADO RESULTADOS'!$C$36+'ESTADO RESULTADOS'!$C$71)/1375</f>
        <v>24762.287272727273</v>
      </c>
      <c r="M434" s="122">
        <v>0</v>
      </c>
      <c r="N434" s="122">
        <f t="shared" si="88"/>
        <v>146640.24830794844</v>
      </c>
      <c r="O434" s="122">
        <f t="shared" si="89"/>
        <v>73320.124153974219</v>
      </c>
      <c r="P434" s="336">
        <f t="shared" si="85"/>
        <v>-97640.248307948437</v>
      </c>
      <c r="Q434" s="336">
        <f t="shared" si="86"/>
        <v>53097.124153974219</v>
      </c>
      <c r="R434" s="303">
        <f t="shared" si="87"/>
        <v>2.6255809797742282</v>
      </c>
    </row>
    <row r="435" spans="1:18" x14ac:dyDescent="0.3">
      <c r="A435" s="2">
        <v>843</v>
      </c>
      <c r="B435" s="41" t="s">
        <v>387</v>
      </c>
      <c r="C435" s="2">
        <v>14</v>
      </c>
      <c r="D435" s="2" t="s">
        <v>12</v>
      </c>
      <c r="E435" s="294">
        <v>9748</v>
      </c>
      <c r="F435" s="296">
        <v>12000</v>
      </c>
      <c r="G435" s="352">
        <v>4</v>
      </c>
      <c r="H435" s="296">
        <f t="shared" si="82"/>
        <v>38992</v>
      </c>
      <c r="I435" s="122">
        <f t="shared" si="83"/>
        <v>48000</v>
      </c>
      <c r="J435" s="331">
        <f t="shared" si="84"/>
        <v>9008</v>
      </c>
      <c r="K435" s="292">
        <f>'09-RESUMEN'!$F$43/1375</f>
        <v>81431.961035221175</v>
      </c>
      <c r="L435" s="122">
        <f>('ESTADO RESULTADOS'!$C$36+'ESTADO RESULTADOS'!$C$71)/1375</f>
        <v>24762.287272727273</v>
      </c>
      <c r="M435" s="122">
        <v>0</v>
      </c>
      <c r="N435" s="122">
        <f t="shared" si="88"/>
        <v>145186.24830794844</v>
      </c>
      <c r="O435" s="122">
        <f t="shared" si="89"/>
        <v>36296.562076987109</v>
      </c>
      <c r="P435" s="336">
        <f t="shared" si="85"/>
        <v>-97186.248307948437</v>
      </c>
      <c r="Q435" s="336">
        <f t="shared" si="86"/>
        <v>26548.562076987109</v>
      </c>
      <c r="R435" s="303">
        <f t="shared" si="87"/>
        <v>2.723488108020836</v>
      </c>
    </row>
    <row r="436" spans="1:18" x14ac:dyDescent="0.3">
      <c r="A436" s="2">
        <v>845</v>
      </c>
      <c r="B436" s="41" t="s">
        <v>388</v>
      </c>
      <c r="C436" s="2">
        <v>14</v>
      </c>
      <c r="D436" s="2" t="s">
        <v>81</v>
      </c>
      <c r="E436" s="294">
        <v>8741.7999999999993</v>
      </c>
      <c r="F436" s="296">
        <v>12000</v>
      </c>
      <c r="G436" s="352">
        <v>1</v>
      </c>
      <c r="H436" s="296">
        <f t="shared" si="82"/>
        <v>8741.7999999999993</v>
      </c>
      <c r="I436" s="122">
        <f t="shared" si="83"/>
        <v>12000</v>
      </c>
      <c r="J436" s="331">
        <f t="shared" si="84"/>
        <v>3258.2000000000007</v>
      </c>
      <c r="K436" s="292">
        <f>'09-RESUMEN'!$F$43/1375</f>
        <v>81431.961035221175</v>
      </c>
      <c r="L436" s="122">
        <f>('ESTADO RESULTADOS'!$C$36+'ESTADO RESULTADOS'!$C$71)/1375</f>
        <v>24762.287272727273</v>
      </c>
      <c r="M436" s="122">
        <v>0</v>
      </c>
      <c r="N436" s="122">
        <f t="shared" si="88"/>
        <v>114936.04830794845</v>
      </c>
      <c r="O436" s="122">
        <f t="shared" si="89"/>
        <v>114936.04830794845</v>
      </c>
      <c r="P436" s="336">
        <f t="shared" si="85"/>
        <v>-102936.04830794845</v>
      </c>
      <c r="Q436" s="336">
        <f t="shared" si="86"/>
        <v>106194.24830794845</v>
      </c>
      <c r="R436" s="303">
        <f t="shared" si="87"/>
        <v>12.147869810330649</v>
      </c>
    </row>
    <row r="437" spans="1:18" x14ac:dyDescent="0.3">
      <c r="A437" s="2">
        <v>847</v>
      </c>
      <c r="B437" s="41" t="s">
        <v>389</v>
      </c>
      <c r="C437" s="2">
        <v>14</v>
      </c>
      <c r="D437" s="2" t="s">
        <v>81</v>
      </c>
      <c r="E437" s="294">
        <v>75531</v>
      </c>
      <c r="F437" s="296">
        <v>89500</v>
      </c>
      <c r="G437" s="352">
        <v>3</v>
      </c>
      <c r="H437" s="296">
        <f t="shared" si="82"/>
        <v>226593</v>
      </c>
      <c r="I437" s="122">
        <f t="shared" si="83"/>
        <v>268500</v>
      </c>
      <c r="J437" s="331">
        <f t="shared" si="84"/>
        <v>41907</v>
      </c>
      <c r="K437" s="292">
        <f>'09-RESUMEN'!$F$43/1375</f>
        <v>81431.961035221175</v>
      </c>
      <c r="L437" s="122">
        <f>('ESTADO RESULTADOS'!$C$36+'ESTADO RESULTADOS'!$C$71)/1375</f>
        <v>24762.287272727273</v>
      </c>
      <c r="M437" s="122">
        <v>0</v>
      </c>
      <c r="N437" s="122">
        <f t="shared" si="88"/>
        <v>332787.24830794847</v>
      </c>
      <c r="O437" s="122">
        <f t="shared" si="89"/>
        <v>110929.08276931616</v>
      </c>
      <c r="P437" s="336">
        <f t="shared" si="85"/>
        <v>-64287.248307948466</v>
      </c>
      <c r="Q437" s="336">
        <f t="shared" si="86"/>
        <v>35398.082769316155</v>
      </c>
      <c r="R437" s="303">
        <f t="shared" si="87"/>
        <v>0.46865634996645295</v>
      </c>
    </row>
    <row r="438" spans="1:18" x14ac:dyDescent="0.3">
      <c r="A438" s="2">
        <v>853</v>
      </c>
      <c r="B438" s="41" t="s">
        <v>1674</v>
      </c>
      <c r="C438" s="2">
        <v>8</v>
      </c>
      <c r="D438" s="2" t="s">
        <v>41</v>
      </c>
      <c r="E438" s="294">
        <v>124174</v>
      </c>
      <c r="F438" s="296">
        <v>137083.33333333334</v>
      </c>
      <c r="G438" s="352">
        <v>5</v>
      </c>
      <c r="H438" s="296">
        <f t="shared" si="82"/>
        <v>620870</v>
      </c>
      <c r="I438" s="122">
        <f t="shared" si="83"/>
        <v>685416.66666666674</v>
      </c>
      <c r="J438" s="331">
        <f t="shared" si="84"/>
        <v>64546.666666666744</v>
      </c>
      <c r="K438" s="292">
        <f>'09-RESUMEN'!$F$43/1375</f>
        <v>81431.961035221175</v>
      </c>
      <c r="L438" s="122">
        <f>('ESTADO RESULTADOS'!$C$36+'ESTADO RESULTADOS'!$C$71)/1375</f>
        <v>24762.287272727273</v>
      </c>
      <c r="M438" s="122">
        <v>0</v>
      </c>
      <c r="N438" s="122">
        <f t="shared" si="88"/>
        <v>727064.24830794835</v>
      </c>
      <c r="O438" s="122">
        <f t="shared" si="89"/>
        <v>145412.84966158966</v>
      </c>
      <c r="P438" s="336">
        <f t="shared" si="85"/>
        <v>-41647.581641281606</v>
      </c>
      <c r="Q438" s="336">
        <f t="shared" si="86"/>
        <v>21238.849661589658</v>
      </c>
      <c r="R438" s="303">
        <f t="shared" si="87"/>
        <v>0.17104103646165589</v>
      </c>
    </row>
    <row r="439" spans="1:18" x14ac:dyDescent="0.3">
      <c r="A439" s="2">
        <v>854</v>
      </c>
      <c r="B439" s="41" t="s">
        <v>390</v>
      </c>
      <c r="C439" s="2">
        <v>2</v>
      </c>
      <c r="D439" s="2" t="s">
        <v>5</v>
      </c>
      <c r="E439" s="294">
        <v>9000.0000999999993</v>
      </c>
      <c r="F439" s="296">
        <v>10800</v>
      </c>
      <c r="G439" s="352">
        <v>22</v>
      </c>
      <c r="H439" s="296">
        <f t="shared" si="82"/>
        <v>198000.00219999999</v>
      </c>
      <c r="I439" s="122">
        <f t="shared" si="83"/>
        <v>237600</v>
      </c>
      <c r="J439" s="331">
        <f t="shared" si="84"/>
        <v>39599.997800000012</v>
      </c>
      <c r="K439" s="292">
        <f>'09-RESUMEN'!$F$43/1375</f>
        <v>81431.961035221175</v>
      </c>
      <c r="L439" s="122">
        <f>('ESTADO RESULTADOS'!$C$36+'ESTADO RESULTADOS'!$C$71)/1375</f>
        <v>24762.287272727273</v>
      </c>
      <c r="M439" s="122">
        <v>0</v>
      </c>
      <c r="N439" s="122">
        <f t="shared" si="88"/>
        <v>304194.25050794845</v>
      </c>
      <c r="O439" s="122">
        <f t="shared" si="89"/>
        <v>13827.011386724929</v>
      </c>
      <c r="P439" s="336">
        <f t="shared" si="85"/>
        <v>-66594.250507948454</v>
      </c>
      <c r="Q439" s="336">
        <f t="shared" si="86"/>
        <v>4827.01128672493</v>
      </c>
      <c r="R439" s="303">
        <f t="shared" si="87"/>
        <v>0.53633458145460799</v>
      </c>
    </row>
    <row r="440" spans="1:18" x14ac:dyDescent="0.3">
      <c r="A440" s="2">
        <v>855</v>
      </c>
      <c r="B440" s="41" t="s">
        <v>391</v>
      </c>
      <c r="C440" s="2">
        <v>2</v>
      </c>
      <c r="D440" s="2" t="s">
        <v>5</v>
      </c>
      <c r="E440" s="294">
        <v>22499.998500000002</v>
      </c>
      <c r="F440" s="296">
        <v>24850</v>
      </c>
      <c r="G440" s="352">
        <v>10</v>
      </c>
      <c r="H440" s="296">
        <f t="shared" si="82"/>
        <v>224999.98500000002</v>
      </c>
      <c r="I440" s="122">
        <f t="shared" si="83"/>
        <v>248500</v>
      </c>
      <c r="J440" s="331">
        <f t="shared" si="84"/>
        <v>23500.014999999985</v>
      </c>
      <c r="K440" s="292">
        <f>'09-RESUMEN'!$F$43/1375</f>
        <v>81431.961035221175</v>
      </c>
      <c r="L440" s="122">
        <f>('ESTADO RESULTADOS'!$C$36+'ESTADO RESULTADOS'!$C$71)/1375</f>
        <v>24762.287272727273</v>
      </c>
      <c r="M440" s="122">
        <v>0</v>
      </c>
      <c r="N440" s="122">
        <f t="shared" si="88"/>
        <v>331194.23330794851</v>
      </c>
      <c r="O440" s="122">
        <f t="shared" si="89"/>
        <v>33119.423330794853</v>
      </c>
      <c r="P440" s="336">
        <f t="shared" si="85"/>
        <v>-82694.233307948511</v>
      </c>
      <c r="Q440" s="336">
        <f t="shared" si="86"/>
        <v>10619.424830794851</v>
      </c>
      <c r="R440" s="303">
        <f t="shared" si="87"/>
        <v>0.47197446838918011</v>
      </c>
    </row>
    <row r="441" spans="1:18" x14ac:dyDescent="0.3">
      <c r="A441" s="2">
        <v>856</v>
      </c>
      <c r="B441" s="41" t="s">
        <v>392</v>
      </c>
      <c r="C441" s="2">
        <v>2</v>
      </c>
      <c r="D441" s="2" t="s">
        <v>5</v>
      </c>
      <c r="E441" s="294">
        <v>19799.996999999999</v>
      </c>
      <c r="F441" s="296">
        <v>22933.333333333332</v>
      </c>
      <c r="G441" s="352">
        <v>11</v>
      </c>
      <c r="H441" s="296">
        <f t="shared" si="82"/>
        <v>217799.967</v>
      </c>
      <c r="I441" s="122">
        <f t="shared" si="83"/>
        <v>252266.66666666666</v>
      </c>
      <c r="J441" s="331">
        <f t="shared" si="84"/>
        <v>34466.699666666653</v>
      </c>
      <c r="K441" s="292">
        <f>'09-RESUMEN'!$F$43/1375</f>
        <v>81431.961035221175</v>
      </c>
      <c r="L441" s="122">
        <f>('ESTADO RESULTADOS'!$C$36+'ESTADO RESULTADOS'!$C$71)/1375</f>
        <v>24762.287272727273</v>
      </c>
      <c r="M441" s="122">
        <v>0</v>
      </c>
      <c r="N441" s="122">
        <f t="shared" si="88"/>
        <v>323994.21530794847</v>
      </c>
      <c r="O441" s="122">
        <f t="shared" si="89"/>
        <v>29454.019573449859</v>
      </c>
      <c r="P441" s="336">
        <f t="shared" si="85"/>
        <v>-71727.548641281814</v>
      </c>
      <c r="Q441" s="336">
        <f t="shared" si="86"/>
        <v>9654.0225734498599</v>
      </c>
      <c r="R441" s="303">
        <f t="shared" si="87"/>
        <v>0.48757697152428153</v>
      </c>
    </row>
    <row r="442" spans="1:18" x14ac:dyDescent="0.3">
      <c r="A442" s="2">
        <v>861</v>
      </c>
      <c r="B442" s="41" t="s">
        <v>393</v>
      </c>
      <c r="C442" s="2">
        <v>1</v>
      </c>
      <c r="D442" s="2" t="s">
        <v>237</v>
      </c>
      <c r="E442" s="321">
        <v>6499.9942000000001</v>
      </c>
      <c r="F442" s="322">
        <v>18966.666666666668</v>
      </c>
      <c r="G442" s="353">
        <v>40</v>
      </c>
      <c r="H442" s="322">
        <f t="shared" si="82"/>
        <v>259999.76800000001</v>
      </c>
      <c r="I442" s="122">
        <f t="shared" si="83"/>
        <v>758666.66666666674</v>
      </c>
      <c r="J442" s="331">
        <f t="shared" si="84"/>
        <v>498666.8986666667</v>
      </c>
      <c r="K442" s="292">
        <f>'09-RESUMEN'!$F$43/1375</f>
        <v>81431.961035221175</v>
      </c>
      <c r="L442" s="122">
        <f>('ESTADO RESULTADOS'!$C$36+'ESTADO RESULTADOS'!$C$71)/1375</f>
        <v>24762.287272727273</v>
      </c>
      <c r="M442" s="122">
        <v>0</v>
      </c>
      <c r="N442" s="122">
        <f t="shared" si="88"/>
        <v>366194.01630794845</v>
      </c>
      <c r="O442" s="122">
        <f t="shared" si="89"/>
        <v>9154.8504076987119</v>
      </c>
      <c r="P442" s="336">
        <f t="shared" si="85"/>
        <v>392472.6503587183</v>
      </c>
      <c r="Q442" s="336">
        <f t="shared" si="86"/>
        <v>2654.8562076987118</v>
      </c>
      <c r="R442" s="303">
        <f t="shared" si="87"/>
        <v>0.40843978102299106</v>
      </c>
    </row>
    <row r="443" spans="1:18" x14ac:dyDescent="0.3">
      <c r="A443" s="2">
        <v>864</v>
      </c>
      <c r="B443" s="41" t="s">
        <v>394</v>
      </c>
      <c r="C443" s="2">
        <v>14</v>
      </c>
      <c r="D443" s="2" t="s">
        <v>81</v>
      </c>
      <c r="E443" s="294">
        <v>10219.65</v>
      </c>
      <c r="F443" s="296">
        <v>13000</v>
      </c>
      <c r="G443" s="352">
        <v>12</v>
      </c>
      <c r="H443" s="296">
        <f t="shared" si="82"/>
        <v>122635.79999999999</v>
      </c>
      <c r="I443" s="122">
        <f t="shared" si="83"/>
        <v>156000</v>
      </c>
      <c r="J443" s="331">
        <f t="shared" si="84"/>
        <v>33364.200000000012</v>
      </c>
      <c r="K443" s="292">
        <f>'09-RESUMEN'!$F$43/1375</f>
        <v>81431.961035221175</v>
      </c>
      <c r="L443" s="122">
        <f>('ESTADO RESULTADOS'!$C$36+'ESTADO RESULTADOS'!$C$71)/1375</f>
        <v>24762.287272727273</v>
      </c>
      <c r="M443" s="122">
        <v>0</v>
      </c>
      <c r="N443" s="122">
        <f t="shared" si="88"/>
        <v>228830.04830794843</v>
      </c>
      <c r="O443" s="122">
        <f t="shared" si="89"/>
        <v>19069.170692329037</v>
      </c>
      <c r="P443" s="336">
        <f t="shared" si="85"/>
        <v>-72830.048307948426</v>
      </c>
      <c r="Q443" s="336">
        <f t="shared" si="86"/>
        <v>8849.520692329037</v>
      </c>
      <c r="R443" s="303">
        <f t="shared" si="87"/>
        <v>0.86593187558566465</v>
      </c>
    </row>
    <row r="444" spans="1:18" x14ac:dyDescent="0.3">
      <c r="A444" s="2">
        <v>868</v>
      </c>
      <c r="B444" s="41" t="s">
        <v>395</v>
      </c>
      <c r="C444" s="2">
        <v>6</v>
      </c>
      <c r="D444" s="2" t="s">
        <v>12</v>
      </c>
      <c r="E444" s="294">
        <v>10500</v>
      </c>
      <c r="F444" s="296">
        <v>12800</v>
      </c>
      <c r="G444" s="352">
        <v>48</v>
      </c>
      <c r="H444" s="296">
        <f t="shared" si="82"/>
        <v>504000</v>
      </c>
      <c r="I444" s="122">
        <f t="shared" si="83"/>
        <v>614400</v>
      </c>
      <c r="J444" s="331">
        <f t="shared" si="84"/>
        <v>110400</v>
      </c>
      <c r="K444" s="292">
        <f>'09-RESUMEN'!$F$43/1375</f>
        <v>81431.961035221175</v>
      </c>
      <c r="L444" s="122">
        <f>('ESTADO RESULTADOS'!$C$36+'ESTADO RESULTADOS'!$C$71)/1375</f>
        <v>24762.287272727273</v>
      </c>
      <c r="M444" s="122">
        <v>0</v>
      </c>
      <c r="N444" s="122">
        <f t="shared" si="88"/>
        <v>610194.24830794835</v>
      </c>
      <c r="O444" s="122">
        <f t="shared" si="89"/>
        <v>12712.380173082258</v>
      </c>
      <c r="P444" s="336">
        <f t="shared" si="85"/>
        <v>4205.75169205165</v>
      </c>
      <c r="Q444" s="336">
        <f t="shared" si="86"/>
        <v>2212.3801730822579</v>
      </c>
      <c r="R444" s="303">
        <f t="shared" si="87"/>
        <v>0.2107028736268817</v>
      </c>
    </row>
    <row r="445" spans="1:18" x14ac:dyDescent="0.3">
      <c r="A445" s="2">
        <v>869</v>
      </c>
      <c r="B445" s="41" t="s">
        <v>396</v>
      </c>
      <c r="C445" s="2">
        <v>4</v>
      </c>
      <c r="D445" s="2" t="s">
        <v>81</v>
      </c>
      <c r="E445" s="294">
        <v>36000</v>
      </c>
      <c r="F445" s="296">
        <v>42000</v>
      </c>
      <c r="G445" s="352">
        <v>7</v>
      </c>
      <c r="H445" s="296">
        <f t="shared" si="82"/>
        <v>252000</v>
      </c>
      <c r="I445" s="122">
        <f t="shared" si="83"/>
        <v>294000</v>
      </c>
      <c r="J445" s="331">
        <f t="shared" si="84"/>
        <v>42000</v>
      </c>
      <c r="K445" s="292">
        <f>'09-RESUMEN'!$F$43/1375</f>
        <v>81431.961035221175</v>
      </c>
      <c r="L445" s="122">
        <f>('ESTADO RESULTADOS'!$C$36+'ESTADO RESULTADOS'!$C$71)/1375</f>
        <v>24762.287272727273</v>
      </c>
      <c r="M445" s="122">
        <v>0</v>
      </c>
      <c r="N445" s="122">
        <f t="shared" si="88"/>
        <v>358194.24830794847</v>
      </c>
      <c r="O445" s="122">
        <f t="shared" si="89"/>
        <v>51170.606901135492</v>
      </c>
      <c r="P445" s="336">
        <f t="shared" si="85"/>
        <v>-64194.248307948466</v>
      </c>
      <c r="Q445" s="336">
        <f t="shared" si="86"/>
        <v>15170.606901135492</v>
      </c>
      <c r="R445" s="303">
        <f t="shared" si="87"/>
        <v>0.42140574725376367</v>
      </c>
    </row>
    <row r="446" spans="1:18" x14ac:dyDescent="0.3">
      <c r="A446" s="2">
        <v>870</v>
      </c>
      <c r="B446" s="41" t="s">
        <v>1675</v>
      </c>
      <c r="C446" s="2">
        <v>4</v>
      </c>
      <c r="D446" s="2" t="s">
        <v>16</v>
      </c>
      <c r="E446" s="294">
        <v>102500</v>
      </c>
      <c r="F446" s="296">
        <v>132100</v>
      </c>
      <c r="G446" s="352">
        <v>5</v>
      </c>
      <c r="H446" s="296">
        <f t="shared" si="82"/>
        <v>512500</v>
      </c>
      <c r="I446" s="122">
        <f t="shared" si="83"/>
        <v>660500</v>
      </c>
      <c r="J446" s="331">
        <f t="shared" si="84"/>
        <v>148000</v>
      </c>
      <c r="K446" s="292">
        <f>'09-RESUMEN'!$F$43/1375</f>
        <v>81431.961035221175</v>
      </c>
      <c r="L446" s="122">
        <f>('ESTADO RESULTADOS'!$C$36+'ESTADO RESULTADOS'!$C$71)/1375</f>
        <v>24762.287272727273</v>
      </c>
      <c r="M446" s="122">
        <v>0</v>
      </c>
      <c r="N446" s="122">
        <f t="shared" si="88"/>
        <v>618694.24830794835</v>
      </c>
      <c r="O446" s="122">
        <f t="shared" si="89"/>
        <v>123738.84966158967</v>
      </c>
      <c r="P446" s="336">
        <f t="shared" si="85"/>
        <v>41805.75169205165</v>
      </c>
      <c r="Q446" s="336">
        <f t="shared" si="86"/>
        <v>21238.849661589673</v>
      </c>
      <c r="R446" s="303">
        <f t="shared" si="87"/>
        <v>0.20720828938136265</v>
      </c>
    </row>
    <row r="447" spans="1:18" x14ac:dyDescent="0.3">
      <c r="A447" s="2">
        <v>873</v>
      </c>
      <c r="B447" s="41" t="s">
        <v>397</v>
      </c>
      <c r="C447" s="2">
        <v>7</v>
      </c>
      <c r="D447" s="2" t="s">
        <v>160</v>
      </c>
      <c r="E447" s="294">
        <v>600</v>
      </c>
      <c r="F447" s="296">
        <v>1800</v>
      </c>
      <c r="G447" s="352">
        <v>7</v>
      </c>
      <c r="H447" s="296">
        <f t="shared" si="82"/>
        <v>4200</v>
      </c>
      <c r="I447" s="122">
        <f t="shared" si="83"/>
        <v>12600</v>
      </c>
      <c r="J447" s="331">
        <f t="shared" si="84"/>
        <v>8400</v>
      </c>
      <c r="K447" s="292">
        <f>'09-RESUMEN'!$F$43/1375</f>
        <v>81431.961035221175</v>
      </c>
      <c r="L447" s="122">
        <f>('ESTADO RESULTADOS'!$C$36+'ESTADO RESULTADOS'!$C$71)/1375</f>
        <v>24762.287272727273</v>
      </c>
      <c r="M447" s="122">
        <v>0</v>
      </c>
      <c r="N447" s="122">
        <f t="shared" si="88"/>
        <v>110394.24830794845</v>
      </c>
      <c r="O447" s="122">
        <f t="shared" si="89"/>
        <v>15770.606901135494</v>
      </c>
      <c r="P447" s="336">
        <f t="shared" si="85"/>
        <v>-97794.248307948452</v>
      </c>
      <c r="Q447" s="336">
        <f t="shared" si="86"/>
        <v>15170.606901135494</v>
      </c>
      <c r="R447" s="303">
        <f t="shared" si="87"/>
        <v>25.284344835225824</v>
      </c>
    </row>
    <row r="448" spans="1:18" x14ac:dyDescent="0.3">
      <c r="A448" s="2">
        <v>874</v>
      </c>
      <c r="B448" s="41" t="s">
        <v>1676</v>
      </c>
      <c r="C448" s="2">
        <v>7</v>
      </c>
      <c r="D448" s="2" t="s">
        <v>23</v>
      </c>
      <c r="E448" s="294">
        <v>600</v>
      </c>
      <c r="F448" s="296">
        <v>1650</v>
      </c>
      <c r="G448" s="352">
        <v>17</v>
      </c>
      <c r="H448" s="296">
        <f t="shared" si="82"/>
        <v>10200</v>
      </c>
      <c r="I448" s="122">
        <f t="shared" si="83"/>
        <v>28050</v>
      </c>
      <c r="J448" s="331">
        <f t="shared" si="84"/>
        <v>17850</v>
      </c>
      <c r="K448" s="292">
        <f>'09-RESUMEN'!$F$43/1375</f>
        <v>81431.961035221175</v>
      </c>
      <c r="L448" s="122">
        <f>('ESTADO RESULTADOS'!$C$36+'ESTADO RESULTADOS'!$C$71)/1375</f>
        <v>24762.287272727273</v>
      </c>
      <c r="M448" s="122">
        <v>0</v>
      </c>
      <c r="N448" s="122">
        <f t="shared" si="88"/>
        <v>116394.24830794845</v>
      </c>
      <c r="O448" s="122">
        <f t="shared" si="89"/>
        <v>6846.7204887028502</v>
      </c>
      <c r="P448" s="336">
        <f t="shared" si="85"/>
        <v>-88344.248307948452</v>
      </c>
      <c r="Q448" s="336">
        <f t="shared" si="86"/>
        <v>6246.7204887028502</v>
      </c>
      <c r="R448" s="303">
        <f t="shared" si="87"/>
        <v>10.411200814504751</v>
      </c>
    </row>
    <row r="449" spans="1:18" x14ac:dyDescent="0.3">
      <c r="A449" s="2">
        <v>877</v>
      </c>
      <c r="B449" s="41" t="s">
        <v>398</v>
      </c>
      <c r="C449" s="2">
        <v>9</v>
      </c>
      <c r="D449" s="2" t="s">
        <v>338</v>
      </c>
      <c r="E449" s="294">
        <v>5515.3</v>
      </c>
      <c r="F449" s="296">
        <v>7200</v>
      </c>
      <c r="G449" s="352">
        <v>93</v>
      </c>
      <c r="H449" s="296">
        <f t="shared" si="82"/>
        <v>512922.9</v>
      </c>
      <c r="I449" s="122">
        <f t="shared" si="83"/>
        <v>669600</v>
      </c>
      <c r="J449" s="331">
        <f t="shared" si="84"/>
        <v>156677.09999999998</v>
      </c>
      <c r="K449" s="292">
        <f>'09-RESUMEN'!$F$43/1375</f>
        <v>81431.961035221175</v>
      </c>
      <c r="L449" s="122">
        <f>('ESTADO RESULTADOS'!$C$36+'ESTADO RESULTADOS'!$C$71)/1375</f>
        <v>24762.287272727273</v>
      </c>
      <c r="M449" s="122">
        <v>0</v>
      </c>
      <c r="N449" s="122">
        <f t="shared" si="88"/>
        <v>619117.14830794849</v>
      </c>
      <c r="O449" s="122">
        <f t="shared" si="89"/>
        <v>6657.1736377198758</v>
      </c>
      <c r="P449" s="336">
        <f t="shared" si="85"/>
        <v>50482.85169205151</v>
      </c>
      <c r="Q449" s="336">
        <f t="shared" si="86"/>
        <v>1141.8736377198757</v>
      </c>
      <c r="R449" s="303">
        <f t="shared" si="87"/>
        <v>0.2070374481387913</v>
      </c>
    </row>
    <row r="450" spans="1:18" x14ac:dyDescent="0.3">
      <c r="A450" s="2">
        <v>878</v>
      </c>
      <c r="B450" s="41" t="s">
        <v>1677</v>
      </c>
      <c r="C450" s="2">
        <v>12</v>
      </c>
      <c r="D450" s="2" t="s">
        <v>12</v>
      </c>
      <c r="E450" s="294">
        <v>19699.999899999999</v>
      </c>
      <c r="F450" s="296">
        <v>24900</v>
      </c>
      <c r="G450" s="352">
        <v>3</v>
      </c>
      <c r="H450" s="296">
        <f t="shared" si="82"/>
        <v>59099.9997</v>
      </c>
      <c r="I450" s="122">
        <f t="shared" si="83"/>
        <v>74700</v>
      </c>
      <c r="J450" s="331">
        <f t="shared" si="84"/>
        <v>15600.0003</v>
      </c>
      <c r="K450" s="292">
        <f>'09-RESUMEN'!$F$43/1375</f>
        <v>81431.961035221175</v>
      </c>
      <c r="L450" s="122">
        <f>('ESTADO RESULTADOS'!$C$36+'ESTADO RESULTADOS'!$C$71)/1375</f>
        <v>24762.287272727273</v>
      </c>
      <c r="M450" s="122">
        <v>0</v>
      </c>
      <c r="N450" s="122">
        <f t="shared" si="88"/>
        <v>165294.24800794842</v>
      </c>
      <c r="O450" s="122">
        <f t="shared" si="89"/>
        <v>55098.082669316143</v>
      </c>
      <c r="P450" s="336">
        <f t="shared" si="85"/>
        <v>-90594.248007948423</v>
      </c>
      <c r="Q450" s="336">
        <f t="shared" si="86"/>
        <v>35398.082769316141</v>
      </c>
      <c r="R450" s="303">
        <f t="shared" si="87"/>
        <v>1.7968570024874031</v>
      </c>
    </row>
    <row r="451" spans="1:18" x14ac:dyDescent="0.3">
      <c r="A451" s="2">
        <v>879</v>
      </c>
      <c r="B451" s="41" t="s">
        <v>1678</v>
      </c>
      <c r="C451" s="2">
        <v>6</v>
      </c>
      <c r="D451" s="2" t="s">
        <v>81</v>
      </c>
      <c r="E451" s="294">
        <v>14536</v>
      </c>
      <c r="F451" s="296">
        <v>17000</v>
      </c>
      <c r="G451" s="352">
        <v>1</v>
      </c>
      <c r="H451" s="296">
        <f t="shared" si="82"/>
        <v>14536</v>
      </c>
      <c r="I451" s="122">
        <f t="shared" si="83"/>
        <v>17000</v>
      </c>
      <c r="J451" s="331">
        <f t="shared" si="84"/>
        <v>2464</v>
      </c>
      <c r="K451" s="292">
        <f>'09-RESUMEN'!$F$43/1375</f>
        <v>81431.961035221175</v>
      </c>
      <c r="L451" s="122">
        <f>('ESTADO RESULTADOS'!$C$36+'ESTADO RESULTADOS'!$C$71)/1375</f>
        <v>24762.287272727273</v>
      </c>
      <c r="M451" s="122">
        <v>0</v>
      </c>
      <c r="N451" s="122">
        <f t="shared" si="88"/>
        <v>120730.24830794845</v>
      </c>
      <c r="O451" s="122">
        <f t="shared" si="89"/>
        <v>120730.24830794845</v>
      </c>
      <c r="P451" s="336">
        <f t="shared" si="85"/>
        <v>-103730.24830794845</v>
      </c>
      <c r="Q451" s="336">
        <f t="shared" si="86"/>
        <v>106194.24830794845</v>
      </c>
      <c r="R451" s="303">
        <f t="shared" si="87"/>
        <v>7.305603213260075</v>
      </c>
    </row>
    <row r="452" spans="1:18" x14ac:dyDescent="0.3">
      <c r="A452" s="2">
        <v>882</v>
      </c>
      <c r="B452" s="41" t="s">
        <v>399</v>
      </c>
      <c r="C452" s="2">
        <v>5</v>
      </c>
      <c r="D452" s="2" t="s">
        <v>21</v>
      </c>
      <c r="E452" s="294">
        <v>10200</v>
      </c>
      <c r="F452" s="296">
        <v>12200</v>
      </c>
      <c r="G452" s="352">
        <v>54</v>
      </c>
      <c r="H452" s="296">
        <f t="shared" ref="H452:H515" si="90">E452*G452</f>
        <v>550800</v>
      </c>
      <c r="I452" s="122">
        <f t="shared" ref="I452:I515" si="91">F452*G452</f>
        <v>658800</v>
      </c>
      <c r="J452" s="331">
        <f t="shared" ref="J452:J515" si="92">I452-H452</f>
        <v>108000</v>
      </c>
      <c r="K452" s="292">
        <f>'09-RESUMEN'!$F$43/1375</f>
        <v>81431.961035221175</v>
      </c>
      <c r="L452" s="122">
        <f>('ESTADO RESULTADOS'!$C$36+'ESTADO RESULTADOS'!$C$71)/1375</f>
        <v>24762.287272727273</v>
      </c>
      <c r="M452" s="122">
        <v>0</v>
      </c>
      <c r="N452" s="122">
        <f t="shared" si="88"/>
        <v>656994.24830794835</v>
      </c>
      <c r="O452" s="122">
        <f t="shared" si="89"/>
        <v>12166.560153850894</v>
      </c>
      <c r="P452" s="336">
        <f t="shared" si="85"/>
        <v>1805.75169205165</v>
      </c>
      <c r="Q452" s="336">
        <f t="shared" si="86"/>
        <v>1966.5601538508945</v>
      </c>
      <c r="R452" s="303">
        <f t="shared" si="87"/>
        <v>0.19280001508342104</v>
      </c>
    </row>
    <row r="453" spans="1:18" x14ac:dyDescent="0.3">
      <c r="A453" s="2">
        <v>883</v>
      </c>
      <c r="B453" s="41" t="s">
        <v>400</v>
      </c>
      <c r="C453" s="2">
        <v>14</v>
      </c>
      <c r="D453" s="2" t="s">
        <v>81</v>
      </c>
      <c r="E453" s="294">
        <v>31715</v>
      </c>
      <c r="F453" s="296">
        <v>38000</v>
      </c>
      <c r="G453" s="352">
        <v>37</v>
      </c>
      <c r="H453" s="296">
        <f t="shared" si="90"/>
        <v>1173455</v>
      </c>
      <c r="I453" s="122">
        <f t="shared" si="91"/>
        <v>1406000</v>
      </c>
      <c r="J453" s="331">
        <f t="shared" si="92"/>
        <v>232545</v>
      </c>
      <c r="K453" s="292">
        <f>'09-RESUMEN'!$F$43/1375</f>
        <v>81431.961035221175</v>
      </c>
      <c r="L453" s="122">
        <f>('ESTADO RESULTADOS'!$C$36+'ESTADO RESULTADOS'!$C$71)/1375</f>
        <v>24762.287272727273</v>
      </c>
      <c r="M453" s="122">
        <v>0</v>
      </c>
      <c r="N453" s="122">
        <f t="shared" si="88"/>
        <v>1279649.2483079485</v>
      </c>
      <c r="O453" s="122">
        <f t="shared" si="89"/>
        <v>34585.114819133742</v>
      </c>
      <c r="P453" s="336">
        <f t="shared" ref="P453:P516" si="93">I453-N453</f>
        <v>126350.75169205153</v>
      </c>
      <c r="Q453" s="336">
        <f t="shared" ref="Q453:Q516" si="94">O453-E453</f>
        <v>2870.1148191337415</v>
      </c>
      <c r="R453" s="303">
        <f t="shared" ref="R453:R516" si="95">Q453/E453</f>
        <v>9.049707769616086E-2</v>
      </c>
    </row>
    <row r="454" spans="1:18" x14ac:dyDescent="0.3">
      <c r="A454" s="2">
        <v>892</v>
      </c>
      <c r="B454" s="41" t="s">
        <v>1679</v>
      </c>
      <c r="C454" s="2">
        <v>2</v>
      </c>
      <c r="D454" s="2" t="s">
        <v>237</v>
      </c>
      <c r="E454" s="294">
        <v>100403.1</v>
      </c>
      <c r="F454" s="296">
        <v>116916.66666666667</v>
      </c>
      <c r="G454" s="352">
        <v>1</v>
      </c>
      <c r="H454" s="296">
        <f t="shared" si="90"/>
        <v>100403.1</v>
      </c>
      <c r="I454" s="122">
        <f t="shared" si="91"/>
        <v>116916.66666666667</v>
      </c>
      <c r="J454" s="331">
        <f t="shared" si="92"/>
        <v>16513.566666666666</v>
      </c>
      <c r="K454" s="292">
        <f>'09-RESUMEN'!$F$43/1375</f>
        <v>81431.961035221175</v>
      </c>
      <c r="L454" s="122">
        <f>('ESTADO RESULTADOS'!$C$36+'ESTADO RESULTADOS'!$C$71)/1375</f>
        <v>24762.287272727273</v>
      </c>
      <c r="M454" s="122">
        <v>0</v>
      </c>
      <c r="N454" s="122">
        <f t="shared" si="88"/>
        <v>206597.34830794844</v>
      </c>
      <c r="O454" s="122">
        <f t="shared" si="89"/>
        <v>206597.34830794844</v>
      </c>
      <c r="P454" s="336">
        <f t="shared" si="93"/>
        <v>-89680.681641281772</v>
      </c>
      <c r="Q454" s="336">
        <f t="shared" si="94"/>
        <v>106194.24830794844</v>
      </c>
      <c r="R454" s="303">
        <f t="shared" si="95"/>
        <v>1.057678979114673</v>
      </c>
    </row>
    <row r="455" spans="1:18" x14ac:dyDescent="0.3">
      <c r="A455" s="2">
        <v>893</v>
      </c>
      <c r="B455" s="41" t="s">
        <v>1680</v>
      </c>
      <c r="C455" s="2">
        <v>2</v>
      </c>
      <c r="D455" s="2" t="s">
        <v>5</v>
      </c>
      <c r="E455" s="294">
        <v>57951.6</v>
      </c>
      <c r="F455" s="296">
        <v>65633.333333333328</v>
      </c>
      <c r="G455" s="352">
        <v>32</v>
      </c>
      <c r="H455" s="296">
        <f t="shared" si="90"/>
        <v>1854451.2</v>
      </c>
      <c r="I455" s="122">
        <f t="shared" si="91"/>
        <v>2100266.6666666665</v>
      </c>
      <c r="J455" s="331">
        <f t="shared" si="92"/>
        <v>245815.46666666656</v>
      </c>
      <c r="K455" s="292">
        <f>'09-RESUMEN'!$F$43/1375</f>
        <v>81431.961035221175</v>
      </c>
      <c r="L455" s="122">
        <f>('ESTADO RESULTADOS'!$C$36+'ESTADO RESULTADOS'!$C$71)/1375</f>
        <v>24762.287272727273</v>
      </c>
      <c r="M455" s="122">
        <v>0</v>
      </c>
      <c r="N455" s="122">
        <f t="shared" si="88"/>
        <v>1960645.4483079484</v>
      </c>
      <c r="O455" s="122">
        <f t="shared" si="89"/>
        <v>61270.170259623388</v>
      </c>
      <c r="P455" s="336">
        <f t="shared" si="93"/>
        <v>139621.21835871809</v>
      </c>
      <c r="Q455" s="336">
        <f t="shared" si="94"/>
        <v>3318.5702596233896</v>
      </c>
      <c r="R455" s="303">
        <f t="shared" si="95"/>
        <v>5.7264514864531602E-2</v>
      </c>
    </row>
    <row r="456" spans="1:18" x14ac:dyDescent="0.3">
      <c r="A456" s="2">
        <v>897</v>
      </c>
      <c r="B456" s="41" t="s">
        <v>401</v>
      </c>
      <c r="C456" s="2">
        <v>9</v>
      </c>
      <c r="D456" s="2" t="s">
        <v>12</v>
      </c>
      <c r="E456" s="294">
        <v>700</v>
      </c>
      <c r="F456" s="296">
        <v>700</v>
      </c>
      <c r="G456" s="352">
        <v>5</v>
      </c>
      <c r="H456" s="296">
        <f t="shared" si="90"/>
        <v>3500</v>
      </c>
      <c r="I456" s="122">
        <f t="shared" si="91"/>
        <v>3500</v>
      </c>
      <c r="J456" s="331">
        <f t="shared" si="92"/>
        <v>0</v>
      </c>
      <c r="K456" s="292">
        <f>'09-RESUMEN'!$F$43/1375</f>
        <v>81431.961035221175</v>
      </c>
      <c r="L456" s="122">
        <f>('ESTADO RESULTADOS'!$C$36+'ESTADO RESULTADOS'!$C$71)/1375</f>
        <v>24762.287272727273</v>
      </c>
      <c r="M456" s="122">
        <v>0</v>
      </c>
      <c r="N456" s="122">
        <f t="shared" si="88"/>
        <v>109694.24830794845</v>
      </c>
      <c r="O456" s="122">
        <f t="shared" si="89"/>
        <v>21938.849661589691</v>
      </c>
      <c r="P456" s="336">
        <f t="shared" si="93"/>
        <v>-106194.24830794845</v>
      </c>
      <c r="Q456" s="336">
        <f t="shared" si="94"/>
        <v>21238.849661589691</v>
      </c>
      <c r="R456" s="303">
        <f t="shared" si="95"/>
        <v>30.341213802270989</v>
      </c>
    </row>
    <row r="457" spans="1:18" x14ac:dyDescent="0.3">
      <c r="A457" s="2">
        <v>902</v>
      </c>
      <c r="B457" s="41" t="s">
        <v>402</v>
      </c>
      <c r="C457" s="2">
        <v>9</v>
      </c>
      <c r="D457" s="2" t="s">
        <v>338</v>
      </c>
      <c r="E457" s="294">
        <v>6635.44</v>
      </c>
      <c r="F457" s="296">
        <v>8800</v>
      </c>
      <c r="G457" s="352">
        <v>35</v>
      </c>
      <c r="H457" s="296">
        <f t="shared" si="90"/>
        <v>232240.4</v>
      </c>
      <c r="I457" s="122">
        <f t="shared" si="91"/>
        <v>308000</v>
      </c>
      <c r="J457" s="331">
        <f t="shared" si="92"/>
        <v>75759.600000000006</v>
      </c>
      <c r="K457" s="292">
        <f>'09-RESUMEN'!$F$43/1375</f>
        <v>81431.961035221175</v>
      </c>
      <c r="L457" s="122">
        <f>('ESTADO RESULTADOS'!$C$36+'ESTADO RESULTADOS'!$C$71)/1375</f>
        <v>24762.287272727273</v>
      </c>
      <c r="M457" s="122">
        <v>0</v>
      </c>
      <c r="N457" s="122">
        <f t="shared" si="88"/>
        <v>338434.64830794843</v>
      </c>
      <c r="O457" s="122">
        <f t="shared" si="89"/>
        <v>9669.5613802270982</v>
      </c>
      <c r="P457" s="336">
        <f t="shared" si="93"/>
        <v>-30434.648307948431</v>
      </c>
      <c r="Q457" s="336">
        <f t="shared" si="94"/>
        <v>3034.1213802270986</v>
      </c>
      <c r="R457" s="303">
        <f t="shared" si="95"/>
        <v>0.45726001293465074</v>
      </c>
    </row>
    <row r="458" spans="1:18" x14ac:dyDescent="0.3">
      <c r="A458" s="2">
        <v>903</v>
      </c>
      <c r="B458" s="41" t="s">
        <v>403</v>
      </c>
      <c r="C458" s="2">
        <v>9</v>
      </c>
      <c r="D458" s="2" t="s">
        <v>338</v>
      </c>
      <c r="E458" s="294">
        <v>2313.9549999999999</v>
      </c>
      <c r="F458" s="296">
        <v>2800</v>
      </c>
      <c r="G458" s="352">
        <v>119</v>
      </c>
      <c r="H458" s="296">
        <f t="shared" si="90"/>
        <v>275360.64500000002</v>
      </c>
      <c r="I458" s="122">
        <f t="shared" si="91"/>
        <v>333200</v>
      </c>
      <c r="J458" s="331">
        <f t="shared" si="92"/>
        <v>57839.354999999981</v>
      </c>
      <c r="K458" s="292">
        <f>'09-RESUMEN'!$F$43/1375</f>
        <v>81431.961035221175</v>
      </c>
      <c r="L458" s="122">
        <f>('ESTADO RESULTADOS'!$C$36+'ESTADO RESULTADOS'!$C$71)/1375</f>
        <v>24762.287272727273</v>
      </c>
      <c r="M458" s="122">
        <v>0</v>
      </c>
      <c r="N458" s="122">
        <f t="shared" ref="N458:N483" si="96">SUM(H458+K458+L458+M458)</f>
        <v>381554.89330794849</v>
      </c>
      <c r="O458" s="122">
        <f t="shared" ref="O458:O483" si="97">N458/G458</f>
        <v>3206.3436412432648</v>
      </c>
      <c r="P458" s="336">
        <f t="shared" si="93"/>
        <v>-48354.893307948485</v>
      </c>
      <c r="Q458" s="336">
        <f t="shared" si="94"/>
        <v>892.38864124326483</v>
      </c>
      <c r="R458" s="303">
        <f t="shared" si="95"/>
        <v>0.38565514076257529</v>
      </c>
    </row>
    <row r="459" spans="1:18" x14ac:dyDescent="0.3">
      <c r="A459" s="2">
        <v>909</v>
      </c>
      <c r="B459" s="41" t="s">
        <v>404</v>
      </c>
      <c r="C459" s="2">
        <v>2</v>
      </c>
      <c r="D459" s="2" t="s">
        <v>5</v>
      </c>
      <c r="E459" s="294">
        <v>7942.1948000000002</v>
      </c>
      <c r="F459" s="296">
        <v>8850</v>
      </c>
      <c r="G459" s="352">
        <v>60</v>
      </c>
      <c r="H459" s="296">
        <f t="shared" si="90"/>
        <v>476531.68800000002</v>
      </c>
      <c r="I459" s="122">
        <f t="shared" si="91"/>
        <v>531000</v>
      </c>
      <c r="J459" s="331">
        <f t="shared" si="92"/>
        <v>54468.311999999976</v>
      </c>
      <c r="K459" s="292">
        <f>'09-RESUMEN'!$F$43/1375</f>
        <v>81431.961035221175</v>
      </c>
      <c r="L459" s="122">
        <f>('ESTADO RESULTADOS'!$C$36+'ESTADO RESULTADOS'!$C$71)/1375</f>
        <v>24762.287272727273</v>
      </c>
      <c r="M459" s="122">
        <v>0</v>
      </c>
      <c r="N459" s="122">
        <f t="shared" si="96"/>
        <v>582725.93630794843</v>
      </c>
      <c r="O459" s="122">
        <f t="shared" si="97"/>
        <v>9712.0989384658078</v>
      </c>
      <c r="P459" s="336">
        <f t="shared" si="93"/>
        <v>-51725.936307948432</v>
      </c>
      <c r="Q459" s="336">
        <f t="shared" si="94"/>
        <v>1769.9041384658076</v>
      </c>
      <c r="R459" s="303">
        <f t="shared" si="95"/>
        <v>0.22284824069862999</v>
      </c>
    </row>
    <row r="460" spans="1:18" x14ac:dyDescent="0.3">
      <c r="A460" s="2">
        <v>910</v>
      </c>
      <c r="B460" s="41" t="s">
        <v>1681</v>
      </c>
      <c r="C460" s="2">
        <v>2</v>
      </c>
      <c r="D460" s="2" t="s">
        <v>243</v>
      </c>
      <c r="E460" s="294">
        <v>158823.94500000001</v>
      </c>
      <c r="F460" s="296">
        <v>174250</v>
      </c>
      <c r="G460" s="352">
        <v>1</v>
      </c>
      <c r="H460" s="296">
        <f t="shared" si="90"/>
        <v>158823.94500000001</v>
      </c>
      <c r="I460" s="122">
        <f t="shared" si="91"/>
        <v>174250</v>
      </c>
      <c r="J460" s="331">
        <f t="shared" si="92"/>
        <v>15426.054999999993</v>
      </c>
      <c r="K460" s="292">
        <f>'09-RESUMEN'!$F$43/1375</f>
        <v>81431.961035221175</v>
      </c>
      <c r="L460" s="122">
        <f>('ESTADO RESULTADOS'!$C$36+'ESTADO RESULTADOS'!$C$71)/1375</f>
        <v>24762.287272727273</v>
      </c>
      <c r="M460" s="122">
        <v>0</v>
      </c>
      <c r="N460" s="122">
        <f t="shared" si="96"/>
        <v>265018.19330794847</v>
      </c>
      <c r="O460" s="122">
        <f t="shared" si="97"/>
        <v>265018.19330794847</v>
      </c>
      <c r="P460" s="336">
        <f t="shared" si="93"/>
        <v>-90768.193307948473</v>
      </c>
      <c r="Q460" s="336">
        <f t="shared" si="94"/>
        <v>106194.24830794847</v>
      </c>
      <c r="R460" s="303">
        <f t="shared" si="95"/>
        <v>0.66862870273086628</v>
      </c>
    </row>
    <row r="461" spans="1:18" x14ac:dyDescent="0.3">
      <c r="A461" s="2">
        <v>911</v>
      </c>
      <c r="B461" s="41" t="s">
        <v>1682</v>
      </c>
      <c r="C461" s="2">
        <v>2</v>
      </c>
      <c r="D461" s="2" t="s">
        <v>237</v>
      </c>
      <c r="E461" s="294">
        <v>87177.3</v>
      </c>
      <c r="F461" s="296">
        <v>101150</v>
      </c>
      <c r="G461" s="352">
        <v>5</v>
      </c>
      <c r="H461" s="296">
        <f t="shared" si="90"/>
        <v>435886.5</v>
      </c>
      <c r="I461" s="122">
        <f t="shared" si="91"/>
        <v>505750</v>
      </c>
      <c r="J461" s="331">
        <f t="shared" si="92"/>
        <v>69863.5</v>
      </c>
      <c r="K461" s="292">
        <f>'09-RESUMEN'!$F$43/1375</f>
        <v>81431.961035221175</v>
      </c>
      <c r="L461" s="122">
        <f>('ESTADO RESULTADOS'!$C$36+'ESTADO RESULTADOS'!$C$71)/1375</f>
        <v>24762.287272727273</v>
      </c>
      <c r="M461" s="122">
        <v>0</v>
      </c>
      <c r="N461" s="122">
        <f t="shared" si="96"/>
        <v>542080.74830794847</v>
      </c>
      <c r="O461" s="122">
        <f t="shared" si="97"/>
        <v>108416.14966158969</v>
      </c>
      <c r="P461" s="336">
        <f t="shared" si="93"/>
        <v>-36330.748307948466</v>
      </c>
      <c r="Q461" s="336">
        <f t="shared" si="94"/>
        <v>21238.849661589687</v>
      </c>
      <c r="R461" s="303">
        <f t="shared" si="95"/>
        <v>0.24362821126129952</v>
      </c>
    </row>
    <row r="462" spans="1:18" x14ac:dyDescent="0.3">
      <c r="A462" s="2">
        <v>914</v>
      </c>
      <c r="B462" s="41" t="s">
        <v>1683</v>
      </c>
      <c r="C462" s="2">
        <v>10</v>
      </c>
      <c r="D462" s="2" t="s">
        <v>12</v>
      </c>
      <c r="E462" s="294">
        <v>25600.05</v>
      </c>
      <c r="F462" s="296">
        <v>29266.666666666668</v>
      </c>
      <c r="G462" s="352">
        <v>20</v>
      </c>
      <c r="H462" s="296">
        <f t="shared" si="90"/>
        <v>512001</v>
      </c>
      <c r="I462" s="122">
        <f t="shared" si="91"/>
        <v>585333.33333333337</v>
      </c>
      <c r="J462" s="331">
        <f t="shared" si="92"/>
        <v>73332.333333333372</v>
      </c>
      <c r="K462" s="292">
        <f>'09-RESUMEN'!$F$43/1375</f>
        <v>81431.961035221175</v>
      </c>
      <c r="L462" s="122">
        <f>('ESTADO RESULTADOS'!$C$36+'ESTADO RESULTADOS'!$C$71)/1375</f>
        <v>24762.287272727273</v>
      </c>
      <c r="M462" s="122">
        <v>0</v>
      </c>
      <c r="N462" s="122">
        <f t="shared" si="96"/>
        <v>618195.24830794835</v>
      </c>
      <c r="O462" s="122">
        <f t="shared" si="97"/>
        <v>30909.762415397417</v>
      </c>
      <c r="P462" s="336">
        <f t="shared" si="93"/>
        <v>-32861.914974614978</v>
      </c>
      <c r="Q462" s="336">
        <f t="shared" si="94"/>
        <v>5309.7124153974182</v>
      </c>
      <c r="R462" s="303">
        <f t="shared" si="95"/>
        <v>0.20741023612834422</v>
      </c>
    </row>
    <row r="463" spans="1:18" x14ac:dyDescent="0.3">
      <c r="A463" s="2">
        <v>915</v>
      </c>
      <c r="B463" s="41" t="s">
        <v>405</v>
      </c>
      <c r="C463" s="2">
        <v>6</v>
      </c>
      <c r="D463" s="2" t="s">
        <v>12</v>
      </c>
      <c r="E463" s="294">
        <v>51428.34</v>
      </c>
      <c r="F463" s="296">
        <v>59666.666666666664</v>
      </c>
      <c r="G463" s="352">
        <v>14</v>
      </c>
      <c r="H463" s="296">
        <f t="shared" si="90"/>
        <v>719996.76</v>
      </c>
      <c r="I463" s="122">
        <f t="shared" si="91"/>
        <v>835333.33333333326</v>
      </c>
      <c r="J463" s="331">
        <f t="shared" si="92"/>
        <v>115336.57333333325</v>
      </c>
      <c r="K463" s="292">
        <f>'09-RESUMEN'!$F$43/1375</f>
        <v>81431.961035221175</v>
      </c>
      <c r="L463" s="122">
        <f>('ESTADO RESULTADOS'!$C$36+'ESTADO RESULTADOS'!$C$71)/1375</f>
        <v>24762.287272727273</v>
      </c>
      <c r="M463" s="122">
        <v>0</v>
      </c>
      <c r="N463" s="122">
        <f t="shared" si="96"/>
        <v>826191.00830794836</v>
      </c>
      <c r="O463" s="122">
        <f t="shared" si="97"/>
        <v>59013.643450567739</v>
      </c>
      <c r="P463" s="336">
        <f t="shared" si="93"/>
        <v>9142.3250253848964</v>
      </c>
      <c r="Q463" s="336">
        <f t="shared" si="94"/>
        <v>7585.3034505677424</v>
      </c>
      <c r="R463" s="303">
        <f t="shared" si="95"/>
        <v>0.14749267525585588</v>
      </c>
    </row>
    <row r="464" spans="1:18" x14ac:dyDescent="0.3">
      <c r="A464" s="2">
        <v>916</v>
      </c>
      <c r="B464" s="41" t="s">
        <v>406</v>
      </c>
      <c r="C464" s="2">
        <v>4</v>
      </c>
      <c r="D464" s="2" t="s">
        <v>81</v>
      </c>
      <c r="E464" s="294">
        <v>18230.36</v>
      </c>
      <c r="F464" s="296">
        <v>22000</v>
      </c>
      <c r="G464" s="352">
        <v>20</v>
      </c>
      <c r="H464" s="296">
        <f t="shared" si="90"/>
        <v>364607.2</v>
      </c>
      <c r="I464" s="122">
        <f t="shared" si="91"/>
        <v>440000</v>
      </c>
      <c r="J464" s="331">
        <f t="shared" si="92"/>
        <v>75392.799999999988</v>
      </c>
      <c r="K464" s="292">
        <f>'09-RESUMEN'!$F$43/1375</f>
        <v>81431.961035221175</v>
      </c>
      <c r="L464" s="122">
        <f>('ESTADO RESULTADOS'!$C$36+'ESTADO RESULTADOS'!$C$71)/1375</f>
        <v>24762.287272727273</v>
      </c>
      <c r="M464" s="122">
        <v>0</v>
      </c>
      <c r="N464" s="122">
        <f t="shared" si="96"/>
        <v>470801.44830794848</v>
      </c>
      <c r="O464" s="122">
        <f t="shared" si="97"/>
        <v>23540.072415397422</v>
      </c>
      <c r="P464" s="336">
        <f t="shared" si="93"/>
        <v>-30801.448307948478</v>
      </c>
      <c r="Q464" s="336">
        <f t="shared" si="94"/>
        <v>5309.7124153974219</v>
      </c>
      <c r="R464" s="303">
        <f t="shared" si="95"/>
        <v>0.29125658601351928</v>
      </c>
    </row>
    <row r="465" spans="1:18" x14ac:dyDescent="0.3">
      <c r="A465" s="2">
        <v>917</v>
      </c>
      <c r="B465" s="41" t="s">
        <v>407</v>
      </c>
      <c r="C465" s="2">
        <v>6</v>
      </c>
      <c r="D465" s="2" t="s">
        <v>81</v>
      </c>
      <c r="E465" s="294">
        <v>26914.080000000002</v>
      </c>
      <c r="F465" s="296">
        <v>34083.333333333336</v>
      </c>
      <c r="G465" s="352">
        <v>6</v>
      </c>
      <c r="H465" s="296">
        <f t="shared" si="90"/>
        <v>161484.48000000001</v>
      </c>
      <c r="I465" s="122">
        <f t="shared" si="91"/>
        <v>204500</v>
      </c>
      <c r="J465" s="331">
        <f t="shared" si="92"/>
        <v>43015.51999999999</v>
      </c>
      <c r="K465" s="292">
        <f>'09-RESUMEN'!$F$43/1375</f>
        <v>81431.961035221175</v>
      </c>
      <c r="L465" s="122">
        <f>('ESTADO RESULTADOS'!$C$36+'ESTADO RESULTADOS'!$C$71)/1375</f>
        <v>24762.287272727273</v>
      </c>
      <c r="M465" s="122">
        <v>0</v>
      </c>
      <c r="N465" s="122">
        <f t="shared" si="96"/>
        <v>267678.72830794845</v>
      </c>
      <c r="O465" s="122">
        <f t="shared" si="97"/>
        <v>44613.121384658072</v>
      </c>
      <c r="P465" s="336">
        <f t="shared" si="93"/>
        <v>-63178.728307948448</v>
      </c>
      <c r="Q465" s="336">
        <f t="shared" si="94"/>
        <v>17699.04138465807</v>
      </c>
      <c r="R465" s="303">
        <f t="shared" si="95"/>
        <v>0.65761272109832736</v>
      </c>
    </row>
    <row r="466" spans="1:18" x14ac:dyDescent="0.3">
      <c r="A466" s="2">
        <v>918</v>
      </c>
      <c r="B466" s="41" t="s">
        <v>1684</v>
      </c>
      <c r="C466" s="2">
        <v>11</v>
      </c>
      <c r="D466" s="2" t="s">
        <v>12</v>
      </c>
      <c r="E466" s="294">
        <v>23500</v>
      </c>
      <c r="F466" s="296">
        <v>26300</v>
      </c>
      <c r="G466" s="352">
        <v>30</v>
      </c>
      <c r="H466" s="296">
        <f t="shared" si="90"/>
        <v>705000</v>
      </c>
      <c r="I466" s="122">
        <f t="shared" si="91"/>
        <v>789000</v>
      </c>
      <c r="J466" s="331">
        <f t="shared" si="92"/>
        <v>84000</v>
      </c>
      <c r="K466" s="292">
        <f>'09-RESUMEN'!$F$43/1375</f>
        <v>81431.961035221175</v>
      </c>
      <c r="L466" s="122">
        <f>('ESTADO RESULTADOS'!$C$36+'ESTADO RESULTADOS'!$C$71)/1375</f>
        <v>24762.287272727273</v>
      </c>
      <c r="M466" s="122">
        <v>0</v>
      </c>
      <c r="N466" s="122">
        <f t="shared" si="96"/>
        <v>811194.24830794835</v>
      </c>
      <c r="O466" s="122">
        <f t="shared" si="97"/>
        <v>27039.808276931613</v>
      </c>
      <c r="P466" s="336">
        <f t="shared" si="93"/>
        <v>-22194.24830794835</v>
      </c>
      <c r="Q466" s="336">
        <f t="shared" si="94"/>
        <v>3539.8082769316134</v>
      </c>
      <c r="R466" s="303">
        <f t="shared" si="95"/>
        <v>0.15063013944389844</v>
      </c>
    </row>
    <row r="467" spans="1:18" x14ac:dyDescent="0.3">
      <c r="A467" s="2">
        <v>922</v>
      </c>
      <c r="B467" s="41" t="s">
        <v>408</v>
      </c>
      <c r="C467" s="2">
        <v>9</v>
      </c>
      <c r="D467" s="2" t="s">
        <v>237</v>
      </c>
      <c r="E467" s="294">
        <v>214916.38</v>
      </c>
      <c r="F467" s="296">
        <v>238033</v>
      </c>
      <c r="G467" s="352">
        <v>4</v>
      </c>
      <c r="H467" s="296">
        <f t="shared" si="90"/>
        <v>859665.52</v>
      </c>
      <c r="I467" s="122">
        <f t="shared" si="91"/>
        <v>952132</v>
      </c>
      <c r="J467" s="331">
        <f t="shared" si="92"/>
        <v>92466.479999999981</v>
      </c>
      <c r="K467" s="292">
        <f>'09-RESUMEN'!$F$43/1375</f>
        <v>81431.961035221175</v>
      </c>
      <c r="L467" s="122">
        <f>('ESTADO RESULTADOS'!$C$36+'ESTADO RESULTADOS'!$C$71)/1375</f>
        <v>24762.287272727273</v>
      </c>
      <c r="M467" s="122">
        <v>0</v>
      </c>
      <c r="N467" s="122">
        <f t="shared" si="96"/>
        <v>965859.76830794837</v>
      </c>
      <c r="O467" s="122">
        <f t="shared" si="97"/>
        <v>241464.94207698709</v>
      </c>
      <c r="P467" s="336">
        <f t="shared" si="93"/>
        <v>-13727.768307948369</v>
      </c>
      <c r="Q467" s="336">
        <f t="shared" si="94"/>
        <v>26548.562076987087</v>
      </c>
      <c r="R467" s="303">
        <f t="shared" si="95"/>
        <v>0.1235297285250528</v>
      </c>
    </row>
    <row r="468" spans="1:18" x14ac:dyDescent="0.3">
      <c r="A468" s="2">
        <v>923</v>
      </c>
      <c r="B468" s="41" t="s">
        <v>409</v>
      </c>
      <c r="C468" s="2">
        <v>9</v>
      </c>
      <c r="D468" s="2" t="s">
        <v>237</v>
      </c>
      <c r="E468" s="294">
        <v>150632.57999999999</v>
      </c>
      <c r="F468" s="296">
        <v>182000</v>
      </c>
      <c r="G468" s="352">
        <v>5</v>
      </c>
      <c r="H468" s="296">
        <f t="shared" si="90"/>
        <v>753162.89999999991</v>
      </c>
      <c r="I468" s="122">
        <f t="shared" si="91"/>
        <v>910000</v>
      </c>
      <c r="J468" s="331">
        <f t="shared" si="92"/>
        <v>156837.10000000009</v>
      </c>
      <c r="K468" s="292">
        <f>'09-RESUMEN'!$F$43/1375</f>
        <v>81431.961035221175</v>
      </c>
      <c r="L468" s="122">
        <f>('ESTADO RESULTADOS'!$C$36+'ESTADO RESULTADOS'!$C$71)/1375</f>
        <v>24762.287272727273</v>
      </c>
      <c r="M468" s="122">
        <v>0</v>
      </c>
      <c r="N468" s="122">
        <f t="shared" si="96"/>
        <v>859357.14830794826</v>
      </c>
      <c r="O468" s="122">
        <f t="shared" si="97"/>
        <v>171871.42966158965</v>
      </c>
      <c r="P468" s="336">
        <f t="shared" si="93"/>
        <v>50642.851692051743</v>
      </c>
      <c r="Q468" s="336">
        <f t="shared" si="94"/>
        <v>21238.849661589658</v>
      </c>
      <c r="R468" s="303">
        <f t="shared" si="95"/>
        <v>0.14099771551140969</v>
      </c>
    </row>
    <row r="469" spans="1:18" x14ac:dyDescent="0.3">
      <c r="A469" s="2">
        <v>926</v>
      </c>
      <c r="B469" s="41" t="s">
        <v>410</v>
      </c>
      <c r="C469" s="2">
        <v>1</v>
      </c>
      <c r="D469" s="2" t="s">
        <v>237</v>
      </c>
      <c r="E469" s="321">
        <v>178500</v>
      </c>
      <c r="F469" s="322">
        <v>206333.33333333334</v>
      </c>
      <c r="G469" s="353">
        <v>15</v>
      </c>
      <c r="H469" s="322">
        <f t="shared" si="90"/>
        <v>2677500</v>
      </c>
      <c r="I469" s="122">
        <f t="shared" si="91"/>
        <v>3095000</v>
      </c>
      <c r="J469" s="331">
        <f t="shared" si="92"/>
        <v>417500</v>
      </c>
      <c r="K469" s="292">
        <f>'09-RESUMEN'!$F$43/1375</f>
        <v>81431.961035221175</v>
      </c>
      <c r="L469" s="122">
        <f>('ESTADO RESULTADOS'!$C$36+'ESTADO RESULTADOS'!$C$71)/1375</f>
        <v>24762.287272727273</v>
      </c>
      <c r="M469" s="122">
        <v>0</v>
      </c>
      <c r="N469" s="122">
        <f t="shared" si="96"/>
        <v>2783694.2483079485</v>
      </c>
      <c r="O469" s="122">
        <f t="shared" si="97"/>
        <v>185579.61655386322</v>
      </c>
      <c r="P469" s="336">
        <f t="shared" si="93"/>
        <v>311305.75169205153</v>
      </c>
      <c r="Q469" s="336">
        <f t="shared" si="94"/>
        <v>7079.6165538632195</v>
      </c>
      <c r="R469" s="303">
        <f t="shared" si="95"/>
        <v>3.9661717388589465E-2</v>
      </c>
    </row>
    <row r="470" spans="1:18" x14ac:dyDescent="0.3">
      <c r="A470" s="2">
        <v>928</v>
      </c>
      <c r="B470" s="41" t="s">
        <v>1685</v>
      </c>
      <c r="C470" s="2">
        <v>1</v>
      </c>
      <c r="D470" s="2" t="s">
        <v>237</v>
      </c>
      <c r="E470" s="321">
        <v>200000</v>
      </c>
      <c r="F470" s="322">
        <v>209000</v>
      </c>
      <c r="G470" s="353">
        <v>141</v>
      </c>
      <c r="H470" s="322">
        <f t="shared" si="90"/>
        <v>28200000</v>
      </c>
      <c r="I470" s="122">
        <f t="shared" si="91"/>
        <v>29469000</v>
      </c>
      <c r="J470" s="331">
        <f t="shared" si="92"/>
        <v>1269000</v>
      </c>
      <c r="K470" s="292">
        <f>'09-RESUMEN'!$F$43/1375</f>
        <v>81431.961035221175</v>
      </c>
      <c r="L470" s="122">
        <f>('ESTADO RESULTADOS'!$C$36+'ESTADO RESULTADOS'!$C$71)/1375</f>
        <v>24762.287272727273</v>
      </c>
      <c r="M470" s="122">
        <v>0</v>
      </c>
      <c r="N470" s="122">
        <f t="shared" si="96"/>
        <v>28306194.248307951</v>
      </c>
      <c r="O470" s="122">
        <f t="shared" si="97"/>
        <v>200753.15069721951</v>
      </c>
      <c r="P470" s="336">
        <f t="shared" si="93"/>
        <v>1162805.7516920492</v>
      </c>
      <c r="Q470" s="336">
        <f t="shared" si="94"/>
        <v>753.15069721950567</v>
      </c>
      <c r="R470" s="303">
        <f t="shared" si="95"/>
        <v>3.7657534860975283E-3</v>
      </c>
    </row>
    <row r="471" spans="1:18" x14ac:dyDescent="0.3">
      <c r="A471" s="2">
        <v>929</v>
      </c>
      <c r="B471" s="41" t="s">
        <v>411</v>
      </c>
      <c r="C471" s="2">
        <v>1</v>
      </c>
      <c r="D471" s="2" t="s">
        <v>237</v>
      </c>
      <c r="E471" s="321">
        <v>165000</v>
      </c>
      <c r="F471" s="322">
        <v>174200</v>
      </c>
      <c r="G471" s="353">
        <v>507</v>
      </c>
      <c r="H471" s="322">
        <f t="shared" si="90"/>
        <v>83655000</v>
      </c>
      <c r="I471" s="122">
        <f t="shared" si="91"/>
        <v>88319400</v>
      </c>
      <c r="J471" s="331">
        <f t="shared" si="92"/>
        <v>4664400</v>
      </c>
      <c r="K471" s="292">
        <f>'09-RESUMEN'!$F$43/1375</f>
        <v>81431.961035221175</v>
      </c>
      <c r="L471" s="122">
        <f>('ESTADO RESULTADOS'!$C$36+'ESTADO RESULTADOS'!$C$71)/1375</f>
        <v>24762.287272727273</v>
      </c>
      <c r="M471" s="122">
        <v>0</v>
      </c>
      <c r="N471" s="122">
        <f t="shared" si="96"/>
        <v>83761194.248307943</v>
      </c>
      <c r="O471" s="122">
        <f t="shared" si="97"/>
        <v>165209.45611106104</v>
      </c>
      <c r="P471" s="336">
        <f t="shared" si="93"/>
        <v>4558205.7516920567</v>
      </c>
      <c r="Q471" s="336">
        <f t="shared" si="94"/>
        <v>209.45611106103752</v>
      </c>
      <c r="R471" s="303">
        <f t="shared" si="95"/>
        <v>1.2694309761275E-3</v>
      </c>
    </row>
    <row r="472" spans="1:18" x14ac:dyDescent="0.3">
      <c r="A472" s="2">
        <v>930</v>
      </c>
      <c r="B472" s="41" t="s">
        <v>412</v>
      </c>
      <c r="C472" s="2">
        <v>14</v>
      </c>
      <c r="D472" s="2" t="s">
        <v>81</v>
      </c>
      <c r="E472" s="294">
        <v>36794</v>
      </c>
      <c r="F472" s="296">
        <v>40416.666666666664</v>
      </c>
      <c r="G472" s="352">
        <v>5</v>
      </c>
      <c r="H472" s="296">
        <f t="shared" si="90"/>
        <v>183970</v>
      </c>
      <c r="I472" s="122">
        <f t="shared" si="91"/>
        <v>202083.33333333331</v>
      </c>
      <c r="J472" s="331">
        <f t="shared" si="92"/>
        <v>18113.333333333314</v>
      </c>
      <c r="K472" s="292">
        <f>'09-RESUMEN'!$F$43/1375</f>
        <v>81431.961035221175</v>
      </c>
      <c r="L472" s="122">
        <f>('ESTADO RESULTADOS'!$C$36+'ESTADO RESULTADOS'!$C$71)/1375</f>
        <v>24762.287272727273</v>
      </c>
      <c r="M472" s="122">
        <v>0</v>
      </c>
      <c r="N472" s="122">
        <f t="shared" si="96"/>
        <v>290164.24830794847</v>
      </c>
      <c r="O472" s="122">
        <f t="shared" si="97"/>
        <v>58032.849661589695</v>
      </c>
      <c r="P472" s="336">
        <f t="shared" si="93"/>
        <v>-88080.914974615152</v>
      </c>
      <c r="Q472" s="336">
        <f t="shared" si="94"/>
        <v>21238.849661589695</v>
      </c>
      <c r="R472" s="303">
        <f t="shared" si="95"/>
        <v>0.5772367685380686</v>
      </c>
    </row>
    <row r="473" spans="1:18" x14ac:dyDescent="0.3">
      <c r="A473" s="2">
        <v>932</v>
      </c>
      <c r="B473" s="41" t="s">
        <v>1686</v>
      </c>
      <c r="C473" s="2">
        <v>14</v>
      </c>
      <c r="D473" s="2" t="s">
        <v>81</v>
      </c>
      <c r="E473" s="294">
        <v>5286</v>
      </c>
      <c r="F473" s="296">
        <v>6500</v>
      </c>
      <c r="G473" s="352">
        <v>6</v>
      </c>
      <c r="H473" s="296">
        <f t="shared" si="90"/>
        <v>31716</v>
      </c>
      <c r="I473" s="122">
        <f t="shared" si="91"/>
        <v>39000</v>
      </c>
      <c r="J473" s="331">
        <f t="shared" si="92"/>
        <v>7284</v>
      </c>
      <c r="K473" s="292">
        <f>'09-RESUMEN'!$F$43/1375</f>
        <v>81431.961035221175</v>
      </c>
      <c r="L473" s="122">
        <f>('ESTADO RESULTADOS'!$C$36+'ESTADO RESULTADOS'!$C$71)/1375</f>
        <v>24762.287272727273</v>
      </c>
      <c r="M473" s="122">
        <v>0</v>
      </c>
      <c r="N473" s="122">
        <f t="shared" si="96"/>
        <v>137910.24830794844</v>
      </c>
      <c r="O473" s="122">
        <f t="shared" si="97"/>
        <v>22985.041384658074</v>
      </c>
      <c r="P473" s="336">
        <f t="shared" si="93"/>
        <v>-98910.248307948437</v>
      </c>
      <c r="Q473" s="336">
        <f t="shared" si="94"/>
        <v>17699.041384658074</v>
      </c>
      <c r="R473" s="303">
        <f t="shared" si="95"/>
        <v>3.3482863005406873</v>
      </c>
    </row>
    <row r="474" spans="1:18" x14ac:dyDescent="0.3">
      <c r="A474" s="2">
        <v>933</v>
      </c>
      <c r="B474" s="41" t="s">
        <v>413</v>
      </c>
      <c r="C474" s="2">
        <v>14</v>
      </c>
      <c r="D474" s="2" t="s">
        <v>81</v>
      </c>
      <c r="E474" s="294">
        <v>9217</v>
      </c>
      <c r="F474" s="296">
        <v>11000</v>
      </c>
      <c r="G474" s="352">
        <v>7</v>
      </c>
      <c r="H474" s="296">
        <f t="shared" si="90"/>
        <v>64519</v>
      </c>
      <c r="I474" s="122">
        <f t="shared" si="91"/>
        <v>77000</v>
      </c>
      <c r="J474" s="331">
        <f t="shared" si="92"/>
        <v>12481</v>
      </c>
      <c r="K474" s="292">
        <f>'09-RESUMEN'!$F$43/1375</f>
        <v>81431.961035221175</v>
      </c>
      <c r="L474" s="122">
        <f>('ESTADO RESULTADOS'!$C$36+'ESTADO RESULTADOS'!$C$71)/1375</f>
        <v>24762.287272727273</v>
      </c>
      <c r="M474" s="122">
        <v>0</v>
      </c>
      <c r="N474" s="122">
        <f t="shared" si="96"/>
        <v>170713.24830794844</v>
      </c>
      <c r="O474" s="122">
        <f t="shared" si="97"/>
        <v>24387.606901135492</v>
      </c>
      <c r="P474" s="336">
        <f t="shared" si="93"/>
        <v>-93713.248307948437</v>
      </c>
      <c r="Q474" s="336">
        <f t="shared" si="94"/>
        <v>15170.606901135492</v>
      </c>
      <c r="R474" s="303">
        <f t="shared" si="95"/>
        <v>1.6459376045497984</v>
      </c>
    </row>
    <row r="475" spans="1:18" x14ac:dyDescent="0.3">
      <c r="A475" s="2">
        <v>935</v>
      </c>
      <c r="B475" s="41" t="s">
        <v>1687</v>
      </c>
      <c r="C475" s="2">
        <v>7</v>
      </c>
      <c r="D475" s="2" t="s">
        <v>160</v>
      </c>
      <c r="E475" s="294">
        <v>2500</v>
      </c>
      <c r="F475" s="296">
        <v>3533.3333333333335</v>
      </c>
      <c r="G475" s="352">
        <v>7</v>
      </c>
      <c r="H475" s="296">
        <f t="shared" si="90"/>
        <v>17500</v>
      </c>
      <c r="I475" s="122">
        <f t="shared" si="91"/>
        <v>24733.333333333336</v>
      </c>
      <c r="J475" s="331">
        <f t="shared" si="92"/>
        <v>7233.3333333333358</v>
      </c>
      <c r="K475" s="292">
        <f>'09-RESUMEN'!$F$43/1375</f>
        <v>81431.961035221175</v>
      </c>
      <c r="L475" s="122">
        <f>('ESTADO RESULTADOS'!$C$36+'ESTADO RESULTADOS'!$C$71)/1375</f>
        <v>24762.287272727273</v>
      </c>
      <c r="M475" s="122">
        <v>0</v>
      </c>
      <c r="N475" s="122">
        <f t="shared" si="96"/>
        <v>123694.24830794845</v>
      </c>
      <c r="O475" s="122">
        <f t="shared" si="97"/>
        <v>17670.606901135492</v>
      </c>
      <c r="P475" s="336">
        <f t="shared" si="93"/>
        <v>-98960.914974615123</v>
      </c>
      <c r="Q475" s="336">
        <f t="shared" si="94"/>
        <v>15170.606901135492</v>
      </c>
      <c r="R475" s="303">
        <f t="shared" si="95"/>
        <v>6.0682427604541971</v>
      </c>
    </row>
    <row r="476" spans="1:18" x14ac:dyDescent="0.3">
      <c r="A476" s="2">
        <v>937</v>
      </c>
      <c r="B476" s="41" t="s">
        <v>414</v>
      </c>
      <c r="C476" s="2">
        <v>4</v>
      </c>
      <c r="D476" s="2" t="s">
        <v>5</v>
      </c>
      <c r="E476" s="294">
        <v>30615</v>
      </c>
      <c r="F476" s="296">
        <v>39216.666666666664</v>
      </c>
      <c r="G476" s="352">
        <v>26</v>
      </c>
      <c r="H476" s="296">
        <f t="shared" si="90"/>
        <v>795990</v>
      </c>
      <c r="I476" s="122">
        <f t="shared" si="91"/>
        <v>1019633.3333333333</v>
      </c>
      <c r="J476" s="331">
        <f t="shared" si="92"/>
        <v>223643.33333333326</v>
      </c>
      <c r="K476" s="292">
        <f>'09-RESUMEN'!$F$43/1375</f>
        <v>81431.961035221175</v>
      </c>
      <c r="L476" s="122">
        <f>('ESTADO RESULTADOS'!$C$36+'ESTADO RESULTADOS'!$C$71)/1375</f>
        <v>24762.287272727273</v>
      </c>
      <c r="M476" s="122">
        <v>0</v>
      </c>
      <c r="N476" s="122">
        <f t="shared" si="96"/>
        <v>902184.24830794835</v>
      </c>
      <c r="O476" s="122">
        <f t="shared" si="97"/>
        <v>34699.394165690319</v>
      </c>
      <c r="P476" s="336">
        <f t="shared" si="93"/>
        <v>117449.08502538491</v>
      </c>
      <c r="Q476" s="336">
        <f t="shared" si="94"/>
        <v>4084.3941656903189</v>
      </c>
      <c r="R476" s="303">
        <f t="shared" si="95"/>
        <v>0.13341153570767006</v>
      </c>
    </row>
    <row r="477" spans="1:18" x14ac:dyDescent="0.3">
      <c r="A477" s="2">
        <v>941</v>
      </c>
      <c r="B477" s="41" t="s">
        <v>415</v>
      </c>
      <c r="C477" s="2">
        <v>2</v>
      </c>
      <c r="D477" s="2" t="s">
        <v>5</v>
      </c>
      <c r="E477" s="294">
        <v>12100.0005</v>
      </c>
      <c r="F477" s="296">
        <v>14200</v>
      </c>
      <c r="G477" s="352">
        <v>5</v>
      </c>
      <c r="H477" s="296">
        <f t="shared" si="90"/>
        <v>60500.002500000002</v>
      </c>
      <c r="I477" s="122">
        <f t="shared" si="91"/>
        <v>71000</v>
      </c>
      <c r="J477" s="331">
        <f t="shared" si="92"/>
        <v>10499.997499999998</v>
      </c>
      <c r="K477" s="292">
        <f>'09-RESUMEN'!$F$43/1375</f>
        <v>81431.961035221175</v>
      </c>
      <c r="L477" s="122">
        <f>('ESTADO RESULTADOS'!$C$36+'ESTADO RESULTADOS'!$C$71)/1375</f>
        <v>24762.287272727273</v>
      </c>
      <c r="M477" s="122">
        <v>0</v>
      </c>
      <c r="N477" s="122">
        <f t="shared" si="96"/>
        <v>166694.25080794844</v>
      </c>
      <c r="O477" s="122">
        <f t="shared" si="97"/>
        <v>33338.850161589689</v>
      </c>
      <c r="P477" s="336">
        <f t="shared" si="93"/>
        <v>-95694.25080794844</v>
      </c>
      <c r="Q477" s="336">
        <f t="shared" si="94"/>
        <v>21238.849661589687</v>
      </c>
      <c r="R477" s="303">
        <f t="shared" si="95"/>
        <v>1.7552767590042404</v>
      </c>
    </row>
    <row r="478" spans="1:18" x14ac:dyDescent="0.3">
      <c r="A478" s="2">
        <v>942</v>
      </c>
      <c r="B478" s="41" t="s">
        <v>416</v>
      </c>
      <c r="C478" s="2">
        <v>2</v>
      </c>
      <c r="D478" s="2" t="s">
        <v>23</v>
      </c>
      <c r="E478" s="294">
        <v>3999.9960000000001</v>
      </c>
      <c r="F478" s="296">
        <v>4466.666666666667</v>
      </c>
      <c r="G478" s="352">
        <v>15</v>
      </c>
      <c r="H478" s="296">
        <f t="shared" si="90"/>
        <v>59999.94</v>
      </c>
      <c r="I478" s="122">
        <f t="shared" si="91"/>
        <v>67000</v>
      </c>
      <c r="J478" s="331">
        <f t="shared" si="92"/>
        <v>7000.0599999999977</v>
      </c>
      <c r="K478" s="292">
        <f>'09-RESUMEN'!$F$43/1375</f>
        <v>81431.961035221175</v>
      </c>
      <c r="L478" s="122">
        <f>('ESTADO RESULTADOS'!$C$36+'ESTADO RESULTADOS'!$C$71)/1375</f>
        <v>24762.287272727273</v>
      </c>
      <c r="M478" s="122">
        <v>0</v>
      </c>
      <c r="N478" s="122">
        <f t="shared" si="96"/>
        <v>166194.18830794844</v>
      </c>
      <c r="O478" s="122">
        <f t="shared" si="97"/>
        <v>11079.61255386323</v>
      </c>
      <c r="P478" s="336">
        <f t="shared" si="93"/>
        <v>-99194.18830794844</v>
      </c>
      <c r="Q478" s="336">
        <f t="shared" si="94"/>
        <v>7079.6165538632295</v>
      </c>
      <c r="R478" s="303">
        <f t="shared" si="95"/>
        <v>1.7699059083717157</v>
      </c>
    </row>
    <row r="479" spans="1:18" x14ac:dyDescent="0.3">
      <c r="A479" s="2">
        <v>945</v>
      </c>
      <c r="B479" s="41" t="s">
        <v>417</v>
      </c>
      <c r="C479" s="2">
        <v>6</v>
      </c>
      <c r="D479" s="2" t="s">
        <v>12</v>
      </c>
      <c r="E479" s="294">
        <v>88900</v>
      </c>
      <c r="F479" s="296">
        <v>102000</v>
      </c>
      <c r="G479" s="352">
        <v>21</v>
      </c>
      <c r="H479" s="296">
        <f t="shared" si="90"/>
        <v>1866900</v>
      </c>
      <c r="I479" s="122">
        <f t="shared" si="91"/>
        <v>2142000</v>
      </c>
      <c r="J479" s="331">
        <f t="shared" si="92"/>
        <v>275100</v>
      </c>
      <c r="K479" s="292">
        <f>'09-RESUMEN'!$F$43/1375</f>
        <v>81431.961035221175</v>
      </c>
      <c r="L479" s="122">
        <f>('ESTADO RESULTADOS'!$C$36+'ESTADO RESULTADOS'!$C$71)/1375</f>
        <v>24762.287272727273</v>
      </c>
      <c r="M479" s="122">
        <v>0</v>
      </c>
      <c r="N479" s="122">
        <f t="shared" si="96"/>
        <v>1973094.2483079485</v>
      </c>
      <c r="O479" s="122">
        <f t="shared" si="97"/>
        <v>93956.868967045171</v>
      </c>
      <c r="P479" s="336">
        <f t="shared" si="93"/>
        <v>168905.75169205153</v>
      </c>
      <c r="Q479" s="336">
        <f t="shared" si="94"/>
        <v>5056.8689670451713</v>
      </c>
      <c r="R479" s="303">
        <f t="shared" si="95"/>
        <v>5.6882665546064921E-2</v>
      </c>
    </row>
    <row r="480" spans="1:18" x14ac:dyDescent="0.3">
      <c r="A480" s="2">
        <v>947</v>
      </c>
      <c r="B480" s="41" t="s">
        <v>418</v>
      </c>
      <c r="C480" s="2">
        <v>14</v>
      </c>
      <c r="D480" s="2" t="s">
        <v>12</v>
      </c>
      <c r="E480" s="294">
        <v>19643.0769</v>
      </c>
      <c r="F480" s="296">
        <v>22800</v>
      </c>
      <c r="G480" s="352">
        <v>8</v>
      </c>
      <c r="H480" s="296">
        <f t="shared" si="90"/>
        <v>157144.6152</v>
      </c>
      <c r="I480" s="122">
        <f t="shared" si="91"/>
        <v>182400</v>
      </c>
      <c r="J480" s="331">
        <f t="shared" si="92"/>
        <v>25255.3848</v>
      </c>
      <c r="K480" s="292">
        <f>'09-RESUMEN'!$F$43/1375</f>
        <v>81431.961035221175</v>
      </c>
      <c r="L480" s="122">
        <f>('ESTADO RESULTADOS'!$C$36+'ESTADO RESULTADOS'!$C$71)/1375</f>
        <v>24762.287272727273</v>
      </c>
      <c r="M480" s="122">
        <v>0</v>
      </c>
      <c r="N480" s="122">
        <f t="shared" si="96"/>
        <v>263338.86350794847</v>
      </c>
      <c r="O480" s="122">
        <f t="shared" si="97"/>
        <v>32917.357938493558</v>
      </c>
      <c r="P480" s="336">
        <f t="shared" si="93"/>
        <v>-80938.863507948467</v>
      </c>
      <c r="Q480" s="336">
        <f t="shared" si="94"/>
        <v>13274.281038493558</v>
      </c>
      <c r="R480" s="303">
        <f t="shared" si="95"/>
        <v>0.67577401982749241</v>
      </c>
    </row>
    <row r="481" spans="1:18" x14ac:dyDescent="0.3">
      <c r="A481" s="2">
        <v>951</v>
      </c>
      <c r="B481" s="41" t="s">
        <v>420</v>
      </c>
      <c r="C481" s="2">
        <v>9</v>
      </c>
      <c r="D481" s="2" t="s">
        <v>12</v>
      </c>
      <c r="E481" s="294">
        <v>16481.5</v>
      </c>
      <c r="F481" s="296">
        <v>18733.333333333332</v>
      </c>
      <c r="G481" s="352">
        <v>22</v>
      </c>
      <c r="H481" s="296">
        <f t="shared" si="90"/>
        <v>362593</v>
      </c>
      <c r="I481" s="122">
        <f t="shared" si="91"/>
        <v>412133.33333333331</v>
      </c>
      <c r="J481" s="331">
        <f t="shared" si="92"/>
        <v>49540.333333333314</v>
      </c>
      <c r="K481" s="292">
        <f>'09-RESUMEN'!$F$43/1375</f>
        <v>81431.961035221175</v>
      </c>
      <c r="L481" s="122">
        <f>('ESTADO RESULTADOS'!$C$36+'ESTADO RESULTADOS'!$C$71)/1375</f>
        <v>24762.287272727273</v>
      </c>
      <c r="M481" s="122">
        <v>0</v>
      </c>
      <c r="N481" s="122">
        <f t="shared" si="96"/>
        <v>468787.24830794847</v>
      </c>
      <c r="O481" s="122">
        <f t="shared" si="97"/>
        <v>21308.51128672493</v>
      </c>
      <c r="P481" s="336">
        <f t="shared" si="93"/>
        <v>-56653.914974615152</v>
      </c>
      <c r="Q481" s="336">
        <f t="shared" si="94"/>
        <v>4827.01128672493</v>
      </c>
      <c r="R481" s="303">
        <f t="shared" si="95"/>
        <v>0.29287451304340806</v>
      </c>
    </row>
    <row r="482" spans="1:18" x14ac:dyDescent="0.3">
      <c r="A482" s="2">
        <v>953</v>
      </c>
      <c r="B482" s="41" t="s">
        <v>421</v>
      </c>
      <c r="C482" s="2">
        <v>14</v>
      </c>
      <c r="D482" s="2" t="s">
        <v>81</v>
      </c>
      <c r="E482" s="294">
        <v>14856</v>
      </c>
      <c r="F482" s="296">
        <v>17166.666666666668</v>
      </c>
      <c r="G482" s="352">
        <v>8</v>
      </c>
      <c r="H482" s="296">
        <f t="shared" si="90"/>
        <v>118848</v>
      </c>
      <c r="I482" s="122">
        <f t="shared" si="91"/>
        <v>137333.33333333334</v>
      </c>
      <c r="J482" s="331">
        <f t="shared" si="92"/>
        <v>18485.333333333343</v>
      </c>
      <c r="K482" s="292">
        <f>'09-RESUMEN'!$F$43/1375</f>
        <v>81431.961035221175</v>
      </c>
      <c r="L482" s="122">
        <f>('ESTADO RESULTADOS'!$C$36+'ESTADO RESULTADOS'!$C$71)/1375</f>
        <v>24762.287272727273</v>
      </c>
      <c r="M482" s="122">
        <v>0</v>
      </c>
      <c r="N482" s="122">
        <f t="shared" si="96"/>
        <v>225042.24830794844</v>
      </c>
      <c r="O482" s="122">
        <f t="shared" si="97"/>
        <v>28130.281038493555</v>
      </c>
      <c r="P482" s="336">
        <f t="shared" si="93"/>
        <v>-87708.914974615094</v>
      </c>
      <c r="Q482" s="336">
        <f t="shared" si="94"/>
        <v>13274.281038493555</v>
      </c>
      <c r="R482" s="303">
        <f t="shared" si="95"/>
        <v>0.89352995681835989</v>
      </c>
    </row>
    <row r="483" spans="1:18" x14ac:dyDescent="0.3">
      <c r="A483" s="2">
        <v>956</v>
      </c>
      <c r="B483" s="41" t="s">
        <v>422</v>
      </c>
      <c r="C483" s="2">
        <v>14</v>
      </c>
      <c r="D483" s="2" t="s">
        <v>81</v>
      </c>
      <c r="E483" s="294">
        <v>9757</v>
      </c>
      <c r="F483" s="296">
        <v>12500</v>
      </c>
      <c r="G483" s="352">
        <v>11</v>
      </c>
      <c r="H483" s="296">
        <f t="shared" si="90"/>
        <v>107327</v>
      </c>
      <c r="I483" s="122">
        <f t="shared" si="91"/>
        <v>137500</v>
      </c>
      <c r="J483" s="331">
        <f t="shared" si="92"/>
        <v>30173</v>
      </c>
      <c r="K483" s="292">
        <f>'09-RESUMEN'!$F$43/1375</f>
        <v>81431.961035221175</v>
      </c>
      <c r="L483" s="122">
        <f>('ESTADO RESULTADOS'!$C$36+'ESTADO RESULTADOS'!$C$71)/1375</f>
        <v>24762.287272727273</v>
      </c>
      <c r="M483" s="122">
        <v>0</v>
      </c>
      <c r="N483" s="122">
        <f t="shared" si="96"/>
        <v>213521.24830794844</v>
      </c>
      <c r="O483" s="122">
        <f t="shared" si="97"/>
        <v>19411.022573449856</v>
      </c>
      <c r="P483" s="336">
        <f t="shared" si="93"/>
        <v>-76021.248307948437</v>
      </c>
      <c r="Q483" s="336">
        <f t="shared" si="94"/>
        <v>9654.0225734498563</v>
      </c>
      <c r="R483" s="303">
        <f t="shared" si="95"/>
        <v>0.98944579004303124</v>
      </c>
    </row>
    <row r="484" spans="1:18" x14ac:dyDescent="0.3">
      <c r="A484" s="2">
        <v>958</v>
      </c>
      <c r="B484" s="41" t="s">
        <v>1688</v>
      </c>
      <c r="C484" s="2">
        <v>14</v>
      </c>
      <c r="D484" s="2" t="s">
        <v>81</v>
      </c>
      <c r="E484" s="294">
        <v>12174</v>
      </c>
      <c r="F484" s="296">
        <v>17300</v>
      </c>
      <c r="G484" s="352">
        <v>0</v>
      </c>
      <c r="H484" s="296">
        <f t="shared" si="90"/>
        <v>0</v>
      </c>
      <c r="I484" s="122">
        <f t="shared" si="91"/>
        <v>0</v>
      </c>
      <c r="J484" s="331">
        <f t="shared" si="92"/>
        <v>0</v>
      </c>
      <c r="K484" s="292">
        <f>'09-RESUMEN'!$F$43/1375</f>
        <v>81431.961035221175</v>
      </c>
      <c r="L484" s="122">
        <f>('ESTADO RESULTADOS'!$C$36+'ESTADO RESULTADOS'!$C$71)/1375</f>
        <v>24762.287272727273</v>
      </c>
      <c r="M484" s="122">
        <v>0</v>
      </c>
      <c r="N484" s="122">
        <f>SUM(E484+K484+L484+M484)</f>
        <v>118368.24830794845</v>
      </c>
      <c r="O484" s="122">
        <f>N484</f>
        <v>118368.24830794845</v>
      </c>
      <c r="P484" s="336">
        <f t="shared" si="93"/>
        <v>-118368.24830794845</v>
      </c>
      <c r="Q484" s="336">
        <f t="shared" si="94"/>
        <v>106194.24830794845</v>
      </c>
      <c r="R484" s="303">
        <f t="shared" si="95"/>
        <v>8.7230366607481891</v>
      </c>
    </row>
    <row r="485" spans="1:18" x14ac:dyDescent="0.3">
      <c r="A485" s="2">
        <v>959</v>
      </c>
      <c r="B485" s="41" t="s">
        <v>1689</v>
      </c>
      <c r="C485" s="2">
        <v>14</v>
      </c>
      <c r="D485" s="2" t="s">
        <v>81</v>
      </c>
      <c r="E485" s="294">
        <v>5826</v>
      </c>
      <c r="F485" s="296">
        <v>8000</v>
      </c>
      <c r="G485" s="352">
        <v>4</v>
      </c>
      <c r="H485" s="296">
        <f t="shared" si="90"/>
        <v>23304</v>
      </c>
      <c r="I485" s="122">
        <f t="shared" si="91"/>
        <v>32000</v>
      </c>
      <c r="J485" s="331">
        <f t="shared" si="92"/>
        <v>8696</v>
      </c>
      <c r="K485" s="292">
        <f>'09-RESUMEN'!$F$43/1375</f>
        <v>81431.961035221175</v>
      </c>
      <c r="L485" s="122">
        <f>('ESTADO RESULTADOS'!$C$36+'ESTADO RESULTADOS'!$C$71)/1375</f>
        <v>24762.287272727273</v>
      </c>
      <c r="M485" s="122">
        <v>0</v>
      </c>
      <c r="N485" s="122">
        <f>SUM(H485+K485+L485+M485)</f>
        <v>129498.24830794845</v>
      </c>
      <c r="O485" s="122">
        <f>N485/G485</f>
        <v>32374.562076987113</v>
      </c>
      <c r="P485" s="336">
        <f t="shared" si="93"/>
        <v>-97498.248307948452</v>
      </c>
      <c r="Q485" s="336">
        <f t="shared" si="94"/>
        <v>26548.562076987113</v>
      </c>
      <c r="R485" s="303">
        <f t="shared" si="95"/>
        <v>4.5569107581508952</v>
      </c>
    </row>
    <row r="486" spans="1:18" x14ac:dyDescent="0.3">
      <c r="A486" s="2">
        <v>960</v>
      </c>
      <c r="B486" s="41" t="s">
        <v>423</v>
      </c>
      <c r="C486" s="2">
        <v>14</v>
      </c>
      <c r="D486" s="2" t="s">
        <v>81</v>
      </c>
      <c r="E486" s="294">
        <v>5416.8</v>
      </c>
      <c r="F486" s="296">
        <v>6300</v>
      </c>
      <c r="G486" s="352">
        <v>11</v>
      </c>
      <c r="H486" s="296">
        <f t="shared" si="90"/>
        <v>59584.800000000003</v>
      </c>
      <c r="I486" s="122">
        <f t="shared" si="91"/>
        <v>69300</v>
      </c>
      <c r="J486" s="331">
        <f t="shared" si="92"/>
        <v>9715.1999999999971</v>
      </c>
      <c r="K486" s="292">
        <f>'09-RESUMEN'!$F$43/1375</f>
        <v>81431.961035221175</v>
      </c>
      <c r="L486" s="122">
        <f>('ESTADO RESULTADOS'!$C$36+'ESTADO RESULTADOS'!$C$71)/1375</f>
        <v>24762.287272727273</v>
      </c>
      <c r="M486" s="122">
        <v>0</v>
      </c>
      <c r="N486" s="122">
        <f>SUM(H486+K486+L486+M486)</f>
        <v>165779.04830794843</v>
      </c>
      <c r="O486" s="122">
        <f>N486/G486</f>
        <v>15070.822573449857</v>
      </c>
      <c r="P486" s="336">
        <f t="shared" si="93"/>
        <v>-96479.048307948426</v>
      </c>
      <c r="Q486" s="336">
        <f t="shared" si="94"/>
        <v>9654.0225734498563</v>
      </c>
      <c r="R486" s="303">
        <f t="shared" si="95"/>
        <v>1.7822372200284036</v>
      </c>
    </row>
    <row r="487" spans="1:18" x14ac:dyDescent="0.3">
      <c r="A487" s="2">
        <v>962</v>
      </c>
      <c r="B487" s="41" t="s">
        <v>424</v>
      </c>
      <c r="C487" s="2">
        <v>14</v>
      </c>
      <c r="D487" s="2" t="s">
        <v>12</v>
      </c>
      <c r="E487" s="294">
        <v>16970</v>
      </c>
      <c r="F487" s="296">
        <v>21000</v>
      </c>
      <c r="G487" s="352">
        <v>3</v>
      </c>
      <c r="H487" s="296">
        <f t="shared" si="90"/>
        <v>50910</v>
      </c>
      <c r="I487" s="122">
        <f t="shared" si="91"/>
        <v>63000</v>
      </c>
      <c r="J487" s="331">
        <f t="shared" si="92"/>
        <v>12090</v>
      </c>
      <c r="K487" s="292">
        <f>'09-RESUMEN'!$F$43/1375</f>
        <v>81431.961035221175</v>
      </c>
      <c r="L487" s="122">
        <f>('ESTADO RESULTADOS'!$C$36+'ESTADO RESULTADOS'!$C$71)/1375</f>
        <v>24762.287272727273</v>
      </c>
      <c r="M487" s="122">
        <v>0</v>
      </c>
      <c r="N487" s="122">
        <f>SUM(H487+K487+L487+M487)</f>
        <v>157104.24830794844</v>
      </c>
      <c r="O487" s="122">
        <f>N487/G487</f>
        <v>52368.082769316148</v>
      </c>
      <c r="P487" s="336">
        <f t="shared" si="93"/>
        <v>-94104.248307948437</v>
      </c>
      <c r="Q487" s="336">
        <f t="shared" si="94"/>
        <v>35398.082769316148</v>
      </c>
      <c r="R487" s="303">
        <f t="shared" si="95"/>
        <v>2.0859212003132672</v>
      </c>
    </row>
    <row r="488" spans="1:18" x14ac:dyDescent="0.3">
      <c r="A488" s="2">
        <v>964</v>
      </c>
      <c r="B488" s="41" t="s">
        <v>1690</v>
      </c>
      <c r="C488" s="2">
        <v>7</v>
      </c>
      <c r="D488" s="2" t="s">
        <v>35</v>
      </c>
      <c r="E488" s="294">
        <v>10030</v>
      </c>
      <c r="F488" s="296">
        <v>12000</v>
      </c>
      <c r="G488" s="352">
        <v>0</v>
      </c>
      <c r="H488" s="296">
        <f t="shared" si="90"/>
        <v>0</v>
      </c>
      <c r="I488" s="122">
        <f t="shared" si="91"/>
        <v>0</v>
      </c>
      <c r="J488" s="331">
        <f t="shared" si="92"/>
        <v>0</v>
      </c>
      <c r="K488" s="292">
        <f>'09-RESUMEN'!$F$43/1375</f>
        <v>81431.961035221175</v>
      </c>
      <c r="L488" s="122">
        <f>('ESTADO RESULTADOS'!$C$36+'ESTADO RESULTADOS'!$C$71)/1375</f>
        <v>24762.287272727273</v>
      </c>
      <c r="M488" s="122">
        <v>0</v>
      </c>
      <c r="N488" s="122">
        <f>SUM(E488+K488+L488+M488)</f>
        <v>116224.24830794845</v>
      </c>
      <c r="O488" s="122">
        <f>N488</f>
        <v>116224.24830794845</v>
      </c>
      <c r="P488" s="336">
        <f t="shared" si="93"/>
        <v>-116224.24830794845</v>
      </c>
      <c r="Q488" s="336">
        <f t="shared" si="94"/>
        <v>106194.24830794845</v>
      </c>
      <c r="R488" s="303">
        <f t="shared" si="95"/>
        <v>10.587661845259069</v>
      </c>
    </row>
    <row r="489" spans="1:18" x14ac:dyDescent="0.3">
      <c r="A489" s="2">
        <v>966</v>
      </c>
      <c r="B489" s="41" t="s">
        <v>1691</v>
      </c>
      <c r="C489" s="2">
        <v>7</v>
      </c>
      <c r="D489" s="2" t="s">
        <v>5</v>
      </c>
      <c r="E489" s="294">
        <v>13000</v>
      </c>
      <c r="F489" s="296">
        <v>16500</v>
      </c>
      <c r="G489" s="352">
        <v>8</v>
      </c>
      <c r="H489" s="296">
        <f t="shared" si="90"/>
        <v>104000</v>
      </c>
      <c r="I489" s="122">
        <f t="shared" si="91"/>
        <v>132000</v>
      </c>
      <c r="J489" s="331">
        <f t="shared" si="92"/>
        <v>28000</v>
      </c>
      <c r="K489" s="292">
        <f>'09-RESUMEN'!$F$43/1375</f>
        <v>81431.961035221175</v>
      </c>
      <c r="L489" s="122">
        <f>('ESTADO RESULTADOS'!$C$36+'ESTADO RESULTADOS'!$C$71)/1375</f>
        <v>24762.287272727273</v>
      </c>
      <c r="M489" s="122">
        <v>0</v>
      </c>
      <c r="N489" s="122">
        <f t="shared" ref="N489:N504" si="98">SUM(H489+K489+L489+M489)</f>
        <v>210194.24830794844</v>
      </c>
      <c r="O489" s="122">
        <f t="shared" ref="O489:O504" si="99">N489/G489</f>
        <v>26274.281038493555</v>
      </c>
      <c r="P489" s="336">
        <f t="shared" si="93"/>
        <v>-78194.248307948437</v>
      </c>
      <c r="Q489" s="336">
        <f t="shared" si="94"/>
        <v>13274.281038493555</v>
      </c>
      <c r="R489" s="303">
        <f t="shared" si="95"/>
        <v>1.0210985414225811</v>
      </c>
    </row>
    <row r="490" spans="1:18" x14ac:dyDescent="0.3">
      <c r="A490" s="2">
        <v>967</v>
      </c>
      <c r="B490" s="41" t="s">
        <v>425</v>
      </c>
      <c r="C490" s="2">
        <v>10</v>
      </c>
      <c r="D490" s="2" t="s">
        <v>12</v>
      </c>
      <c r="E490" s="294">
        <v>9699.9</v>
      </c>
      <c r="F490" s="296">
        <v>11583.333333333334</v>
      </c>
      <c r="G490" s="352">
        <v>29</v>
      </c>
      <c r="H490" s="296">
        <f t="shared" si="90"/>
        <v>281297.09999999998</v>
      </c>
      <c r="I490" s="122">
        <f t="shared" si="91"/>
        <v>335916.66666666669</v>
      </c>
      <c r="J490" s="331">
        <f t="shared" si="92"/>
        <v>54619.566666666709</v>
      </c>
      <c r="K490" s="292">
        <f>'09-RESUMEN'!$F$43/1375</f>
        <v>81431.961035221175</v>
      </c>
      <c r="L490" s="122">
        <f>('ESTADO RESULTADOS'!$C$36+'ESTADO RESULTADOS'!$C$71)/1375</f>
        <v>24762.287272727273</v>
      </c>
      <c r="M490" s="122">
        <v>0</v>
      </c>
      <c r="N490" s="122">
        <f t="shared" si="98"/>
        <v>387491.34830794844</v>
      </c>
      <c r="O490" s="122">
        <f t="shared" si="99"/>
        <v>13361.770631308567</v>
      </c>
      <c r="P490" s="336">
        <f t="shared" si="93"/>
        <v>-51574.681641281757</v>
      </c>
      <c r="Q490" s="336">
        <f t="shared" si="94"/>
        <v>3661.8706313085677</v>
      </c>
      <c r="R490" s="303">
        <f t="shared" si="95"/>
        <v>0.37751632813828678</v>
      </c>
    </row>
    <row r="491" spans="1:18" x14ac:dyDescent="0.3">
      <c r="A491" s="2">
        <v>969</v>
      </c>
      <c r="B491" s="41" t="s">
        <v>1692</v>
      </c>
      <c r="C491" s="2">
        <v>2</v>
      </c>
      <c r="D491" s="2" t="s">
        <v>12</v>
      </c>
      <c r="E491" s="294">
        <v>153199.99799999999</v>
      </c>
      <c r="F491" s="296">
        <v>169000</v>
      </c>
      <c r="G491" s="352">
        <v>14</v>
      </c>
      <c r="H491" s="296">
        <f t="shared" si="90"/>
        <v>2144799.9720000001</v>
      </c>
      <c r="I491" s="122">
        <f t="shared" si="91"/>
        <v>2366000</v>
      </c>
      <c r="J491" s="331">
        <f t="shared" si="92"/>
        <v>221200.02799999993</v>
      </c>
      <c r="K491" s="292">
        <f>'09-RESUMEN'!$F$43/1375</f>
        <v>81431.961035221175</v>
      </c>
      <c r="L491" s="122">
        <f>('ESTADO RESULTADOS'!$C$36+'ESTADO RESULTADOS'!$C$71)/1375</f>
        <v>24762.287272727273</v>
      </c>
      <c r="M491" s="122">
        <v>0</v>
      </c>
      <c r="N491" s="122">
        <f t="shared" si="98"/>
        <v>2250994.2203079485</v>
      </c>
      <c r="O491" s="122">
        <f t="shared" si="99"/>
        <v>160785.30145056776</v>
      </c>
      <c r="P491" s="336">
        <f t="shared" si="93"/>
        <v>115005.77969205147</v>
      </c>
      <c r="Q491" s="336">
        <f t="shared" si="94"/>
        <v>7585.3034505677642</v>
      </c>
      <c r="R491" s="303">
        <f t="shared" si="95"/>
        <v>4.9512425258437437E-2</v>
      </c>
    </row>
    <row r="492" spans="1:18" x14ac:dyDescent="0.3">
      <c r="A492" s="2">
        <v>974</v>
      </c>
      <c r="B492" s="41" t="s">
        <v>426</v>
      </c>
      <c r="C492" s="2">
        <v>2</v>
      </c>
      <c r="D492" s="2" t="s">
        <v>5</v>
      </c>
      <c r="E492" s="294">
        <v>2291.66</v>
      </c>
      <c r="F492" s="296">
        <v>2433.3333333333335</v>
      </c>
      <c r="G492" s="352">
        <v>1751</v>
      </c>
      <c r="H492" s="296">
        <f t="shared" si="90"/>
        <v>4012696.6599999997</v>
      </c>
      <c r="I492" s="122">
        <f t="shared" si="91"/>
        <v>4260766.666666667</v>
      </c>
      <c r="J492" s="331">
        <f t="shared" si="92"/>
        <v>248070.00666666729</v>
      </c>
      <c r="K492" s="292">
        <f>'09-RESUMEN'!$F$43/1375</f>
        <v>81431.961035221175</v>
      </c>
      <c r="L492" s="122">
        <f>('ESTADO RESULTADOS'!$C$36+'ESTADO RESULTADOS'!$C$71)/1375</f>
        <v>24762.287272727273</v>
      </c>
      <c r="M492" s="122">
        <v>0</v>
      </c>
      <c r="N492" s="122">
        <f t="shared" si="98"/>
        <v>4118890.9083079481</v>
      </c>
      <c r="O492" s="122">
        <f t="shared" si="99"/>
        <v>2352.3077717349788</v>
      </c>
      <c r="P492" s="336">
        <f t="shared" si="93"/>
        <v>141875.75835871883</v>
      </c>
      <c r="Q492" s="336">
        <f t="shared" si="94"/>
        <v>60.64777173497896</v>
      </c>
      <c r="R492" s="303">
        <f t="shared" si="95"/>
        <v>2.6464559199435765E-2</v>
      </c>
    </row>
    <row r="493" spans="1:18" x14ac:dyDescent="0.3">
      <c r="A493" s="2">
        <v>975</v>
      </c>
      <c r="B493" s="41" t="s">
        <v>427</v>
      </c>
      <c r="C493" s="2">
        <v>2</v>
      </c>
      <c r="D493" s="2" t="s">
        <v>237</v>
      </c>
      <c r="E493" s="294">
        <v>94500</v>
      </c>
      <c r="F493" s="296">
        <v>108833.33333333333</v>
      </c>
      <c r="G493" s="352">
        <v>41.5</v>
      </c>
      <c r="H493" s="296">
        <f t="shared" si="90"/>
        <v>3921750</v>
      </c>
      <c r="I493" s="122">
        <f t="shared" si="91"/>
        <v>4516583.333333333</v>
      </c>
      <c r="J493" s="331">
        <f t="shared" si="92"/>
        <v>594833.33333333302</v>
      </c>
      <c r="K493" s="292">
        <f>'09-RESUMEN'!$F$43/1375</f>
        <v>81431.961035221175</v>
      </c>
      <c r="L493" s="122">
        <f>('ESTADO RESULTADOS'!$C$36+'ESTADO RESULTADOS'!$C$71)/1375</f>
        <v>24762.287272727273</v>
      </c>
      <c r="M493" s="122">
        <v>0</v>
      </c>
      <c r="N493" s="122">
        <f t="shared" si="98"/>
        <v>4027944.2483079485</v>
      </c>
      <c r="O493" s="122">
        <f t="shared" si="99"/>
        <v>97058.897549589121</v>
      </c>
      <c r="P493" s="336">
        <f t="shared" si="93"/>
        <v>488639.08502538456</v>
      </c>
      <c r="Q493" s="336">
        <f t="shared" si="94"/>
        <v>2558.8975495891209</v>
      </c>
      <c r="R493" s="303">
        <f t="shared" si="95"/>
        <v>2.7078280948033027E-2</v>
      </c>
    </row>
    <row r="494" spans="1:18" x14ac:dyDescent="0.3">
      <c r="A494" s="2">
        <v>976</v>
      </c>
      <c r="B494" s="41" t="s">
        <v>428</v>
      </c>
      <c r="C494" s="2">
        <v>2</v>
      </c>
      <c r="D494" s="2" t="s">
        <v>237</v>
      </c>
      <c r="E494" s="294">
        <v>98000</v>
      </c>
      <c r="F494" s="296">
        <v>117666.66666666667</v>
      </c>
      <c r="G494" s="352">
        <v>57.5</v>
      </c>
      <c r="H494" s="296">
        <f t="shared" si="90"/>
        <v>5635000</v>
      </c>
      <c r="I494" s="122">
        <f t="shared" si="91"/>
        <v>6765833.333333334</v>
      </c>
      <c r="J494" s="331">
        <f t="shared" si="92"/>
        <v>1130833.333333334</v>
      </c>
      <c r="K494" s="292">
        <f>'09-RESUMEN'!$F$43/1375</f>
        <v>81431.961035221175</v>
      </c>
      <c r="L494" s="122">
        <f>('ESTADO RESULTADOS'!$C$36+'ESTADO RESULTADOS'!$C$71)/1375</f>
        <v>24762.287272727273</v>
      </c>
      <c r="M494" s="122">
        <v>0</v>
      </c>
      <c r="N494" s="122">
        <f t="shared" si="98"/>
        <v>5741194.248307948</v>
      </c>
      <c r="O494" s="122">
        <f t="shared" si="99"/>
        <v>99846.856492312145</v>
      </c>
      <c r="P494" s="336">
        <f t="shared" si="93"/>
        <v>1024639.085025386</v>
      </c>
      <c r="Q494" s="336">
        <f t="shared" si="94"/>
        <v>1846.8564923121448</v>
      </c>
      <c r="R494" s="303">
        <f t="shared" si="95"/>
        <v>1.8845474411348418E-2</v>
      </c>
    </row>
    <row r="495" spans="1:18" x14ac:dyDescent="0.3">
      <c r="A495" s="2">
        <v>977</v>
      </c>
      <c r="B495" s="41" t="s">
        <v>1693</v>
      </c>
      <c r="C495" s="2">
        <v>2</v>
      </c>
      <c r="D495" s="2" t="s">
        <v>5</v>
      </c>
      <c r="E495" s="294">
        <v>78631.350000000006</v>
      </c>
      <c r="F495" s="296">
        <v>103300</v>
      </c>
      <c r="G495" s="352">
        <v>2</v>
      </c>
      <c r="H495" s="296">
        <f t="shared" si="90"/>
        <v>157262.70000000001</v>
      </c>
      <c r="I495" s="122">
        <f t="shared" si="91"/>
        <v>206600</v>
      </c>
      <c r="J495" s="331">
        <f t="shared" si="92"/>
        <v>49337.299999999988</v>
      </c>
      <c r="K495" s="292">
        <f>'09-RESUMEN'!$F$43/1375</f>
        <v>81431.961035221175</v>
      </c>
      <c r="L495" s="122">
        <f>('ESTADO RESULTADOS'!$C$36+'ESTADO RESULTADOS'!$C$71)/1375</f>
        <v>24762.287272727273</v>
      </c>
      <c r="M495" s="122">
        <v>0</v>
      </c>
      <c r="N495" s="122">
        <f t="shared" si="98"/>
        <v>263456.94830794848</v>
      </c>
      <c r="O495" s="122">
        <f t="shared" si="99"/>
        <v>131728.47415397424</v>
      </c>
      <c r="P495" s="336">
        <f t="shared" si="93"/>
        <v>-56856.948307948478</v>
      </c>
      <c r="Q495" s="336">
        <f t="shared" si="94"/>
        <v>53097.124153974233</v>
      </c>
      <c r="R495" s="303">
        <f t="shared" si="95"/>
        <v>0.67526659727925609</v>
      </c>
    </row>
    <row r="496" spans="1:18" x14ac:dyDescent="0.3">
      <c r="A496" s="2">
        <v>978</v>
      </c>
      <c r="B496" s="41" t="s">
        <v>429</v>
      </c>
      <c r="C496" s="2">
        <v>2</v>
      </c>
      <c r="D496" s="2" t="s">
        <v>5</v>
      </c>
      <c r="E496" s="294">
        <v>34917.75</v>
      </c>
      <c r="F496" s="296">
        <v>38200</v>
      </c>
      <c r="G496" s="352">
        <v>16</v>
      </c>
      <c r="H496" s="296">
        <f t="shared" si="90"/>
        <v>558684</v>
      </c>
      <c r="I496" s="122">
        <f t="shared" si="91"/>
        <v>611200</v>
      </c>
      <c r="J496" s="331">
        <f t="shared" si="92"/>
        <v>52516</v>
      </c>
      <c r="K496" s="292">
        <f>'09-RESUMEN'!$F$43/1375</f>
        <v>81431.961035221175</v>
      </c>
      <c r="L496" s="122">
        <f>('ESTADO RESULTADOS'!$C$36+'ESTADO RESULTADOS'!$C$71)/1375</f>
        <v>24762.287272727273</v>
      </c>
      <c r="M496" s="122">
        <v>0</v>
      </c>
      <c r="N496" s="122">
        <f t="shared" si="98"/>
        <v>664878.24830794835</v>
      </c>
      <c r="O496" s="122">
        <f t="shared" si="99"/>
        <v>41554.890519246772</v>
      </c>
      <c r="P496" s="336">
        <f t="shared" si="93"/>
        <v>-53678.24830794835</v>
      </c>
      <c r="Q496" s="336">
        <f t="shared" si="94"/>
        <v>6637.1405192467719</v>
      </c>
      <c r="R496" s="303">
        <f t="shared" si="95"/>
        <v>0.19007927255469703</v>
      </c>
    </row>
    <row r="497" spans="1:18" x14ac:dyDescent="0.3">
      <c r="A497" s="2">
        <v>979</v>
      </c>
      <c r="B497" s="41" t="s">
        <v>430</v>
      </c>
      <c r="C497" s="2">
        <v>2</v>
      </c>
      <c r="D497" s="2" t="s">
        <v>5</v>
      </c>
      <c r="E497" s="294">
        <v>1639.0921000000001</v>
      </c>
      <c r="F497" s="296">
        <v>1983.3333333333333</v>
      </c>
      <c r="G497" s="352">
        <v>304</v>
      </c>
      <c r="H497" s="296">
        <f t="shared" si="90"/>
        <v>498283.99840000004</v>
      </c>
      <c r="I497" s="122">
        <f t="shared" si="91"/>
        <v>602933.33333333326</v>
      </c>
      <c r="J497" s="331">
        <f t="shared" si="92"/>
        <v>104649.33493333322</v>
      </c>
      <c r="K497" s="292">
        <f>'09-RESUMEN'!$F$43/1375</f>
        <v>81431.961035221175</v>
      </c>
      <c r="L497" s="122">
        <f>('ESTADO RESULTADOS'!$C$36+'ESTADO RESULTADOS'!$C$71)/1375</f>
        <v>24762.287272727273</v>
      </c>
      <c r="M497" s="122">
        <v>0</v>
      </c>
      <c r="N497" s="122">
        <f t="shared" si="98"/>
        <v>604478.24670794851</v>
      </c>
      <c r="O497" s="122">
        <f t="shared" si="99"/>
        <v>1988.4152852235147</v>
      </c>
      <c r="P497" s="336">
        <f t="shared" si="93"/>
        <v>-1544.9133746152511</v>
      </c>
      <c r="Q497" s="336">
        <f t="shared" si="94"/>
        <v>349.32318522351466</v>
      </c>
      <c r="R497" s="303">
        <f t="shared" si="95"/>
        <v>0.21311992488006906</v>
      </c>
    </row>
    <row r="498" spans="1:18" x14ac:dyDescent="0.3">
      <c r="A498" s="2">
        <v>980</v>
      </c>
      <c r="B498" s="41" t="s">
        <v>431</v>
      </c>
      <c r="C498" s="2">
        <v>14</v>
      </c>
      <c r="D498" s="2" t="s">
        <v>419</v>
      </c>
      <c r="E498" s="294">
        <v>79856</v>
      </c>
      <c r="F498" s="296">
        <v>87716.666666666672</v>
      </c>
      <c r="G498" s="352">
        <v>6</v>
      </c>
      <c r="H498" s="296">
        <f t="shared" si="90"/>
        <v>479136</v>
      </c>
      <c r="I498" s="122">
        <f t="shared" si="91"/>
        <v>526300</v>
      </c>
      <c r="J498" s="331">
        <f t="shared" si="92"/>
        <v>47164</v>
      </c>
      <c r="K498" s="292">
        <f>'09-RESUMEN'!$F$43/1375</f>
        <v>81431.961035221175</v>
      </c>
      <c r="L498" s="122">
        <f>('ESTADO RESULTADOS'!$C$36+'ESTADO RESULTADOS'!$C$71)/1375</f>
        <v>24762.287272727273</v>
      </c>
      <c r="M498" s="122">
        <v>0</v>
      </c>
      <c r="N498" s="122">
        <f t="shared" si="98"/>
        <v>585330.24830794835</v>
      </c>
      <c r="O498" s="122">
        <f t="shared" si="99"/>
        <v>97555.041384658063</v>
      </c>
      <c r="P498" s="336">
        <f t="shared" si="93"/>
        <v>-59030.24830794835</v>
      </c>
      <c r="Q498" s="336">
        <f t="shared" si="94"/>
        <v>17699.041384658063</v>
      </c>
      <c r="R498" s="303">
        <f t="shared" si="95"/>
        <v>0.22163696384314344</v>
      </c>
    </row>
    <row r="499" spans="1:18" x14ac:dyDescent="0.3">
      <c r="A499" s="2">
        <v>981</v>
      </c>
      <c r="B499" s="41" t="s">
        <v>432</v>
      </c>
      <c r="C499" s="2">
        <v>12</v>
      </c>
      <c r="D499" s="2" t="s">
        <v>12</v>
      </c>
      <c r="E499" s="294">
        <v>2700</v>
      </c>
      <c r="F499" s="296">
        <v>3200</v>
      </c>
      <c r="G499" s="352">
        <v>22</v>
      </c>
      <c r="H499" s="296">
        <f t="shared" si="90"/>
        <v>59400</v>
      </c>
      <c r="I499" s="122">
        <f t="shared" si="91"/>
        <v>70400</v>
      </c>
      <c r="J499" s="331">
        <f t="shared" si="92"/>
        <v>11000</v>
      </c>
      <c r="K499" s="292">
        <f>'09-RESUMEN'!$F$43/1375</f>
        <v>81431.961035221175</v>
      </c>
      <c r="L499" s="122">
        <f>('ESTADO RESULTADOS'!$C$36+'ESTADO RESULTADOS'!$C$71)/1375</f>
        <v>24762.287272727273</v>
      </c>
      <c r="M499" s="122">
        <v>0</v>
      </c>
      <c r="N499" s="122">
        <f t="shared" si="98"/>
        <v>165594.24830794844</v>
      </c>
      <c r="O499" s="122">
        <f t="shared" si="99"/>
        <v>7527.0112867249291</v>
      </c>
      <c r="P499" s="336">
        <f t="shared" si="93"/>
        <v>-95194.248307948437</v>
      </c>
      <c r="Q499" s="336">
        <f t="shared" si="94"/>
        <v>4827.0112867249291</v>
      </c>
      <c r="R499" s="303">
        <f t="shared" si="95"/>
        <v>1.7877819580462699</v>
      </c>
    </row>
    <row r="500" spans="1:18" x14ac:dyDescent="0.3">
      <c r="A500" s="2">
        <v>982</v>
      </c>
      <c r="B500" s="41" t="s">
        <v>433</v>
      </c>
      <c r="C500" s="2">
        <v>2</v>
      </c>
      <c r="D500" s="2" t="s">
        <v>5</v>
      </c>
      <c r="E500" s="294">
        <v>2200</v>
      </c>
      <c r="F500" s="296">
        <v>2750</v>
      </c>
      <c r="G500" s="352">
        <v>2928</v>
      </c>
      <c r="H500" s="296">
        <f t="shared" si="90"/>
        <v>6441600</v>
      </c>
      <c r="I500" s="122">
        <f t="shared" si="91"/>
        <v>8052000</v>
      </c>
      <c r="J500" s="331">
        <f t="shared" si="92"/>
        <v>1610400</v>
      </c>
      <c r="K500" s="292">
        <f>'09-RESUMEN'!$F$43/1375</f>
        <v>81431.961035221175</v>
      </c>
      <c r="L500" s="122">
        <f>('ESTADO RESULTADOS'!$C$36+'ESTADO RESULTADOS'!$C$71)/1375</f>
        <v>24762.287272727273</v>
      </c>
      <c r="M500" s="122">
        <v>0</v>
      </c>
      <c r="N500" s="122">
        <f t="shared" si="98"/>
        <v>6547794.248307948</v>
      </c>
      <c r="O500" s="122">
        <f t="shared" si="99"/>
        <v>2236.2685274275777</v>
      </c>
      <c r="P500" s="336">
        <f t="shared" si="93"/>
        <v>1504205.751692052</v>
      </c>
      <c r="Q500" s="336">
        <f t="shared" si="94"/>
        <v>36.268527427577737</v>
      </c>
      <c r="R500" s="303">
        <f t="shared" si="95"/>
        <v>1.6485694285262607E-2</v>
      </c>
    </row>
    <row r="501" spans="1:18" x14ac:dyDescent="0.3">
      <c r="A501" s="2">
        <v>984</v>
      </c>
      <c r="B501" s="41" t="s">
        <v>434</v>
      </c>
      <c r="C501" s="2">
        <v>6</v>
      </c>
      <c r="D501" s="2" t="s">
        <v>5</v>
      </c>
      <c r="E501" s="294">
        <v>497000</v>
      </c>
      <c r="F501" s="296">
        <v>538000</v>
      </c>
      <c r="G501" s="352">
        <v>5</v>
      </c>
      <c r="H501" s="296">
        <f t="shared" si="90"/>
        <v>2485000</v>
      </c>
      <c r="I501" s="122">
        <f t="shared" si="91"/>
        <v>2690000</v>
      </c>
      <c r="J501" s="331">
        <f t="shared" si="92"/>
        <v>205000</v>
      </c>
      <c r="K501" s="292">
        <f>'09-RESUMEN'!$F$43/1375</f>
        <v>81431.961035221175</v>
      </c>
      <c r="L501" s="122">
        <f>('ESTADO RESULTADOS'!$C$36+'ESTADO RESULTADOS'!$C$71)/1375</f>
        <v>24762.287272727273</v>
      </c>
      <c r="M501" s="122">
        <v>0</v>
      </c>
      <c r="N501" s="122">
        <f t="shared" si="98"/>
        <v>2591194.2483079485</v>
      </c>
      <c r="O501" s="122">
        <f t="shared" si="99"/>
        <v>518238.84966158972</v>
      </c>
      <c r="P501" s="336">
        <f t="shared" si="93"/>
        <v>98805.751692051534</v>
      </c>
      <c r="Q501" s="336">
        <f t="shared" si="94"/>
        <v>21238.849661589717</v>
      </c>
      <c r="R501" s="303">
        <f t="shared" si="95"/>
        <v>4.2734103946860599E-2</v>
      </c>
    </row>
    <row r="502" spans="1:18" x14ac:dyDescent="0.3">
      <c r="A502" s="2">
        <v>988</v>
      </c>
      <c r="B502" s="41" t="s">
        <v>435</v>
      </c>
      <c r="C502" s="2">
        <v>9</v>
      </c>
      <c r="D502" s="2" t="s">
        <v>12</v>
      </c>
      <c r="E502" s="294">
        <v>14308</v>
      </c>
      <c r="F502" s="296">
        <v>16500</v>
      </c>
      <c r="G502" s="352">
        <v>3</v>
      </c>
      <c r="H502" s="296">
        <f t="shared" si="90"/>
        <v>42924</v>
      </c>
      <c r="I502" s="122">
        <f t="shared" si="91"/>
        <v>49500</v>
      </c>
      <c r="J502" s="331">
        <f t="shared" si="92"/>
        <v>6576</v>
      </c>
      <c r="K502" s="292">
        <f>'09-RESUMEN'!$F$43/1375</f>
        <v>81431.961035221175</v>
      </c>
      <c r="L502" s="122">
        <f>('ESTADO RESULTADOS'!$C$36+'ESTADO RESULTADOS'!$C$71)/1375</f>
        <v>24762.287272727273</v>
      </c>
      <c r="M502" s="122">
        <v>0</v>
      </c>
      <c r="N502" s="122">
        <f t="shared" si="98"/>
        <v>149118.24830794844</v>
      </c>
      <c r="O502" s="122">
        <f t="shared" si="99"/>
        <v>49706.082769316148</v>
      </c>
      <c r="P502" s="336">
        <f t="shared" si="93"/>
        <v>-99618.248307948437</v>
      </c>
      <c r="Q502" s="336">
        <f t="shared" si="94"/>
        <v>35398.082769316148</v>
      </c>
      <c r="R502" s="303">
        <f t="shared" si="95"/>
        <v>2.4740063439555597</v>
      </c>
    </row>
    <row r="503" spans="1:18" x14ac:dyDescent="0.3">
      <c r="A503" s="2">
        <v>997</v>
      </c>
      <c r="B503" s="41" t="s">
        <v>1694</v>
      </c>
      <c r="C503" s="2">
        <v>8</v>
      </c>
      <c r="D503" s="2" t="s">
        <v>41</v>
      </c>
      <c r="E503" s="294">
        <v>121250</v>
      </c>
      <c r="F503" s="296">
        <v>143000</v>
      </c>
      <c r="G503" s="352">
        <v>11</v>
      </c>
      <c r="H503" s="296">
        <f t="shared" si="90"/>
        <v>1333750</v>
      </c>
      <c r="I503" s="122">
        <f t="shared" si="91"/>
        <v>1573000</v>
      </c>
      <c r="J503" s="331">
        <f t="shared" si="92"/>
        <v>239250</v>
      </c>
      <c r="K503" s="292">
        <f>'09-RESUMEN'!$F$43/1375</f>
        <v>81431.961035221175</v>
      </c>
      <c r="L503" s="122">
        <f>('ESTADO RESULTADOS'!$C$36+'ESTADO RESULTADOS'!$C$71)/1375</f>
        <v>24762.287272727273</v>
      </c>
      <c r="M503" s="122">
        <v>0</v>
      </c>
      <c r="N503" s="122">
        <f t="shared" si="98"/>
        <v>1439944.2483079485</v>
      </c>
      <c r="O503" s="122">
        <f t="shared" si="99"/>
        <v>130904.02257344987</v>
      </c>
      <c r="P503" s="336">
        <f t="shared" si="93"/>
        <v>133055.75169205153</v>
      </c>
      <c r="Q503" s="336">
        <f t="shared" si="94"/>
        <v>9654.0225734498672</v>
      </c>
      <c r="R503" s="303">
        <f t="shared" si="95"/>
        <v>7.9620804729483435E-2</v>
      </c>
    </row>
    <row r="504" spans="1:18" x14ac:dyDescent="0.3">
      <c r="A504" s="2">
        <v>998</v>
      </c>
      <c r="B504" s="41" t="s">
        <v>1695</v>
      </c>
      <c r="C504" s="2">
        <v>7</v>
      </c>
      <c r="D504" s="2" t="s">
        <v>160</v>
      </c>
      <c r="E504" s="294">
        <v>7140</v>
      </c>
      <c r="F504" s="296">
        <v>8066.666666666667</v>
      </c>
      <c r="G504" s="352">
        <v>141</v>
      </c>
      <c r="H504" s="296">
        <f t="shared" si="90"/>
        <v>1006740</v>
      </c>
      <c r="I504" s="122">
        <f t="shared" si="91"/>
        <v>1137400</v>
      </c>
      <c r="J504" s="331">
        <f t="shared" si="92"/>
        <v>130660</v>
      </c>
      <c r="K504" s="292">
        <f>'09-RESUMEN'!$F$43/1375</f>
        <v>81431.961035221175</v>
      </c>
      <c r="L504" s="122">
        <f>('ESTADO RESULTADOS'!$C$36+'ESTADO RESULTADOS'!$C$71)/1375</f>
        <v>24762.287272727273</v>
      </c>
      <c r="M504" s="122">
        <v>0</v>
      </c>
      <c r="N504" s="122">
        <f t="shared" si="98"/>
        <v>1112934.2483079485</v>
      </c>
      <c r="O504" s="122">
        <f t="shared" si="99"/>
        <v>7893.1506972194929</v>
      </c>
      <c r="P504" s="336">
        <f t="shared" si="93"/>
        <v>24465.751692051534</v>
      </c>
      <c r="Q504" s="336">
        <f t="shared" si="94"/>
        <v>753.15069721949294</v>
      </c>
      <c r="R504" s="303">
        <f t="shared" si="95"/>
        <v>0.10548329092709985</v>
      </c>
    </row>
    <row r="505" spans="1:18" x14ac:dyDescent="0.3">
      <c r="A505" s="2">
        <v>1000</v>
      </c>
      <c r="B505" s="41" t="s">
        <v>1696</v>
      </c>
      <c r="C505" s="2">
        <v>5</v>
      </c>
      <c r="D505" s="2" t="s">
        <v>5</v>
      </c>
      <c r="E505" s="294">
        <v>10738.56</v>
      </c>
      <c r="F505" s="296">
        <v>12600</v>
      </c>
      <c r="G505" s="352">
        <v>0</v>
      </c>
      <c r="H505" s="296">
        <f t="shared" si="90"/>
        <v>0</v>
      </c>
      <c r="I505" s="122">
        <f t="shared" si="91"/>
        <v>0</v>
      </c>
      <c r="J505" s="331">
        <f t="shared" si="92"/>
        <v>0</v>
      </c>
      <c r="K505" s="292">
        <f>'09-RESUMEN'!$F$43/1375</f>
        <v>81431.961035221175</v>
      </c>
      <c r="L505" s="122">
        <f>('ESTADO RESULTADOS'!$C$36+'ESTADO RESULTADOS'!$C$71)/1375</f>
        <v>24762.287272727273</v>
      </c>
      <c r="M505" s="122">
        <v>0</v>
      </c>
      <c r="N505" s="122">
        <f>SUM(E505+K505+L505+M505)</f>
        <v>116932.80830794845</v>
      </c>
      <c r="O505" s="122">
        <f>N505</f>
        <v>116932.80830794845</v>
      </c>
      <c r="P505" s="336">
        <f t="shared" si="93"/>
        <v>-116932.80830794845</v>
      </c>
      <c r="Q505" s="336">
        <f t="shared" si="94"/>
        <v>106194.24830794845</v>
      </c>
      <c r="R505" s="303">
        <f t="shared" si="95"/>
        <v>9.8890585244156064</v>
      </c>
    </row>
    <row r="506" spans="1:18" x14ac:dyDescent="0.3">
      <c r="A506" s="2">
        <v>1001</v>
      </c>
      <c r="B506" s="41" t="s">
        <v>436</v>
      </c>
      <c r="C506" s="2">
        <v>5</v>
      </c>
      <c r="D506" s="2" t="s">
        <v>16</v>
      </c>
      <c r="E506" s="294">
        <v>42000</v>
      </c>
      <c r="F506" s="296">
        <v>52666.666666666664</v>
      </c>
      <c r="G506" s="352">
        <v>12</v>
      </c>
      <c r="H506" s="296">
        <f t="shared" si="90"/>
        <v>504000</v>
      </c>
      <c r="I506" s="122">
        <f t="shared" si="91"/>
        <v>632000</v>
      </c>
      <c r="J506" s="331">
        <f t="shared" si="92"/>
        <v>128000</v>
      </c>
      <c r="K506" s="292">
        <f>'09-RESUMEN'!$F$43/1375</f>
        <v>81431.961035221175</v>
      </c>
      <c r="L506" s="122">
        <f>('ESTADO RESULTADOS'!$C$36+'ESTADO RESULTADOS'!$C$71)/1375</f>
        <v>24762.287272727273</v>
      </c>
      <c r="M506" s="122">
        <v>0</v>
      </c>
      <c r="N506" s="122">
        <f>SUM(H506+K506+L506+M506)</f>
        <v>610194.24830794835</v>
      </c>
      <c r="O506" s="122">
        <f>N506/G506</f>
        <v>50849.520692329032</v>
      </c>
      <c r="P506" s="336">
        <f t="shared" si="93"/>
        <v>21805.75169205165</v>
      </c>
      <c r="Q506" s="336">
        <f t="shared" si="94"/>
        <v>8849.5206923290316</v>
      </c>
      <c r="R506" s="303">
        <f t="shared" si="95"/>
        <v>0.2107028736268817</v>
      </c>
    </row>
    <row r="507" spans="1:18" x14ac:dyDescent="0.3">
      <c r="A507" s="2">
        <v>1003</v>
      </c>
      <c r="B507" s="41" t="s">
        <v>437</v>
      </c>
      <c r="C507" s="2">
        <v>2</v>
      </c>
      <c r="D507" s="2" t="s">
        <v>5</v>
      </c>
      <c r="E507" s="294">
        <v>22150.002</v>
      </c>
      <c r="F507" s="296">
        <v>25583.333333333332</v>
      </c>
      <c r="G507" s="352">
        <v>17</v>
      </c>
      <c r="H507" s="296">
        <f t="shared" si="90"/>
        <v>376550.03399999999</v>
      </c>
      <c r="I507" s="122">
        <f t="shared" si="91"/>
        <v>434916.66666666663</v>
      </c>
      <c r="J507" s="331">
        <f t="shared" si="92"/>
        <v>58366.632666666643</v>
      </c>
      <c r="K507" s="292">
        <f>'09-RESUMEN'!$F$43/1375</f>
        <v>81431.961035221175</v>
      </c>
      <c r="L507" s="122">
        <f>('ESTADO RESULTADOS'!$C$36+'ESTADO RESULTADOS'!$C$71)/1375</f>
        <v>24762.287272727273</v>
      </c>
      <c r="M507" s="122">
        <v>0</v>
      </c>
      <c r="N507" s="122">
        <f>SUM(H507+K507+L507+M507)</f>
        <v>482744.28230794845</v>
      </c>
      <c r="O507" s="122">
        <f>N507/G507</f>
        <v>28396.72248870285</v>
      </c>
      <c r="P507" s="336">
        <f t="shared" si="93"/>
        <v>-47827.615641281824</v>
      </c>
      <c r="Q507" s="336">
        <f t="shared" si="94"/>
        <v>6246.7204887028493</v>
      </c>
      <c r="R507" s="303">
        <f t="shared" si="95"/>
        <v>0.28201895822415046</v>
      </c>
    </row>
    <row r="508" spans="1:18" x14ac:dyDescent="0.3">
      <c r="A508" s="2">
        <v>1011</v>
      </c>
      <c r="B508" s="41" t="s">
        <v>438</v>
      </c>
      <c r="C508" s="2">
        <v>14</v>
      </c>
      <c r="D508" s="2" t="s">
        <v>81</v>
      </c>
      <c r="E508" s="294">
        <v>6693</v>
      </c>
      <c r="F508" s="296">
        <v>8500</v>
      </c>
      <c r="G508" s="352">
        <v>0</v>
      </c>
      <c r="H508" s="296">
        <f t="shared" si="90"/>
        <v>0</v>
      </c>
      <c r="I508" s="122">
        <f t="shared" si="91"/>
        <v>0</v>
      </c>
      <c r="J508" s="331">
        <f t="shared" si="92"/>
        <v>0</v>
      </c>
      <c r="K508" s="292">
        <f>'09-RESUMEN'!$F$43/1375</f>
        <v>81431.961035221175</v>
      </c>
      <c r="L508" s="122">
        <f>('ESTADO RESULTADOS'!$C$36+'ESTADO RESULTADOS'!$C$71)/1375</f>
        <v>24762.287272727273</v>
      </c>
      <c r="M508" s="122">
        <v>0</v>
      </c>
      <c r="N508" s="122">
        <f>SUM(E508+K508+L508+M508)</f>
        <v>112887.24830794845</v>
      </c>
      <c r="O508" s="122">
        <f>N508</f>
        <v>112887.24830794845</v>
      </c>
      <c r="P508" s="336">
        <f t="shared" si="93"/>
        <v>-112887.24830794845</v>
      </c>
      <c r="Q508" s="336">
        <f t="shared" si="94"/>
        <v>106194.24830794845</v>
      </c>
      <c r="R508" s="303">
        <f t="shared" si="95"/>
        <v>15.866464710585456</v>
      </c>
    </row>
    <row r="509" spans="1:18" x14ac:dyDescent="0.3">
      <c r="A509" s="2">
        <v>1015</v>
      </c>
      <c r="B509" s="41" t="s">
        <v>439</v>
      </c>
      <c r="C509" s="2">
        <v>14</v>
      </c>
      <c r="D509" s="2" t="s">
        <v>56</v>
      </c>
      <c r="E509" s="294">
        <v>36485</v>
      </c>
      <c r="F509" s="296">
        <v>44916.666666666664</v>
      </c>
      <c r="G509" s="352">
        <v>7</v>
      </c>
      <c r="H509" s="296">
        <f t="shared" si="90"/>
        <v>255395</v>
      </c>
      <c r="I509" s="122">
        <f t="shared" si="91"/>
        <v>314416.66666666663</v>
      </c>
      <c r="J509" s="331">
        <f t="shared" si="92"/>
        <v>59021.666666666628</v>
      </c>
      <c r="K509" s="292">
        <f>'09-RESUMEN'!$F$43/1375</f>
        <v>81431.961035221175</v>
      </c>
      <c r="L509" s="122">
        <f>('ESTADO RESULTADOS'!$C$36+'ESTADO RESULTADOS'!$C$71)/1375</f>
        <v>24762.287272727273</v>
      </c>
      <c r="M509" s="122">
        <v>0</v>
      </c>
      <c r="N509" s="122">
        <f>SUM(H509+K509+L509+M509)</f>
        <v>361589.24830794847</v>
      </c>
      <c r="O509" s="122">
        <f>N509/G509</f>
        <v>51655.606901135492</v>
      </c>
      <c r="P509" s="336">
        <f t="shared" si="93"/>
        <v>-47172.581641281839</v>
      </c>
      <c r="Q509" s="336">
        <f t="shared" si="94"/>
        <v>15170.606901135492</v>
      </c>
      <c r="R509" s="303">
        <f t="shared" si="95"/>
        <v>0.41580394411773308</v>
      </c>
    </row>
    <row r="510" spans="1:18" x14ac:dyDescent="0.3">
      <c r="A510" s="2">
        <v>1017</v>
      </c>
      <c r="B510" s="41" t="s">
        <v>440</v>
      </c>
      <c r="C510" s="2">
        <v>14</v>
      </c>
      <c r="D510" s="2" t="s">
        <v>32</v>
      </c>
      <c r="E510" s="294">
        <v>21157</v>
      </c>
      <c r="F510" s="296">
        <v>25500</v>
      </c>
      <c r="G510" s="352">
        <v>0</v>
      </c>
      <c r="H510" s="296">
        <f t="shared" si="90"/>
        <v>0</v>
      </c>
      <c r="I510" s="122">
        <f t="shared" si="91"/>
        <v>0</v>
      </c>
      <c r="J510" s="331">
        <f t="shared" si="92"/>
        <v>0</v>
      </c>
      <c r="K510" s="292">
        <f>'09-RESUMEN'!$F$43/1375</f>
        <v>81431.961035221175</v>
      </c>
      <c r="L510" s="122">
        <f>('ESTADO RESULTADOS'!$C$36+'ESTADO RESULTADOS'!$C$71)/1375</f>
        <v>24762.287272727273</v>
      </c>
      <c r="M510" s="122">
        <v>0</v>
      </c>
      <c r="N510" s="122">
        <f>SUM(E510+K510+L510+M510)</f>
        <v>127351.24830794845</v>
      </c>
      <c r="O510" s="122">
        <f>N510</f>
        <v>127351.24830794845</v>
      </c>
      <c r="P510" s="336">
        <f t="shared" si="93"/>
        <v>-127351.24830794845</v>
      </c>
      <c r="Q510" s="336">
        <f t="shared" si="94"/>
        <v>106194.24830794845</v>
      </c>
      <c r="R510" s="303">
        <f t="shared" si="95"/>
        <v>5.0193433997234225</v>
      </c>
    </row>
    <row r="511" spans="1:18" x14ac:dyDescent="0.3">
      <c r="A511" s="2">
        <v>1018</v>
      </c>
      <c r="B511" s="41" t="s">
        <v>1697</v>
      </c>
      <c r="C511" s="2">
        <v>14</v>
      </c>
      <c r="D511" s="2" t="s">
        <v>81</v>
      </c>
      <c r="E511" s="294">
        <v>62319</v>
      </c>
      <c r="F511" s="296">
        <v>69200</v>
      </c>
      <c r="G511" s="352">
        <v>2</v>
      </c>
      <c r="H511" s="296">
        <f t="shared" si="90"/>
        <v>124638</v>
      </c>
      <c r="I511" s="122">
        <f t="shared" si="91"/>
        <v>138400</v>
      </c>
      <c r="J511" s="331">
        <f t="shared" si="92"/>
        <v>13762</v>
      </c>
      <c r="K511" s="292">
        <f>'09-RESUMEN'!$F$43/1375</f>
        <v>81431.961035221175</v>
      </c>
      <c r="L511" s="122">
        <f>('ESTADO RESULTADOS'!$C$36+'ESTADO RESULTADOS'!$C$71)/1375</f>
        <v>24762.287272727273</v>
      </c>
      <c r="M511" s="122">
        <v>0</v>
      </c>
      <c r="N511" s="122">
        <f t="shared" ref="N511:N518" si="100">SUM(H511+K511+L511+M511)</f>
        <v>230832.24830794844</v>
      </c>
      <c r="O511" s="122">
        <f t="shared" ref="O511:O518" si="101">N511/G511</f>
        <v>115416.12415397422</v>
      </c>
      <c r="P511" s="336">
        <f t="shared" si="93"/>
        <v>-92432.248307948437</v>
      </c>
      <c r="Q511" s="336">
        <f t="shared" si="94"/>
        <v>53097.124153974219</v>
      </c>
      <c r="R511" s="303">
        <f t="shared" si="95"/>
        <v>0.85202144055543605</v>
      </c>
    </row>
    <row r="512" spans="1:18" x14ac:dyDescent="0.3">
      <c r="A512" s="2">
        <v>1020</v>
      </c>
      <c r="B512" s="41" t="s">
        <v>441</v>
      </c>
      <c r="C512" s="2">
        <v>10</v>
      </c>
      <c r="D512" s="2" t="s">
        <v>12</v>
      </c>
      <c r="E512" s="294">
        <v>12971</v>
      </c>
      <c r="F512" s="296">
        <v>15200</v>
      </c>
      <c r="G512" s="352">
        <v>5</v>
      </c>
      <c r="H512" s="296">
        <f t="shared" si="90"/>
        <v>64855</v>
      </c>
      <c r="I512" s="122">
        <f t="shared" si="91"/>
        <v>76000</v>
      </c>
      <c r="J512" s="331">
        <f t="shared" si="92"/>
        <v>11145</v>
      </c>
      <c r="K512" s="292">
        <f>'09-RESUMEN'!$F$43/1375</f>
        <v>81431.961035221175</v>
      </c>
      <c r="L512" s="122">
        <f>('ESTADO RESULTADOS'!$C$36+'ESTADO RESULTADOS'!$C$71)/1375</f>
        <v>24762.287272727273</v>
      </c>
      <c r="M512" s="122">
        <v>0</v>
      </c>
      <c r="N512" s="122">
        <f t="shared" si="100"/>
        <v>171049.24830794844</v>
      </c>
      <c r="O512" s="122">
        <f t="shared" si="101"/>
        <v>34209.849661589687</v>
      </c>
      <c r="P512" s="336">
        <f t="shared" si="93"/>
        <v>-95049.248307948437</v>
      </c>
      <c r="Q512" s="336">
        <f t="shared" si="94"/>
        <v>21238.849661589687</v>
      </c>
      <c r="R512" s="303">
        <f t="shared" si="95"/>
        <v>1.6374103509050719</v>
      </c>
    </row>
    <row r="513" spans="1:18" x14ac:dyDescent="0.3">
      <c r="A513" s="2">
        <v>1025</v>
      </c>
      <c r="B513" s="41" t="s">
        <v>442</v>
      </c>
      <c r="C513" s="2">
        <v>2</v>
      </c>
      <c r="D513" s="2" t="s">
        <v>5</v>
      </c>
      <c r="E513" s="294">
        <v>20979</v>
      </c>
      <c r="F513" s="296">
        <v>23516.666666666668</v>
      </c>
      <c r="G513" s="352">
        <v>50</v>
      </c>
      <c r="H513" s="296">
        <f t="shared" si="90"/>
        <v>1048950</v>
      </c>
      <c r="I513" s="122">
        <f t="shared" si="91"/>
        <v>1175833.3333333335</v>
      </c>
      <c r="J513" s="331">
        <f t="shared" si="92"/>
        <v>126883.33333333349</v>
      </c>
      <c r="K513" s="292">
        <f>'09-RESUMEN'!$F$43/1375</f>
        <v>81431.961035221175</v>
      </c>
      <c r="L513" s="122">
        <f>('ESTADO RESULTADOS'!$C$36+'ESTADO RESULTADOS'!$C$71)/1375</f>
        <v>24762.287272727273</v>
      </c>
      <c r="M513" s="122">
        <v>0</v>
      </c>
      <c r="N513" s="122">
        <f t="shared" si="100"/>
        <v>1155144.2483079485</v>
      </c>
      <c r="O513" s="122">
        <f t="shared" si="101"/>
        <v>23102.88496615897</v>
      </c>
      <c r="P513" s="336">
        <f t="shared" si="93"/>
        <v>20689.085025385022</v>
      </c>
      <c r="Q513" s="336">
        <f t="shared" si="94"/>
        <v>2123.8849661589702</v>
      </c>
      <c r="R513" s="303">
        <f t="shared" si="95"/>
        <v>0.1012386179588622</v>
      </c>
    </row>
    <row r="514" spans="1:18" x14ac:dyDescent="0.3">
      <c r="A514" s="2">
        <v>1027</v>
      </c>
      <c r="B514" s="41" t="s">
        <v>443</v>
      </c>
      <c r="C514" s="2">
        <v>7</v>
      </c>
      <c r="D514" s="2" t="s">
        <v>21</v>
      </c>
      <c r="E514" s="294">
        <v>2800</v>
      </c>
      <c r="F514" s="296">
        <v>6400</v>
      </c>
      <c r="G514" s="352">
        <v>20</v>
      </c>
      <c r="H514" s="296">
        <f t="shared" si="90"/>
        <v>56000</v>
      </c>
      <c r="I514" s="122">
        <f t="shared" si="91"/>
        <v>128000</v>
      </c>
      <c r="J514" s="331">
        <f t="shared" si="92"/>
        <v>72000</v>
      </c>
      <c r="K514" s="292">
        <f>'09-RESUMEN'!$F$43/1375</f>
        <v>81431.961035221175</v>
      </c>
      <c r="L514" s="122">
        <f>('ESTADO RESULTADOS'!$C$36+'ESTADO RESULTADOS'!$C$71)/1375</f>
        <v>24762.287272727273</v>
      </c>
      <c r="M514" s="122">
        <v>0</v>
      </c>
      <c r="N514" s="122">
        <f t="shared" si="100"/>
        <v>162194.24830794844</v>
      </c>
      <c r="O514" s="122">
        <f t="shared" si="101"/>
        <v>8109.7124153974219</v>
      </c>
      <c r="P514" s="336">
        <f t="shared" si="93"/>
        <v>-34194.248307948437</v>
      </c>
      <c r="Q514" s="336">
        <f t="shared" si="94"/>
        <v>5309.7124153974219</v>
      </c>
      <c r="R514" s="303">
        <f t="shared" si="95"/>
        <v>1.8963258626419364</v>
      </c>
    </row>
    <row r="515" spans="1:18" x14ac:dyDescent="0.3">
      <c r="A515" s="2">
        <v>1028</v>
      </c>
      <c r="B515" s="41" t="s">
        <v>444</v>
      </c>
      <c r="C515" s="2">
        <v>1</v>
      </c>
      <c r="D515" s="2" t="s">
        <v>5</v>
      </c>
      <c r="E515" s="321">
        <v>4149</v>
      </c>
      <c r="F515" s="322">
        <v>5200</v>
      </c>
      <c r="G515" s="353">
        <v>46</v>
      </c>
      <c r="H515" s="322">
        <f t="shared" si="90"/>
        <v>190854</v>
      </c>
      <c r="I515" s="122">
        <f t="shared" si="91"/>
        <v>239200</v>
      </c>
      <c r="J515" s="331">
        <f t="shared" si="92"/>
        <v>48346</v>
      </c>
      <c r="K515" s="292">
        <f>'09-RESUMEN'!$F$43/1375+('09-RESUMEN'!$F$42/17)</f>
        <v>283519.42464527232</v>
      </c>
      <c r="L515" s="122">
        <f>('ESTADO RESULTADOS'!$C$36+'ESTADO RESULTADOS'!$C$71)/1375</f>
        <v>24762.287272727273</v>
      </c>
      <c r="M515" s="122">
        <f>'ESTADO RESULTADOS'!$C$37/17</f>
        <v>106174.11764705883</v>
      </c>
      <c r="N515" s="122">
        <f t="shared" si="100"/>
        <v>605309.82956505846</v>
      </c>
      <c r="O515" s="122">
        <f t="shared" si="101"/>
        <v>13158.909338370837</v>
      </c>
      <c r="P515" s="336">
        <f t="shared" si="93"/>
        <v>-366109.82956505846</v>
      </c>
      <c r="Q515" s="336">
        <f t="shared" si="94"/>
        <v>9009.9093383708368</v>
      </c>
      <c r="R515" s="303">
        <f t="shared" si="95"/>
        <v>2.1715857648519732</v>
      </c>
    </row>
    <row r="516" spans="1:18" x14ac:dyDescent="0.3">
      <c r="A516" s="2">
        <v>1030</v>
      </c>
      <c r="B516" s="41" t="s">
        <v>445</v>
      </c>
      <c r="C516" s="2">
        <v>10</v>
      </c>
      <c r="D516" s="2" t="s">
        <v>12</v>
      </c>
      <c r="E516" s="294">
        <v>18099.900000000001</v>
      </c>
      <c r="F516" s="296">
        <v>21500</v>
      </c>
      <c r="G516" s="352">
        <v>19</v>
      </c>
      <c r="H516" s="296">
        <f t="shared" ref="H516:H579" si="102">E516*G516</f>
        <v>343898.10000000003</v>
      </c>
      <c r="I516" s="122">
        <f t="shared" ref="I516:I579" si="103">F516*G516</f>
        <v>408500</v>
      </c>
      <c r="J516" s="331">
        <f t="shared" ref="J516:J579" si="104">I516-H516</f>
        <v>64601.899999999965</v>
      </c>
      <c r="K516" s="292">
        <f>'09-RESUMEN'!$F$43/1375</f>
        <v>81431.961035221175</v>
      </c>
      <c r="L516" s="122">
        <f>('ESTADO RESULTADOS'!$C$36+'ESTADO RESULTADOS'!$C$71)/1375</f>
        <v>24762.287272727273</v>
      </c>
      <c r="M516" s="122">
        <v>0</v>
      </c>
      <c r="N516" s="122">
        <f t="shared" si="100"/>
        <v>450092.3483079485</v>
      </c>
      <c r="O516" s="122">
        <f t="shared" si="101"/>
        <v>23689.070963576236</v>
      </c>
      <c r="P516" s="336">
        <f t="shared" si="93"/>
        <v>-41592.348307948501</v>
      </c>
      <c r="Q516" s="336">
        <f t="shared" si="94"/>
        <v>5589.1709635762345</v>
      </c>
      <c r="R516" s="303">
        <f t="shared" si="95"/>
        <v>0.30879568194168111</v>
      </c>
    </row>
    <row r="517" spans="1:18" x14ac:dyDescent="0.3">
      <c r="A517" s="2">
        <v>1032</v>
      </c>
      <c r="B517" s="41" t="s">
        <v>447</v>
      </c>
      <c r="C517" s="2">
        <v>9</v>
      </c>
      <c r="D517" s="2" t="s">
        <v>338</v>
      </c>
      <c r="E517" s="294">
        <v>2313.9549999999999</v>
      </c>
      <c r="F517" s="296">
        <v>2866.6666666666665</v>
      </c>
      <c r="G517" s="352">
        <v>254</v>
      </c>
      <c r="H517" s="296">
        <f t="shared" si="102"/>
        <v>587744.56999999995</v>
      </c>
      <c r="I517" s="122">
        <f t="shared" si="103"/>
        <v>728133.33333333326</v>
      </c>
      <c r="J517" s="331">
        <f t="shared" si="104"/>
        <v>140388.76333333331</v>
      </c>
      <c r="K517" s="292">
        <f>'09-RESUMEN'!$F$43/1375</f>
        <v>81431.961035221175</v>
      </c>
      <c r="L517" s="122">
        <f>('ESTADO RESULTADOS'!$C$36+'ESTADO RESULTADOS'!$C$71)/1375</f>
        <v>24762.287272727273</v>
      </c>
      <c r="M517" s="122">
        <v>0</v>
      </c>
      <c r="N517" s="122">
        <f t="shared" si="100"/>
        <v>693938.81830794842</v>
      </c>
      <c r="O517" s="122">
        <f t="shared" si="101"/>
        <v>2732.0425917635766</v>
      </c>
      <c r="P517" s="336">
        <f t="shared" ref="P517:P580" si="105">I517-N517</f>
        <v>34194.515025384841</v>
      </c>
      <c r="Q517" s="336">
        <f t="shared" ref="Q517:Q580" si="106">O517-E517</f>
        <v>418.08759176357671</v>
      </c>
      <c r="R517" s="303">
        <f t="shared" ref="R517:R580" si="107">Q517/E517</f>
        <v>0.18068095177459229</v>
      </c>
    </row>
    <row r="518" spans="1:18" x14ac:dyDescent="0.3">
      <c r="A518" s="2">
        <v>1033</v>
      </c>
      <c r="B518" s="41" t="s">
        <v>448</v>
      </c>
      <c r="C518" s="2">
        <v>8</v>
      </c>
      <c r="D518" s="2" t="s">
        <v>16</v>
      </c>
      <c r="E518" s="294">
        <v>56509.8</v>
      </c>
      <c r="F518" s="296">
        <v>66966.666666666672</v>
      </c>
      <c r="G518" s="352">
        <v>4</v>
      </c>
      <c r="H518" s="296">
        <f t="shared" si="102"/>
        <v>226039.2</v>
      </c>
      <c r="I518" s="122">
        <f t="shared" si="103"/>
        <v>267866.66666666669</v>
      </c>
      <c r="J518" s="331">
        <f t="shared" si="104"/>
        <v>41827.466666666674</v>
      </c>
      <c r="K518" s="292">
        <f>'09-RESUMEN'!$F$43/1375</f>
        <v>81431.961035221175</v>
      </c>
      <c r="L518" s="122">
        <f>('ESTADO RESULTADOS'!$C$36+'ESTADO RESULTADOS'!$C$71)/1375</f>
        <v>24762.287272727273</v>
      </c>
      <c r="M518" s="122">
        <v>0</v>
      </c>
      <c r="N518" s="122">
        <f t="shared" si="100"/>
        <v>332233.44830794848</v>
      </c>
      <c r="O518" s="122">
        <f t="shared" si="101"/>
        <v>83058.36207698712</v>
      </c>
      <c r="P518" s="336">
        <f t="shared" si="105"/>
        <v>-64366.781641281792</v>
      </c>
      <c r="Q518" s="336">
        <f t="shared" si="106"/>
        <v>26548.562076987117</v>
      </c>
      <c r="R518" s="303">
        <f t="shared" si="107"/>
        <v>0.46980456623430122</v>
      </c>
    </row>
    <row r="519" spans="1:18" x14ac:dyDescent="0.3">
      <c r="A519" s="2">
        <v>1036</v>
      </c>
      <c r="B519" s="41" t="s">
        <v>1698</v>
      </c>
      <c r="C519" s="2">
        <v>12</v>
      </c>
      <c r="D519" s="2" t="s">
        <v>12</v>
      </c>
      <c r="E519" s="294">
        <v>14498.96</v>
      </c>
      <c r="F519" s="296">
        <v>25000</v>
      </c>
      <c r="G519" s="352">
        <v>0</v>
      </c>
      <c r="H519" s="296">
        <f t="shared" si="102"/>
        <v>0</v>
      </c>
      <c r="I519" s="122">
        <f t="shared" si="103"/>
        <v>0</v>
      </c>
      <c r="J519" s="331">
        <f t="shared" si="104"/>
        <v>0</v>
      </c>
      <c r="K519" s="292">
        <f>'09-RESUMEN'!$F$43/1375</f>
        <v>81431.961035221175</v>
      </c>
      <c r="L519" s="122">
        <f>('ESTADO RESULTADOS'!$C$36+'ESTADO RESULTADOS'!$C$71)/1375</f>
        <v>24762.287272727273</v>
      </c>
      <c r="M519" s="122">
        <v>0</v>
      </c>
      <c r="N519" s="122">
        <f>SUM(E519+K519+L519+M519)</f>
        <v>120693.20830794844</v>
      </c>
      <c r="O519" s="122">
        <f>N519</f>
        <v>120693.20830794844</v>
      </c>
      <c r="P519" s="336">
        <f t="shared" si="105"/>
        <v>-120693.20830794844</v>
      </c>
      <c r="Q519" s="336">
        <f t="shared" si="106"/>
        <v>106194.24830794844</v>
      </c>
      <c r="R519" s="303">
        <f t="shared" si="107"/>
        <v>7.32426658932423</v>
      </c>
    </row>
    <row r="520" spans="1:18" x14ac:dyDescent="0.3">
      <c r="A520" s="2">
        <v>1037</v>
      </c>
      <c r="B520" s="41" t="s">
        <v>1699</v>
      </c>
      <c r="C520" s="2">
        <v>9</v>
      </c>
      <c r="D520" s="2" t="s">
        <v>12</v>
      </c>
      <c r="E520" s="294">
        <v>14000</v>
      </c>
      <c r="F520" s="296">
        <v>17900</v>
      </c>
      <c r="G520" s="352">
        <v>20</v>
      </c>
      <c r="H520" s="296">
        <f t="shared" si="102"/>
        <v>280000</v>
      </c>
      <c r="I520" s="122">
        <f t="shared" si="103"/>
        <v>358000</v>
      </c>
      <c r="J520" s="331">
        <f t="shared" si="104"/>
        <v>78000</v>
      </c>
      <c r="K520" s="292">
        <f>'09-RESUMEN'!$F$43/1375</f>
        <v>81431.961035221175</v>
      </c>
      <c r="L520" s="122">
        <f>('ESTADO RESULTADOS'!$C$36+'ESTADO RESULTADOS'!$C$71)/1375</f>
        <v>24762.287272727273</v>
      </c>
      <c r="M520" s="122">
        <v>0</v>
      </c>
      <c r="N520" s="122">
        <f t="shared" ref="N520:N549" si="108">SUM(H520+K520+L520+M520)</f>
        <v>386194.24830794847</v>
      </c>
      <c r="O520" s="122">
        <f t="shared" ref="O520:O549" si="109">N520/G520</f>
        <v>19309.712415397422</v>
      </c>
      <c r="P520" s="336">
        <f t="shared" si="105"/>
        <v>-28194.248307948466</v>
      </c>
      <c r="Q520" s="336">
        <f t="shared" si="106"/>
        <v>5309.7124153974219</v>
      </c>
      <c r="R520" s="303">
        <f t="shared" si="107"/>
        <v>0.37926517252838726</v>
      </c>
    </row>
    <row r="521" spans="1:18" x14ac:dyDescent="0.3">
      <c r="A521" s="2">
        <v>1038</v>
      </c>
      <c r="B521" s="41" t="s">
        <v>449</v>
      </c>
      <c r="C521" s="2">
        <v>9</v>
      </c>
      <c r="D521" s="2" t="s">
        <v>227</v>
      </c>
      <c r="E521" s="294">
        <v>79486.05</v>
      </c>
      <c r="F521" s="296">
        <v>103700</v>
      </c>
      <c r="G521" s="352">
        <v>7</v>
      </c>
      <c r="H521" s="296">
        <f t="shared" si="102"/>
        <v>556402.35</v>
      </c>
      <c r="I521" s="122">
        <f t="shared" si="103"/>
        <v>725900</v>
      </c>
      <c r="J521" s="331">
        <f t="shared" si="104"/>
        <v>169497.65000000002</v>
      </c>
      <c r="K521" s="292">
        <f>'09-RESUMEN'!$F$43/1375</f>
        <v>81431.961035221175</v>
      </c>
      <c r="L521" s="122">
        <f>('ESTADO RESULTADOS'!$C$36+'ESTADO RESULTADOS'!$C$71)/1375</f>
        <v>24762.287272727273</v>
      </c>
      <c r="M521" s="122">
        <v>0</v>
      </c>
      <c r="N521" s="122">
        <f t="shared" si="108"/>
        <v>662596.59830794844</v>
      </c>
      <c r="O521" s="122">
        <f t="shared" si="109"/>
        <v>94656.656901135488</v>
      </c>
      <c r="P521" s="336">
        <f t="shared" si="105"/>
        <v>63303.401692051557</v>
      </c>
      <c r="Q521" s="336">
        <f t="shared" si="106"/>
        <v>15170.606901135485</v>
      </c>
      <c r="R521" s="303">
        <f t="shared" si="107"/>
        <v>0.19085873434565542</v>
      </c>
    </row>
    <row r="522" spans="1:18" x14ac:dyDescent="0.3">
      <c r="A522" s="2">
        <v>1042</v>
      </c>
      <c r="B522" s="41" t="s">
        <v>1700</v>
      </c>
      <c r="C522" s="2">
        <v>5</v>
      </c>
      <c r="D522" s="2" t="s">
        <v>1701</v>
      </c>
      <c r="E522" s="294">
        <v>107400</v>
      </c>
      <c r="F522" s="296">
        <v>150800</v>
      </c>
      <c r="G522" s="352">
        <v>1</v>
      </c>
      <c r="H522" s="296">
        <f t="shared" si="102"/>
        <v>107400</v>
      </c>
      <c r="I522" s="122">
        <f t="shared" si="103"/>
        <v>150800</v>
      </c>
      <c r="J522" s="331">
        <f t="shared" si="104"/>
        <v>43400</v>
      </c>
      <c r="K522" s="292">
        <f>'09-RESUMEN'!$F$43/1375</f>
        <v>81431.961035221175</v>
      </c>
      <c r="L522" s="122">
        <f>('ESTADO RESULTADOS'!$C$36+'ESTADO RESULTADOS'!$C$71)/1375</f>
        <v>24762.287272727273</v>
      </c>
      <c r="M522" s="122">
        <v>0</v>
      </c>
      <c r="N522" s="122">
        <f t="shared" si="108"/>
        <v>213594.24830794844</v>
      </c>
      <c r="O522" s="122">
        <f t="shared" si="109"/>
        <v>213594.24830794844</v>
      </c>
      <c r="P522" s="336">
        <f t="shared" si="105"/>
        <v>-62794.248307948437</v>
      </c>
      <c r="Q522" s="336">
        <f t="shared" si="106"/>
        <v>106194.24830794844</v>
      </c>
      <c r="R522" s="303">
        <f t="shared" si="107"/>
        <v>0.98877326171274149</v>
      </c>
    </row>
    <row r="523" spans="1:18" x14ac:dyDescent="0.3">
      <c r="A523" s="2">
        <v>1043</v>
      </c>
      <c r="B523" s="41" t="s">
        <v>450</v>
      </c>
      <c r="C523" s="2">
        <v>9</v>
      </c>
      <c r="D523" s="2" t="s">
        <v>338</v>
      </c>
      <c r="E523" s="294">
        <v>1144.1837</v>
      </c>
      <c r="F523" s="296">
        <v>1900</v>
      </c>
      <c r="G523" s="352">
        <v>384</v>
      </c>
      <c r="H523" s="296">
        <f t="shared" si="102"/>
        <v>439366.54080000002</v>
      </c>
      <c r="I523" s="122">
        <f t="shared" si="103"/>
        <v>729600</v>
      </c>
      <c r="J523" s="331">
        <f t="shared" si="104"/>
        <v>290233.45919999998</v>
      </c>
      <c r="K523" s="292">
        <f>'09-RESUMEN'!$F$43/1375</f>
        <v>81431.961035221175</v>
      </c>
      <c r="L523" s="122">
        <f>('ESTADO RESULTADOS'!$C$36+'ESTADO RESULTADOS'!$C$71)/1375</f>
        <v>24762.287272727273</v>
      </c>
      <c r="M523" s="122">
        <v>0</v>
      </c>
      <c r="N523" s="122">
        <f t="shared" si="108"/>
        <v>545560.78910794843</v>
      </c>
      <c r="O523" s="122">
        <f t="shared" si="109"/>
        <v>1420.7312216352823</v>
      </c>
      <c r="P523" s="336">
        <f t="shared" si="105"/>
        <v>184039.21089205157</v>
      </c>
      <c r="Q523" s="336">
        <f t="shared" si="106"/>
        <v>276.54752163528224</v>
      </c>
      <c r="R523" s="303">
        <f t="shared" si="107"/>
        <v>0.24169853288006307</v>
      </c>
    </row>
    <row r="524" spans="1:18" x14ac:dyDescent="0.3">
      <c r="A524" s="2">
        <v>1044</v>
      </c>
      <c r="B524" s="41" t="s">
        <v>451</v>
      </c>
      <c r="C524" s="2">
        <v>7</v>
      </c>
      <c r="D524" s="2" t="s">
        <v>21</v>
      </c>
      <c r="E524" s="294">
        <v>2480</v>
      </c>
      <c r="F524" s="296">
        <v>4100</v>
      </c>
      <c r="G524" s="352">
        <v>3</v>
      </c>
      <c r="H524" s="296">
        <f t="shared" si="102"/>
        <v>7440</v>
      </c>
      <c r="I524" s="122">
        <f t="shared" si="103"/>
        <v>12300</v>
      </c>
      <c r="J524" s="331">
        <f t="shared" si="104"/>
        <v>4860</v>
      </c>
      <c r="K524" s="292">
        <f>'09-RESUMEN'!$F$43/1375</f>
        <v>81431.961035221175</v>
      </c>
      <c r="L524" s="122">
        <f>('ESTADO RESULTADOS'!$C$36+'ESTADO RESULTADOS'!$C$71)/1375</f>
        <v>24762.287272727273</v>
      </c>
      <c r="M524" s="122">
        <v>0</v>
      </c>
      <c r="N524" s="122">
        <f t="shared" si="108"/>
        <v>113634.24830794845</v>
      </c>
      <c r="O524" s="122">
        <f t="shared" si="109"/>
        <v>37878.082769316148</v>
      </c>
      <c r="P524" s="336">
        <f t="shared" si="105"/>
        <v>-101334.24830794845</v>
      </c>
      <c r="Q524" s="336">
        <f t="shared" si="106"/>
        <v>35398.082769316148</v>
      </c>
      <c r="R524" s="303">
        <f t="shared" si="107"/>
        <v>14.273420471498447</v>
      </c>
    </row>
    <row r="525" spans="1:18" x14ac:dyDescent="0.3">
      <c r="A525" s="2">
        <v>1046</v>
      </c>
      <c r="B525" s="41" t="s">
        <v>452</v>
      </c>
      <c r="C525" s="2">
        <v>1</v>
      </c>
      <c r="D525" s="2" t="s">
        <v>5</v>
      </c>
      <c r="E525" s="321">
        <v>4590</v>
      </c>
      <c r="F525" s="322">
        <v>5900</v>
      </c>
      <c r="G525" s="353">
        <v>13</v>
      </c>
      <c r="H525" s="322">
        <f t="shared" si="102"/>
        <v>59670</v>
      </c>
      <c r="I525" s="122">
        <f t="shared" si="103"/>
        <v>76700</v>
      </c>
      <c r="J525" s="331">
        <f t="shared" si="104"/>
        <v>17030</v>
      </c>
      <c r="K525" s="292">
        <f>'09-RESUMEN'!$F$43/1375</f>
        <v>81431.961035221175</v>
      </c>
      <c r="L525" s="122">
        <f>('ESTADO RESULTADOS'!$C$36+'ESTADO RESULTADOS'!$C$71)/1375</f>
        <v>24762.287272727273</v>
      </c>
      <c r="M525" s="122">
        <v>0</v>
      </c>
      <c r="N525" s="122">
        <f t="shared" si="108"/>
        <v>165864.24830794844</v>
      </c>
      <c r="O525" s="122">
        <f t="shared" si="109"/>
        <v>12758.788331380649</v>
      </c>
      <c r="P525" s="336">
        <f t="shared" si="105"/>
        <v>-89164.248307948437</v>
      </c>
      <c r="Q525" s="336">
        <f t="shared" si="106"/>
        <v>8168.7883313806487</v>
      </c>
      <c r="R525" s="303">
        <f t="shared" si="107"/>
        <v>1.7796924469238886</v>
      </c>
    </row>
    <row r="526" spans="1:18" x14ac:dyDescent="0.3">
      <c r="A526" s="2">
        <v>1049</v>
      </c>
      <c r="B526" s="41" t="s">
        <v>453</v>
      </c>
      <c r="C526" s="2">
        <v>7</v>
      </c>
      <c r="D526" s="2" t="s">
        <v>5</v>
      </c>
      <c r="E526" s="294">
        <v>5760</v>
      </c>
      <c r="F526" s="296">
        <v>7000</v>
      </c>
      <c r="G526" s="352">
        <v>27</v>
      </c>
      <c r="H526" s="296">
        <f t="shared" si="102"/>
        <v>155520</v>
      </c>
      <c r="I526" s="122">
        <f t="shared" si="103"/>
        <v>189000</v>
      </c>
      <c r="J526" s="331">
        <f t="shared" si="104"/>
        <v>33480</v>
      </c>
      <c r="K526" s="292">
        <f>'09-RESUMEN'!$F$43/1375</f>
        <v>81431.961035221175</v>
      </c>
      <c r="L526" s="122">
        <f>('ESTADO RESULTADOS'!$C$36+'ESTADO RESULTADOS'!$C$71)/1375</f>
        <v>24762.287272727273</v>
      </c>
      <c r="M526" s="122">
        <v>0</v>
      </c>
      <c r="N526" s="122">
        <f t="shared" si="108"/>
        <v>261714.24830794844</v>
      </c>
      <c r="O526" s="122">
        <f t="shared" si="109"/>
        <v>9693.1203077017944</v>
      </c>
      <c r="P526" s="336">
        <f t="shared" si="105"/>
        <v>-72714.248307948437</v>
      </c>
      <c r="Q526" s="336">
        <f t="shared" si="106"/>
        <v>3933.1203077017944</v>
      </c>
      <c r="R526" s="303">
        <f t="shared" si="107"/>
        <v>0.6828333867537838</v>
      </c>
    </row>
    <row r="527" spans="1:18" x14ac:dyDescent="0.3">
      <c r="A527" s="2">
        <v>1052</v>
      </c>
      <c r="B527" s="41" t="s">
        <v>454</v>
      </c>
      <c r="C527" s="2">
        <v>2</v>
      </c>
      <c r="D527" s="2" t="s">
        <v>243</v>
      </c>
      <c r="E527" s="294">
        <v>81152.820000000007</v>
      </c>
      <c r="F527" s="296">
        <v>91200</v>
      </c>
      <c r="G527" s="352">
        <v>10</v>
      </c>
      <c r="H527" s="296">
        <f t="shared" si="102"/>
        <v>811528.20000000007</v>
      </c>
      <c r="I527" s="122">
        <f t="shared" si="103"/>
        <v>912000</v>
      </c>
      <c r="J527" s="331">
        <f t="shared" si="104"/>
        <v>100471.79999999993</v>
      </c>
      <c r="K527" s="292">
        <f>'09-RESUMEN'!$F$43/1375</f>
        <v>81431.961035221175</v>
      </c>
      <c r="L527" s="122">
        <f>('ESTADO RESULTADOS'!$C$36+'ESTADO RESULTADOS'!$C$71)/1375</f>
        <v>24762.287272727273</v>
      </c>
      <c r="M527" s="122">
        <v>0</v>
      </c>
      <c r="N527" s="122">
        <f t="shared" si="108"/>
        <v>917722.44830794854</v>
      </c>
      <c r="O527" s="122">
        <f t="shared" si="109"/>
        <v>91772.244830794851</v>
      </c>
      <c r="P527" s="336">
        <f t="shared" si="105"/>
        <v>-5722.4483079485362</v>
      </c>
      <c r="Q527" s="336">
        <f t="shared" si="106"/>
        <v>10619.424830794844</v>
      </c>
      <c r="R527" s="303">
        <f t="shared" si="107"/>
        <v>0.13085712647810444</v>
      </c>
    </row>
    <row r="528" spans="1:18" x14ac:dyDescent="0.3">
      <c r="A528" s="2">
        <v>1053</v>
      </c>
      <c r="B528" s="41" t="s">
        <v>455</v>
      </c>
      <c r="C528" s="2">
        <v>9</v>
      </c>
      <c r="D528" s="2" t="s">
        <v>12</v>
      </c>
      <c r="E528" s="294">
        <v>25888.45</v>
      </c>
      <c r="F528" s="296">
        <v>28200</v>
      </c>
      <c r="G528" s="352">
        <v>1</v>
      </c>
      <c r="H528" s="296">
        <f t="shared" si="102"/>
        <v>25888.45</v>
      </c>
      <c r="I528" s="122">
        <f t="shared" si="103"/>
        <v>28200</v>
      </c>
      <c r="J528" s="331">
        <f t="shared" si="104"/>
        <v>2311.5499999999993</v>
      </c>
      <c r="K528" s="292">
        <f>'09-RESUMEN'!$F$43/1375</f>
        <v>81431.961035221175</v>
      </c>
      <c r="L528" s="122">
        <f>('ESTADO RESULTADOS'!$C$36+'ESTADO RESULTADOS'!$C$71)/1375</f>
        <v>24762.287272727273</v>
      </c>
      <c r="M528" s="122">
        <v>0</v>
      </c>
      <c r="N528" s="122">
        <f t="shared" si="108"/>
        <v>132082.69830794845</v>
      </c>
      <c r="O528" s="122">
        <f t="shared" si="109"/>
        <v>132082.69830794845</v>
      </c>
      <c r="P528" s="336">
        <f t="shared" si="105"/>
        <v>-103882.69830794845</v>
      </c>
      <c r="Q528" s="336">
        <f t="shared" si="106"/>
        <v>106194.24830794845</v>
      </c>
      <c r="R528" s="303">
        <f t="shared" si="107"/>
        <v>4.1019932946139477</v>
      </c>
    </row>
    <row r="529" spans="1:18" x14ac:dyDescent="0.3">
      <c r="A529" s="2">
        <v>1054</v>
      </c>
      <c r="B529" s="41" t="s">
        <v>456</v>
      </c>
      <c r="C529" s="2">
        <v>9</v>
      </c>
      <c r="D529" s="2" t="s">
        <v>12</v>
      </c>
      <c r="E529" s="294">
        <v>16279.2</v>
      </c>
      <c r="F529" s="296">
        <v>18500</v>
      </c>
      <c r="G529" s="352">
        <v>4</v>
      </c>
      <c r="H529" s="296">
        <f t="shared" si="102"/>
        <v>65116.800000000003</v>
      </c>
      <c r="I529" s="122">
        <f t="shared" si="103"/>
        <v>74000</v>
      </c>
      <c r="J529" s="331">
        <f t="shared" si="104"/>
        <v>8883.1999999999971</v>
      </c>
      <c r="K529" s="292">
        <f>'09-RESUMEN'!$F$43/1375</f>
        <v>81431.961035221175</v>
      </c>
      <c r="L529" s="122">
        <f>('ESTADO RESULTADOS'!$C$36+'ESTADO RESULTADOS'!$C$71)/1375</f>
        <v>24762.287272727273</v>
      </c>
      <c r="M529" s="122">
        <v>0</v>
      </c>
      <c r="N529" s="122">
        <f t="shared" si="108"/>
        <v>171311.04830794843</v>
      </c>
      <c r="O529" s="122">
        <f t="shared" si="109"/>
        <v>42827.762076987106</v>
      </c>
      <c r="P529" s="336">
        <f t="shared" si="105"/>
        <v>-97311.048307948426</v>
      </c>
      <c r="Q529" s="336">
        <f t="shared" si="106"/>
        <v>26548.562076987106</v>
      </c>
      <c r="R529" s="303">
        <f t="shared" si="107"/>
        <v>1.630827195254503</v>
      </c>
    </row>
    <row r="530" spans="1:18" x14ac:dyDescent="0.3">
      <c r="A530" s="2">
        <v>1057</v>
      </c>
      <c r="B530" s="41" t="s">
        <v>457</v>
      </c>
      <c r="C530" s="2">
        <v>7</v>
      </c>
      <c r="D530" s="2" t="s">
        <v>160</v>
      </c>
      <c r="E530" s="294">
        <v>2480</v>
      </c>
      <c r="F530" s="296">
        <v>4100</v>
      </c>
      <c r="G530" s="352">
        <v>3</v>
      </c>
      <c r="H530" s="296">
        <f t="shared" si="102"/>
        <v>7440</v>
      </c>
      <c r="I530" s="122">
        <f t="shared" si="103"/>
        <v>12300</v>
      </c>
      <c r="J530" s="331">
        <f t="shared" si="104"/>
        <v>4860</v>
      </c>
      <c r="K530" s="292">
        <f>'09-RESUMEN'!$F$43/1375</f>
        <v>81431.961035221175</v>
      </c>
      <c r="L530" s="122">
        <f>('ESTADO RESULTADOS'!$C$36+'ESTADO RESULTADOS'!$C$71)/1375</f>
        <v>24762.287272727273</v>
      </c>
      <c r="M530" s="122">
        <v>0</v>
      </c>
      <c r="N530" s="122">
        <f t="shared" si="108"/>
        <v>113634.24830794845</v>
      </c>
      <c r="O530" s="122">
        <f t="shared" si="109"/>
        <v>37878.082769316148</v>
      </c>
      <c r="P530" s="336">
        <f t="shared" si="105"/>
        <v>-101334.24830794845</v>
      </c>
      <c r="Q530" s="336">
        <f t="shared" si="106"/>
        <v>35398.082769316148</v>
      </c>
      <c r="R530" s="303">
        <f t="shared" si="107"/>
        <v>14.273420471498447</v>
      </c>
    </row>
    <row r="531" spans="1:18" x14ac:dyDescent="0.3">
      <c r="A531" s="2">
        <v>1058</v>
      </c>
      <c r="B531" s="41" t="s">
        <v>458</v>
      </c>
      <c r="C531" s="2">
        <v>7</v>
      </c>
      <c r="D531" s="2" t="s">
        <v>12</v>
      </c>
      <c r="E531" s="294">
        <v>2800</v>
      </c>
      <c r="F531" s="296">
        <v>3400</v>
      </c>
      <c r="G531" s="352">
        <v>11</v>
      </c>
      <c r="H531" s="296">
        <f t="shared" si="102"/>
        <v>30800</v>
      </c>
      <c r="I531" s="122">
        <f t="shared" si="103"/>
        <v>37400</v>
      </c>
      <c r="J531" s="331">
        <f t="shared" si="104"/>
        <v>6600</v>
      </c>
      <c r="K531" s="292">
        <f>'09-RESUMEN'!$F$43/1375</f>
        <v>81431.961035221175</v>
      </c>
      <c r="L531" s="122">
        <f>('ESTADO RESULTADOS'!$C$36+'ESTADO RESULTADOS'!$C$71)/1375</f>
        <v>24762.287272727273</v>
      </c>
      <c r="M531" s="122">
        <v>0</v>
      </c>
      <c r="N531" s="122">
        <f t="shared" si="108"/>
        <v>136994.24830794844</v>
      </c>
      <c r="O531" s="122">
        <f t="shared" si="109"/>
        <v>12454.022573449858</v>
      </c>
      <c r="P531" s="336">
        <f t="shared" si="105"/>
        <v>-99594.248307948437</v>
      </c>
      <c r="Q531" s="336">
        <f t="shared" si="106"/>
        <v>9654.0225734498581</v>
      </c>
      <c r="R531" s="303">
        <f t="shared" si="107"/>
        <v>3.4478652048035205</v>
      </c>
    </row>
    <row r="532" spans="1:18" x14ac:dyDescent="0.3">
      <c r="A532" s="2">
        <v>1062</v>
      </c>
      <c r="B532" s="41" t="s">
        <v>459</v>
      </c>
      <c r="C532" s="2">
        <v>7</v>
      </c>
      <c r="D532" s="2" t="s">
        <v>446</v>
      </c>
      <c r="E532" s="294">
        <v>1190</v>
      </c>
      <c r="F532" s="296">
        <v>1966.6666666666667</v>
      </c>
      <c r="G532" s="352">
        <v>7</v>
      </c>
      <c r="H532" s="296">
        <f t="shared" si="102"/>
        <v>8330</v>
      </c>
      <c r="I532" s="122">
        <f t="shared" si="103"/>
        <v>13766.666666666668</v>
      </c>
      <c r="J532" s="331">
        <f t="shared" si="104"/>
        <v>5436.6666666666679</v>
      </c>
      <c r="K532" s="292">
        <f>'09-RESUMEN'!$F$43/1375</f>
        <v>81431.961035221175</v>
      </c>
      <c r="L532" s="122">
        <f>('ESTADO RESULTADOS'!$C$36+'ESTADO RESULTADOS'!$C$71)/1375</f>
        <v>24762.287272727273</v>
      </c>
      <c r="M532" s="122">
        <v>0</v>
      </c>
      <c r="N532" s="122">
        <f t="shared" si="108"/>
        <v>114524.24830794845</v>
      </c>
      <c r="O532" s="122">
        <f t="shared" si="109"/>
        <v>16360.606901135494</v>
      </c>
      <c r="P532" s="336">
        <f t="shared" si="105"/>
        <v>-100757.58164128178</v>
      </c>
      <c r="Q532" s="336">
        <f t="shared" si="106"/>
        <v>15170.606901135494</v>
      </c>
      <c r="R532" s="303">
        <f t="shared" si="107"/>
        <v>12.748409160618062</v>
      </c>
    </row>
    <row r="533" spans="1:18" x14ac:dyDescent="0.3">
      <c r="A533" s="2">
        <v>1063</v>
      </c>
      <c r="B533" s="41" t="s">
        <v>460</v>
      </c>
      <c r="C533" s="2">
        <v>7</v>
      </c>
      <c r="D533" s="2" t="s">
        <v>160</v>
      </c>
      <c r="E533" s="294">
        <v>1190</v>
      </c>
      <c r="F533" s="296">
        <v>1716.6666666666667</v>
      </c>
      <c r="G533" s="352">
        <v>5</v>
      </c>
      <c r="H533" s="296">
        <f t="shared" si="102"/>
        <v>5950</v>
      </c>
      <c r="I533" s="122">
        <f t="shared" si="103"/>
        <v>8583.3333333333339</v>
      </c>
      <c r="J533" s="331">
        <f t="shared" si="104"/>
        <v>2633.3333333333339</v>
      </c>
      <c r="K533" s="292">
        <f>'09-RESUMEN'!$F$43/1375</f>
        <v>81431.961035221175</v>
      </c>
      <c r="L533" s="122">
        <f>('ESTADO RESULTADOS'!$C$36+'ESTADO RESULTADOS'!$C$71)/1375</f>
        <v>24762.287272727273</v>
      </c>
      <c r="M533" s="122">
        <v>0</v>
      </c>
      <c r="N533" s="122">
        <f t="shared" si="108"/>
        <v>112144.24830794845</v>
      </c>
      <c r="O533" s="122">
        <f t="shared" si="109"/>
        <v>22428.849661589691</v>
      </c>
      <c r="P533" s="336">
        <f t="shared" si="105"/>
        <v>-103560.91497461512</v>
      </c>
      <c r="Q533" s="336">
        <f t="shared" si="106"/>
        <v>21238.849661589691</v>
      </c>
      <c r="R533" s="303">
        <f t="shared" si="107"/>
        <v>17.847772824865288</v>
      </c>
    </row>
    <row r="534" spans="1:18" x14ac:dyDescent="0.3">
      <c r="A534" s="2">
        <v>1064</v>
      </c>
      <c r="B534" s="41" t="s">
        <v>461</v>
      </c>
      <c r="C534" s="2">
        <v>7</v>
      </c>
      <c r="D534" s="2" t="s">
        <v>160</v>
      </c>
      <c r="E534" s="294">
        <v>1190</v>
      </c>
      <c r="F534" s="296">
        <v>1800</v>
      </c>
      <c r="G534" s="352">
        <v>20</v>
      </c>
      <c r="H534" s="296">
        <f t="shared" si="102"/>
        <v>23800</v>
      </c>
      <c r="I534" s="122">
        <f t="shared" si="103"/>
        <v>36000</v>
      </c>
      <c r="J534" s="331">
        <f t="shared" si="104"/>
        <v>12200</v>
      </c>
      <c r="K534" s="292">
        <f>'09-RESUMEN'!$F$43/1375</f>
        <v>81431.961035221175</v>
      </c>
      <c r="L534" s="122">
        <f>('ESTADO RESULTADOS'!$C$36+'ESTADO RESULTADOS'!$C$71)/1375</f>
        <v>24762.287272727273</v>
      </c>
      <c r="M534" s="122">
        <v>0</v>
      </c>
      <c r="N534" s="122">
        <f t="shared" si="108"/>
        <v>129994.24830794845</v>
      </c>
      <c r="O534" s="122">
        <f t="shared" si="109"/>
        <v>6499.7124153974228</v>
      </c>
      <c r="P534" s="336">
        <f t="shared" si="105"/>
        <v>-93994.248307948452</v>
      </c>
      <c r="Q534" s="336">
        <f t="shared" si="106"/>
        <v>5309.7124153974228</v>
      </c>
      <c r="R534" s="303">
        <f t="shared" si="107"/>
        <v>4.461943206216322</v>
      </c>
    </row>
    <row r="535" spans="1:18" x14ac:dyDescent="0.3">
      <c r="A535" s="2">
        <v>1065</v>
      </c>
      <c r="B535" s="41" t="s">
        <v>462</v>
      </c>
      <c r="C535" s="2">
        <v>7</v>
      </c>
      <c r="D535" s="2" t="s">
        <v>21</v>
      </c>
      <c r="E535" s="294">
        <v>3325</v>
      </c>
      <c r="F535" s="296">
        <v>4016.6666666666665</v>
      </c>
      <c r="G535" s="352">
        <v>10</v>
      </c>
      <c r="H535" s="296">
        <f t="shared" si="102"/>
        <v>33250</v>
      </c>
      <c r="I535" s="122">
        <f t="shared" si="103"/>
        <v>40166.666666666664</v>
      </c>
      <c r="J535" s="331">
        <f t="shared" si="104"/>
        <v>6916.6666666666642</v>
      </c>
      <c r="K535" s="292">
        <f>'09-RESUMEN'!$F$43/1375</f>
        <v>81431.961035221175</v>
      </c>
      <c r="L535" s="122">
        <f>('ESTADO RESULTADOS'!$C$36+'ESTADO RESULTADOS'!$C$71)/1375</f>
        <v>24762.287272727273</v>
      </c>
      <c r="M535" s="122">
        <v>0</v>
      </c>
      <c r="N535" s="122">
        <f t="shared" si="108"/>
        <v>139444.24830794844</v>
      </c>
      <c r="O535" s="122">
        <f t="shared" si="109"/>
        <v>13944.424830794844</v>
      </c>
      <c r="P535" s="336">
        <f t="shared" si="105"/>
        <v>-99277.58164128178</v>
      </c>
      <c r="Q535" s="336">
        <f t="shared" si="106"/>
        <v>10619.424830794844</v>
      </c>
      <c r="R535" s="303">
        <f t="shared" si="107"/>
        <v>3.1938119791864192</v>
      </c>
    </row>
    <row r="536" spans="1:18" x14ac:dyDescent="0.3">
      <c r="A536" s="2">
        <v>1066</v>
      </c>
      <c r="B536" s="41" t="s">
        <v>463</v>
      </c>
      <c r="C536" s="2">
        <v>7</v>
      </c>
      <c r="D536" s="2" t="s">
        <v>12</v>
      </c>
      <c r="E536" s="294">
        <v>5310</v>
      </c>
      <c r="F536" s="296">
        <v>6500</v>
      </c>
      <c r="G536" s="352">
        <v>24</v>
      </c>
      <c r="H536" s="296">
        <f t="shared" si="102"/>
        <v>127440</v>
      </c>
      <c r="I536" s="122">
        <f t="shared" si="103"/>
        <v>156000</v>
      </c>
      <c r="J536" s="331">
        <f t="shared" si="104"/>
        <v>28560</v>
      </c>
      <c r="K536" s="292">
        <f>'09-RESUMEN'!$F$43/1375</f>
        <v>81431.961035221175</v>
      </c>
      <c r="L536" s="122">
        <f>('ESTADO RESULTADOS'!$C$36+'ESTADO RESULTADOS'!$C$71)/1375</f>
        <v>24762.287272727273</v>
      </c>
      <c r="M536" s="122">
        <v>0</v>
      </c>
      <c r="N536" s="122">
        <f t="shared" si="108"/>
        <v>233634.24830794844</v>
      </c>
      <c r="O536" s="122">
        <f t="shared" si="109"/>
        <v>9734.7603461645176</v>
      </c>
      <c r="P536" s="336">
        <f t="shared" si="105"/>
        <v>-77634.248307948437</v>
      </c>
      <c r="Q536" s="336">
        <f t="shared" si="106"/>
        <v>4424.7603461645176</v>
      </c>
      <c r="R536" s="303">
        <f t="shared" si="107"/>
        <v>0.83328820078427823</v>
      </c>
    </row>
    <row r="537" spans="1:18" x14ac:dyDescent="0.3">
      <c r="A537" s="2">
        <v>1069</v>
      </c>
      <c r="B537" s="41" t="s">
        <v>464</v>
      </c>
      <c r="C537" s="2">
        <v>7</v>
      </c>
      <c r="D537" s="2" t="s">
        <v>12</v>
      </c>
      <c r="E537" s="294">
        <v>5900</v>
      </c>
      <c r="F537" s="296">
        <v>8000</v>
      </c>
      <c r="G537" s="352">
        <v>21</v>
      </c>
      <c r="H537" s="296">
        <f t="shared" si="102"/>
        <v>123900</v>
      </c>
      <c r="I537" s="122">
        <f t="shared" si="103"/>
        <v>168000</v>
      </c>
      <c r="J537" s="331">
        <f t="shared" si="104"/>
        <v>44100</v>
      </c>
      <c r="K537" s="292">
        <f>'09-RESUMEN'!$F$43/1375</f>
        <v>81431.961035221175</v>
      </c>
      <c r="L537" s="122">
        <f>('ESTADO RESULTADOS'!$C$36+'ESTADO RESULTADOS'!$C$71)/1375</f>
        <v>24762.287272727273</v>
      </c>
      <c r="M537" s="122">
        <v>0</v>
      </c>
      <c r="N537" s="122">
        <f t="shared" si="108"/>
        <v>230094.24830794844</v>
      </c>
      <c r="O537" s="122">
        <f t="shared" si="109"/>
        <v>10956.868967045164</v>
      </c>
      <c r="P537" s="336">
        <f t="shared" si="105"/>
        <v>-62094.248307948437</v>
      </c>
      <c r="Q537" s="336">
        <f t="shared" si="106"/>
        <v>5056.868967045164</v>
      </c>
      <c r="R537" s="303">
        <f t="shared" si="107"/>
        <v>0.85709643509240063</v>
      </c>
    </row>
    <row r="538" spans="1:18" x14ac:dyDescent="0.3">
      <c r="A538" s="2">
        <v>1070</v>
      </c>
      <c r="B538" s="41" t="s">
        <v>1702</v>
      </c>
      <c r="C538" s="2">
        <v>7</v>
      </c>
      <c r="D538" s="2" t="s">
        <v>21</v>
      </c>
      <c r="E538" s="294">
        <v>2480</v>
      </c>
      <c r="F538" s="296">
        <v>4100</v>
      </c>
      <c r="G538" s="352">
        <v>8</v>
      </c>
      <c r="H538" s="296">
        <f t="shared" si="102"/>
        <v>19840</v>
      </c>
      <c r="I538" s="122">
        <f t="shared" si="103"/>
        <v>32800</v>
      </c>
      <c r="J538" s="331">
        <f t="shared" si="104"/>
        <v>12960</v>
      </c>
      <c r="K538" s="292">
        <f>'09-RESUMEN'!$F$43/1375</f>
        <v>81431.961035221175</v>
      </c>
      <c r="L538" s="122">
        <f>('ESTADO RESULTADOS'!$C$36+'ESTADO RESULTADOS'!$C$71)/1375</f>
        <v>24762.287272727273</v>
      </c>
      <c r="M538" s="122">
        <v>0</v>
      </c>
      <c r="N538" s="122">
        <f t="shared" si="108"/>
        <v>126034.24830794845</v>
      </c>
      <c r="O538" s="122">
        <f t="shared" si="109"/>
        <v>15754.281038493556</v>
      </c>
      <c r="P538" s="336">
        <f t="shared" si="105"/>
        <v>-93234.248307948452</v>
      </c>
      <c r="Q538" s="336">
        <f t="shared" si="106"/>
        <v>13274.281038493556</v>
      </c>
      <c r="R538" s="303">
        <f t="shared" si="107"/>
        <v>5.3525326768119177</v>
      </c>
    </row>
    <row r="539" spans="1:18" x14ac:dyDescent="0.3">
      <c r="A539" s="2">
        <v>1071</v>
      </c>
      <c r="B539" s="41" t="s">
        <v>465</v>
      </c>
      <c r="C539" s="2">
        <v>2</v>
      </c>
      <c r="D539" s="2" t="s">
        <v>21</v>
      </c>
      <c r="E539" s="294">
        <v>3400</v>
      </c>
      <c r="F539" s="296">
        <v>4000</v>
      </c>
      <c r="G539" s="352">
        <v>30</v>
      </c>
      <c r="H539" s="296">
        <f t="shared" si="102"/>
        <v>102000</v>
      </c>
      <c r="I539" s="122">
        <f t="shared" si="103"/>
        <v>120000</v>
      </c>
      <c r="J539" s="331">
        <f t="shared" si="104"/>
        <v>18000</v>
      </c>
      <c r="K539" s="292">
        <f>'09-RESUMEN'!$F$43/1375</f>
        <v>81431.961035221175</v>
      </c>
      <c r="L539" s="122">
        <f>('ESTADO RESULTADOS'!$C$36+'ESTADO RESULTADOS'!$C$71)/1375</f>
        <v>24762.287272727273</v>
      </c>
      <c r="M539" s="122">
        <v>0</v>
      </c>
      <c r="N539" s="122">
        <f t="shared" si="108"/>
        <v>208194.24830794844</v>
      </c>
      <c r="O539" s="122">
        <f t="shared" si="109"/>
        <v>6939.8082769316143</v>
      </c>
      <c r="P539" s="336">
        <f t="shared" si="105"/>
        <v>-88194.248307948437</v>
      </c>
      <c r="Q539" s="336">
        <f t="shared" si="106"/>
        <v>3539.8082769316143</v>
      </c>
      <c r="R539" s="303">
        <f t="shared" si="107"/>
        <v>1.0411200814504749</v>
      </c>
    </row>
    <row r="540" spans="1:18" x14ac:dyDescent="0.3">
      <c r="A540" s="2">
        <v>1072</v>
      </c>
      <c r="B540" s="41" t="s">
        <v>466</v>
      </c>
      <c r="C540" s="2">
        <v>7</v>
      </c>
      <c r="D540" s="2" t="s">
        <v>160</v>
      </c>
      <c r="E540" s="294">
        <v>2230</v>
      </c>
      <c r="F540" s="296">
        <v>2400</v>
      </c>
      <c r="G540" s="352">
        <v>30</v>
      </c>
      <c r="H540" s="296">
        <f t="shared" si="102"/>
        <v>66900</v>
      </c>
      <c r="I540" s="122">
        <f t="shared" si="103"/>
        <v>72000</v>
      </c>
      <c r="J540" s="331">
        <f t="shared" si="104"/>
        <v>5100</v>
      </c>
      <c r="K540" s="292">
        <f>'09-RESUMEN'!$F$43/1375</f>
        <v>81431.961035221175</v>
      </c>
      <c r="L540" s="122">
        <f>('ESTADO RESULTADOS'!$C$36+'ESTADO RESULTADOS'!$C$71)/1375</f>
        <v>24762.287272727273</v>
      </c>
      <c r="M540" s="122">
        <v>0</v>
      </c>
      <c r="N540" s="122">
        <f t="shared" si="108"/>
        <v>173094.24830794844</v>
      </c>
      <c r="O540" s="122">
        <f t="shared" si="109"/>
        <v>5769.8082769316143</v>
      </c>
      <c r="P540" s="336">
        <f t="shared" si="105"/>
        <v>-101094.24830794844</v>
      </c>
      <c r="Q540" s="336">
        <f t="shared" si="106"/>
        <v>3539.8082769316143</v>
      </c>
      <c r="R540" s="303">
        <f t="shared" si="107"/>
        <v>1.5873579717182127</v>
      </c>
    </row>
    <row r="541" spans="1:18" x14ac:dyDescent="0.3">
      <c r="A541" s="2">
        <v>1073</v>
      </c>
      <c r="B541" s="41" t="s">
        <v>467</v>
      </c>
      <c r="C541" s="2">
        <v>7</v>
      </c>
      <c r="D541" s="2" t="s">
        <v>21</v>
      </c>
      <c r="E541" s="294">
        <v>2420</v>
      </c>
      <c r="F541" s="296">
        <v>2750</v>
      </c>
      <c r="G541" s="352">
        <v>11</v>
      </c>
      <c r="H541" s="296">
        <f t="shared" si="102"/>
        <v>26620</v>
      </c>
      <c r="I541" s="122">
        <f t="shared" si="103"/>
        <v>30250</v>
      </c>
      <c r="J541" s="331">
        <f t="shared" si="104"/>
        <v>3630</v>
      </c>
      <c r="K541" s="292">
        <f>'09-RESUMEN'!$F$43/1375</f>
        <v>81431.961035221175</v>
      </c>
      <c r="L541" s="122">
        <f>('ESTADO RESULTADOS'!$C$36+'ESTADO RESULTADOS'!$C$71)/1375</f>
        <v>24762.287272727273</v>
      </c>
      <c r="M541" s="122">
        <v>0</v>
      </c>
      <c r="N541" s="122">
        <f t="shared" si="108"/>
        <v>132814.24830794844</v>
      </c>
      <c r="O541" s="122">
        <f t="shared" si="109"/>
        <v>12074.022573449858</v>
      </c>
      <c r="P541" s="336">
        <f t="shared" si="105"/>
        <v>-102564.24830794844</v>
      </c>
      <c r="Q541" s="336">
        <f t="shared" si="106"/>
        <v>9654.0225734498581</v>
      </c>
      <c r="R541" s="303">
        <f t="shared" si="107"/>
        <v>3.9892655262189498</v>
      </c>
    </row>
    <row r="542" spans="1:18" x14ac:dyDescent="0.3">
      <c r="A542" s="2">
        <v>1075</v>
      </c>
      <c r="B542" s="41" t="s">
        <v>468</v>
      </c>
      <c r="C542" s="2">
        <v>7</v>
      </c>
      <c r="D542" s="2" t="s">
        <v>21</v>
      </c>
      <c r="E542" s="294">
        <v>2800</v>
      </c>
      <c r="F542" s="296">
        <v>3800</v>
      </c>
      <c r="G542" s="352">
        <v>5</v>
      </c>
      <c r="H542" s="296">
        <f t="shared" si="102"/>
        <v>14000</v>
      </c>
      <c r="I542" s="122">
        <f t="shared" si="103"/>
        <v>19000</v>
      </c>
      <c r="J542" s="331">
        <f t="shared" si="104"/>
        <v>5000</v>
      </c>
      <c r="K542" s="292">
        <f>'09-RESUMEN'!$F$43/1375</f>
        <v>81431.961035221175</v>
      </c>
      <c r="L542" s="122">
        <f>('ESTADO RESULTADOS'!$C$36+'ESTADO RESULTADOS'!$C$71)/1375</f>
        <v>24762.287272727273</v>
      </c>
      <c r="M542" s="122">
        <v>0</v>
      </c>
      <c r="N542" s="122">
        <f t="shared" si="108"/>
        <v>120194.24830794845</v>
      </c>
      <c r="O542" s="122">
        <f t="shared" si="109"/>
        <v>24038.849661589691</v>
      </c>
      <c r="P542" s="336">
        <f t="shared" si="105"/>
        <v>-101194.24830794845</v>
      </c>
      <c r="Q542" s="336">
        <f t="shared" si="106"/>
        <v>21238.849661589691</v>
      </c>
      <c r="R542" s="303">
        <f t="shared" si="107"/>
        <v>7.5853034505677472</v>
      </c>
    </row>
    <row r="543" spans="1:18" x14ac:dyDescent="0.3">
      <c r="A543" s="2">
        <v>1076</v>
      </c>
      <c r="B543" s="41" t="s">
        <v>469</v>
      </c>
      <c r="C543" s="2">
        <v>7</v>
      </c>
      <c r="D543" s="2" t="s">
        <v>21</v>
      </c>
      <c r="E543" s="294">
        <v>2800</v>
      </c>
      <c r="F543" s="296">
        <v>3200</v>
      </c>
      <c r="G543" s="352">
        <v>5</v>
      </c>
      <c r="H543" s="296">
        <f t="shared" si="102"/>
        <v>14000</v>
      </c>
      <c r="I543" s="122">
        <f t="shared" si="103"/>
        <v>16000</v>
      </c>
      <c r="J543" s="331">
        <f t="shared" si="104"/>
        <v>2000</v>
      </c>
      <c r="K543" s="292">
        <f>'09-RESUMEN'!$F$43/1375</f>
        <v>81431.961035221175</v>
      </c>
      <c r="L543" s="122">
        <f>('ESTADO RESULTADOS'!$C$36+'ESTADO RESULTADOS'!$C$71)/1375</f>
        <v>24762.287272727273</v>
      </c>
      <c r="M543" s="122">
        <v>0</v>
      </c>
      <c r="N543" s="122">
        <f t="shared" si="108"/>
        <v>120194.24830794845</v>
      </c>
      <c r="O543" s="122">
        <f t="shared" si="109"/>
        <v>24038.849661589691</v>
      </c>
      <c r="P543" s="336">
        <f t="shared" si="105"/>
        <v>-104194.24830794845</v>
      </c>
      <c r="Q543" s="336">
        <f t="shared" si="106"/>
        <v>21238.849661589691</v>
      </c>
      <c r="R543" s="303">
        <f t="shared" si="107"/>
        <v>7.5853034505677472</v>
      </c>
    </row>
    <row r="544" spans="1:18" x14ac:dyDescent="0.3">
      <c r="A544" s="2">
        <v>1077</v>
      </c>
      <c r="B544" s="41" t="s">
        <v>470</v>
      </c>
      <c r="C544" s="2">
        <v>7</v>
      </c>
      <c r="D544" s="2" t="s">
        <v>21</v>
      </c>
      <c r="E544" s="294">
        <v>2800</v>
      </c>
      <c r="F544" s="296">
        <v>3200</v>
      </c>
      <c r="G544" s="352">
        <v>3</v>
      </c>
      <c r="H544" s="296">
        <f t="shared" si="102"/>
        <v>8400</v>
      </c>
      <c r="I544" s="122">
        <f t="shared" si="103"/>
        <v>9600</v>
      </c>
      <c r="J544" s="331">
        <f t="shared" si="104"/>
        <v>1200</v>
      </c>
      <c r="K544" s="292">
        <f>'09-RESUMEN'!$F$43/1375</f>
        <v>81431.961035221175</v>
      </c>
      <c r="L544" s="122">
        <f>('ESTADO RESULTADOS'!$C$36+'ESTADO RESULTADOS'!$C$71)/1375</f>
        <v>24762.287272727273</v>
      </c>
      <c r="M544" s="122">
        <v>0</v>
      </c>
      <c r="N544" s="122">
        <f t="shared" si="108"/>
        <v>114594.24830794845</v>
      </c>
      <c r="O544" s="122">
        <f t="shared" si="109"/>
        <v>38198.082769316148</v>
      </c>
      <c r="P544" s="336">
        <f t="shared" si="105"/>
        <v>-104994.24830794845</v>
      </c>
      <c r="Q544" s="336">
        <f t="shared" si="106"/>
        <v>35398.082769316148</v>
      </c>
      <c r="R544" s="303">
        <f t="shared" si="107"/>
        <v>12.64217241761291</v>
      </c>
    </row>
    <row r="545" spans="1:18" x14ac:dyDescent="0.3">
      <c r="A545" s="2">
        <v>1081</v>
      </c>
      <c r="B545" s="41" t="s">
        <v>471</v>
      </c>
      <c r="C545" s="2">
        <v>7</v>
      </c>
      <c r="D545" s="2" t="s">
        <v>21</v>
      </c>
      <c r="E545" s="294">
        <v>2800</v>
      </c>
      <c r="F545" s="296">
        <v>3250</v>
      </c>
      <c r="G545" s="352">
        <v>5</v>
      </c>
      <c r="H545" s="296">
        <f t="shared" si="102"/>
        <v>14000</v>
      </c>
      <c r="I545" s="122">
        <f t="shared" si="103"/>
        <v>16250</v>
      </c>
      <c r="J545" s="331">
        <f t="shared" si="104"/>
        <v>2250</v>
      </c>
      <c r="K545" s="292">
        <f>'09-RESUMEN'!$F$43/1375</f>
        <v>81431.961035221175</v>
      </c>
      <c r="L545" s="122">
        <f>('ESTADO RESULTADOS'!$C$36+'ESTADO RESULTADOS'!$C$71)/1375</f>
        <v>24762.287272727273</v>
      </c>
      <c r="M545" s="122">
        <v>0</v>
      </c>
      <c r="N545" s="122">
        <f t="shared" si="108"/>
        <v>120194.24830794845</v>
      </c>
      <c r="O545" s="122">
        <f t="shared" si="109"/>
        <v>24038.849661589691</v>
      </c>
      <c r="P545" s="336">
        <f t="shared" si="105"/>
        <v>-103944.24830794845</v>
      </c>
      <c r="Q545" s="336">
        <f t="shared" si="106"/>
        <v>21238.849661589691</v>
      </c>
      <c r="R545" s="303">
        <f t="shared" si="107"/>
        <v>7.5853034505677472</v>
      </c>
    </row>
    <row r="546" spans="1:18" x14ac:dyDescent="0.3">
      <c r="A546" s="2">
        <v>1084</v>
      </c>
      <c r="B546" s="41" t="s">
        <v>472</v>
      </c>
      <c r="C546" s="2">
        <v>7</v>
      </c>
      <c r="D546" s="2" t="s">
        <v>21</v>
      </c>
      <c r="E546" s="294">
        <v>11800</v>
      </c>
      <c r="F546" s="296">
        <v>12000</v>
      </c>
      <c r="G546" s="352">
        <v>4</v>
      </c>
      <c r="H546" s="296">
        <f t="shared" si="102"/>
        <v>47200</v>
      </c>
      <c r="I546" s="122">
        <f t="shared" si="103"/>
        <v>48000</v>
      </c>
      <c r="J546" s="331">
        <f t="shared" si="104"/>
        <v>800</v>
      </c>
      <c r="K546" s="292">
        <f>'09-RESUMEN'!$F$43/1375</f>
        <v>81431.961035221175</v>
      </c>
      <c r="L546" s="122">
        <f>('ESTADO RESULTADOS'!$C$36+'ESTADO RESULTADOS'!$C$71)/1375</f>
        <v>24762.287272727273</v>
      </c>
      <c r="M546" s="122">
        <v>0</v>
      </c>
      <c r="N546" s="122">
        <f t="shared" si="108"/>
        <v>153394.24830794844</v>
      </c>
      <c r="O546" s="122">
        <f t="shared" si="109"/>
        <v>38348.562076987109</v>
      </c>
      <c r="P546" s="336">
        <f t="shared" si="105"/>
        <v>-105394.24830794844</v>
      </c>
      <c r="Q546" s="336">
        <f t="shared" si="106"/>
        <v>26548.562076987109</v>
      </c>
      <c r="R546" s="303">
        <f t="shared" si="107"/>
        <v>2.2498781421175518</v>
      </c>
    </row>
    <row r="547" spans="1:18" x14ac:dyDescent="0.3">
      <c r="A547" s="2">
        <v>1085</v>
      </c>
      <c r="B547" s="41" t="s">
        <v>1703</v>
      </c>
      <c r="C547" s="2">
        <v>7</v>
      </c>
      <c r="D547" s="2" t="s">
        <v>21</v>
      </c>
      <c r="E547" s="294">
        <v>2800</v>
      </c>
      <c r="F547" s="296">
        <v>3100</v>
      </c>
      <c r="G547" s="352">
        <v>6</v>
      </c>
      <c r="H547" s="296">
        <f t="shared" si="102"/>
        <v>16800</v>
      </c>
      <c r="I547" s="122">
        <f t="shared" si="103"/>
        <v>18600</v>
      </c>
      <c r="J547" s="331">
        <f t="shared" si="104"/>
        <v>1800</v>
      </c>
      <c r="K547" s="292">
        <f>'09-RESUMEN'!$F$43/1375</f>
        <v>81431.961035221175</v>
      </c>
      <c r="L547" s="122">
        <f>('ESTADO RESULTADOS'!$C$36+'ESTADO RESULTADOS'!$C$71)/1375</f>
        <v>24762.287272727273</v>
      </c>
      <c r="M547" s="122">
        <v>0</v>
      </c>
      <c r="N547" s="122">
        <f t="shared" si="108"/>
        <v>122994.24830794845</v>
      </c>
      <c r="O547" s="122">
        <f t="shared" si="109"/>
        <v>20499.041384658074</v>
      </c>
      <c r="P547" s="336">
        <f t="shared" si="105"/>
        <v>-104394.24830794845</v>
      </c>
      <c r="Q547" s="336">
        <f t="shared" si="106"/>
        <v>17699.041384658074</v>
      </c>
      <c r="R547" s="303">
        <f t="shared" si="107"/>
        <v>6.321086208806455</v>
      </c>
    </row>
    <row r="548" spans="1:18" x14ac:dyDescent="0.3">
      <c r="A548" s="2">
        <v>1087</v>
      </c>
      <c r="B548" s="41" t="s">
        <v>473</v>
      </c>
      <c r="C548" s="2">
        <v>8</v>
      </c>
      <c r="D548" s="2" t="s">
        <v>35</v>
      </c>
      <c r="E548" s="294">
        <v>56517</v>
      </c>
      <c r="F548" s="296">
        <v>64166.666666666664</v>
      </c>
      <c r="G548" s="352">
        <v>4</v>
      </c>
      <c r="H548" s="296">
        <f t="shared" si="102"/>
        <v>226068</v>
      </c>
      <c r="I548" s="122">
        <f t="shared" si="103"/>
        <v>256666.66666666666</v>
      </c>
      <c r="J548" s="331">
        <f t="shared" si="104"/>
        <v>30598.666666666657</v>
      </c>
      <c r="K548" s="292">
        <f>'09-RESUMEN'!$F$43/1375</f>
        <v>81431.961035221175</v>
      </c>
      <c r="L548" s="122">
        <f>('ESTADO RESULTADOS'!$C$36+'ESTADO RESULTADOS'!$C$71)/1375</f>
        <v>24762.287272727273</v>
      </c>
      <c r="M548" s="122">
        <v>0</v>
      </c>
      <c r="N548" s="122">
        <f t="shared" si="108"/>
        <v>332262.24830794847</v>
      </c>
      <c r="O548" s="122">
        <f t="shared" si="109"/>
        <v>83065.562076987117</v>
      </c>
      <c r="P548" s="336">
        <f t="shared" si="105"/>
        <v>-75595.581641281809</v>
      </c>
      <c r="Q548" s="336">
        <f t="shared" si="106"/>
        <v>26548.562076987117</v>
      </c>
      <c r="R548" s="303">
        <f t="shared" si="107"/>
        <v>0.46974471534205842</v>
      </c>
    </row>
    <row r="549" spans="1:18" x14ac:dyDescent="0.3">
      <c r="A549" s="2">
        <v>1088</v>
      </c>
      <c r="B549" s="41" t="s">
        <v>474</v>
      </c>
      <c r="C549" s="2">
        <v>14</v>
      </c>
      <c r="D549" s="2" t="s">
        <v>32</v>
      </c>
      <c r="E549" s="294">
        <v>41627</v>
      </c>
      <c r="F549" s="296">
        <v>48000</v>
      </c>
      <c r="G549" s="352">
        <v>3</v>
      </c>
      <c r="H549" s="296">
        <f t="shared" si="102"/>
        <v>124881</v>
      </c>
      <c r="I549" s="122">
        <f t="shared" si="103"/>
        <v>144000</v>
      </c>
      <c r="J549" s="331">
        <f t="shared" si="104"/>
        <v>19119</v>
      </c>
      <c r="K549" s="292">
        <f>'09-RESUMEN'!$F$43/1375</f>
        <v>81431.961035221175</v>
      </c>
      <c r="L549" s="122">
        <f>('ESTADO RESULTADOS'!$C$36+'ESTADO RESULTADOS'!$C$71)/1375</f>
        <v>24762.287272727273</v>
      </c>
      <c r="M549" s="122">
        <v>0</v>
      </c>
      <c r="N549" s="122">
        <f t="shared" si="108"/>
        <v>231075.24830794844</v>
      </c>
      <c r="O549" s="122">
        <f t="shared" si="109"/>
        <v>77025.082769316141</v>
      </c>
      <c r="P549" s="336">
        <f t="shared" si="105"/>
        <v>-87075.248307948437</v>
      </c>
      <c r="Q549" s="336">
        <f t="shared" si="106"/>
        <v>35398.082769316141</v>
      </c>
      <c r="R549" s="303">
        <f t="shared" si="107"/>
        <v>0.85036353254657171</v>
      </c>
    </row>
    <row r="550" spans="1:18" x14ac:dyDescent="0.3">
      <c r="A550" s="2">
        <v>1089</v>
      </c>
      <c r="B550" s="41" t="s">
        <v>1704</v>
      </c>
      <c r="C550" s="2">
        <v>14</v>
      </c>
      <c r="D550" s="2" t="s">
        <v>32</v>
      </c>
      <c r="E550" s="294">
        <v>13725</v>
      </c>
      <c r="F550" s="296">
        <v>17600</v>
      </c>
      <c r="G550" s="352">
        <v>0</v>
      </c>
      <c r="H550" s="296">
        <f t="shared" si="102"/>
        <v>0</v>
      </c>
      <c r="I550" s="122">
        <f t="shared" si="103"/>
        <v>0</v>
      </c>
      <c r="J550" s="331">
        <f t="shared" si="104"/>
        <v>0</v>
      </c>
      <c r="K550" s="292">
        <f>'09-RESUMEN'!$F$43/1375</f>
        <v>81431.961035221175</v>
      </c>
      <c r="L550" s="122">
        <f>('ESTADO RESULTADOS'!$C$36+'ESTADO RESULTADOS'!$C$71)/1375</f>
        <v>24762.287272727273</v>
      </c>
      <c r="M550" s="122">
        <v>0</v>
      </c>
      <c r="N550" s="122">
        <f>SUM(E550+K550+L550+M550)</f>
        <v>119919.24830794845</v>
      </c>
      <c r="O550" s="122">
        <f>N550</f>
        <v>119919.24830794845</v>
      </c>
      <c r="P550" s="336">
        <f t="shared" si="105"/>
        <v>-119919.24830794845</v>
      </c>
      <c r="Q550" s="336">
        <f t="shared" si="106"/>
        <v>106194.24830794845</v>
      </c>
      <c r="R550" s="303">
        <f t="shared" si="107"/>
        <v>7.7372858512166447</v>
      </c>
    </row>
    <row r="551" spans="1:18" x14ac:dyDescent="0.3">
      <c r="A551" s="2">
        <v>1090</v>
      </c>
      <c r="B551" s="41" t="s">
        <v>475</v>
      </c>
      <c r="C551" s="2">
        <v>14</v>
      </c>
      <c r="D551" s="2" t="s">
        <v>32</v>
      </c>
      <c r="E551" s="294">
        <v>34660.5</v>
      </c>
      <c r="F551" s="296">
        <v>45000</v>
      </c>
      <c r="G551" s="352">
        <v>3</v>
      </c>
      <c r="H551" s="296">
        <f t="shared" si="102"/>
        <v>103981.5</v>
      </c>
      <c r="I551" s="122">
        <f t="shared" si="103"/>
        <v>135000</v>
      </c>
      <c r="J551" s="331">
        <f t="shared" si="104"/>
        <v>31018.5</v>
      </c>
      <c r="K551" s="292">
        <f>'09-RESUMEN'!$F$43/1375</f>
        <v>81431.961035221175</v>
      </c>
      <c r="L551" s="122">
        <f>('ESTADO RESULTADOS'!$C$36+'ESTADO RESULTADOS'!$C$71)/1375</f>
        <v>24762.287272727273</v>
      </c>
      <c r="M551" s="122">
        <v>0</v>
      </c>
      <c r="N551" s="122">
        <f>SUM(H551+K551+L551+M551)</f>
        <v>210175.74830794844</v>
      </c>
      <c r="O551" s="122">
        <f>N551/G551</f>
        <v>70058.582769316141</v>
      </c>
      <c r="P551" s="336">
        <f t="shared" si="105"/>
        <v>-75175.748307948437</v>
      </c>
      <c r="Q551" s="336">
        <f t="shared" si="106"/>
        <v>35398.082769316141</v>
      </c>
      <c r="R551" s="303">
        <f t="shared" si="107"/>
        <v>1.0212802114601964</v>
      </c>
    </row>
    <row r="552" spans="1:18" x14ac:dyDescent="0.3">
      <c r="A552" s="2">
        <v>1096</v>
      </c>
      <c r="B552" s="41" t="s">
        <v>1705</v>
      </c>
      <c r="C552" s="2">
        <v>9</v>
      </c>
      <c r="D552" s="2" t="s">
        <v>12</v>
      </c>
      <c r="E552" s="294">
        <v>840</v>
      </c>
      <c r="F552" s="296">
        <v>840</v>
      </c>
      <c r="G552" s="352">
        <v>0</v>
      </c>
      <c r="H552" s="296">
        <f t="shared" si="102"/>
        <v>0</v>
      </c>
      <c r="I552" s="122">
        <f t="shared" si="103"/>
        <v>0</v>
      </c>
      <c r="J552" s="331">
        <f t="shared" si="104"/>
        <v>0</v>
      </c>
      <c r="K552" s="292">
        <f>'09-RESUMEN'!$F$43/1375</f>
        <v>81431.961035221175</v>
      </c>
      <c r="L552" s="122">
        <f>('ESTADO RESULTADOS'!$C$36+'ESTADO RESULTADOS'!$C$71)/1375</f>
        <v>24762.287272727273</v>
      </c>
      <c r="M552" s="122">
        <v>0</v>
      </c>
      <c r="N552" s="122">
        <f>SUM(E552+K552+L552+M552)</f>
        <v>107034.24830794845</v>
      </c>
      <c r="O552" s="122">
        <f>N552</f>
        <v>107034.24830794845</v>
      </c>
      <c r="P552" s="336">
        <f t="shared" si="105"/>
        <v>-107034.24830794845</v>
      </c>
      <c r="Q552" s="336">
        <f t="shared" si="106"/>
        <v>106194.24830794845</v>
      </c>
      <c r="R552" s="303">
        <f t="shared" si="107"/>
        <v>126.4217241761291</v>
      </c>
    </row>
    <row r="553" spans="1:18" x14ac:dyDescent="0.3">
      <c r="A553" s="2">
        <v>1098</v>
      </c>
      <c r="B553" s="41" t="s">
        <v>476</v>
      </c>
      <c r="C553" s="2">
        <v>9</v>
      </c>
      <c r="D553" s="2" t="s">
        <v>12</v>
      </c>
      <c r="E553" s="294">
        <v>750</v>
      </c>
      <c r="F553" s="296">
        <v>750</v>
      </c>
      <c r="G553" s="352">
        <v>0</v>
      </c>
      <c r="H553" s="296">
        <f t="shared" si="102"/>
        <v>0</v>
      </c>
      <c r="I553" s="122">
        <f t="shared" si="103"/>
        <v>0</v>
      </c>
      <c r="J553" s="331">
        <f t="shared" si="104"/>
        <v>0</v>
      </c>
      <c r="K553" s="292">
        <f>'09-RESUMEN'!$F$43/1375</f>
        <v>81431.961035221175</v>
      </c>
      <c r="L553" s="122">
        <f>('ESTADO RESULTADOS'!$C$36+'ESTADO RESULTADOS'!$C$71)/1375</f>
        <v>24762.287272727273</v>
      </c>
      <c r="M553" s="122">
        <v>0</v>
      </c>
      <c r="N553" s="122">
        <f>SUM(E553+K553+L553+M553)</f>
        <v>106944.24830794845</v>
      </c>
      <c r="O553" s="122">
        <f>N553</f>
        <v>106944.24830794845</v>
      </c>
      <c r="P553" s="336">
        <f t="shared" si="105"/>
        <v>-106944.24830794845</v>
      </c>
      <c r="Q553" s="336">
        <f t="shared" si="106"/>
        <v>106194.24830794845</v>
      </c>
      <c r="R553" s="303">
        <f t="shared" si="107"/>
        <v>141.59233107726459</v>
      </c>
    </row>
    <row r="554" spans="1:18" x14ac:dyDescent="0.3">
      <c r="A554" s="2">
        <v>1099</v>
      </c>
      <c r="B554" s="41" t="s">
        <v>477</v>
      </c>
      <c r="C554" s="2">
        <v>12</v>
      </c>
      <c r="D554" s="2" t="s">
        <v>12</v>
      </c>
      <c r="E554" s="294">
        <v>4289.95</v>
      </c>
      <c r="F554" s="296">
        <v>6000</v>
      </c>
      <c r="G554" s="352">
        <v>1</v>
      </c>
      <c r="H554" s="296">
        <f t="shared" si="102"/>
        <v>4289.95</v>
      </c>
      <c r="I554" s="122">
        <f t="shared" si="103"/>
        <v>6000</v>
      </c>
      <c r="J554" s="331">
        <f t="shared" si="104"/>
        <v>1710.0500000000002</v>
      </c>
      <c r="K554" s="292">
        <f>'09-RESUMEN'!$F$43/1375</f>
        <v>81431.961035221175</v>
      </c>
      <c r="L554" s="122">
        <f>('ESTADO RESULTADOS'!$C$36+'ESTADO RESULTADOS'!$C$71)/1375</f>
        <v>24762.287272727273</v>
      </c>
      <c r="M554" s="122">
        <v>0</v>
      </c>
      <c r="N554" s="122">
        <f t="shared" ref="N554:N561" si="110">SUM(H554+K554+L554+M554)</f>
        <v>110484.19830794845</v>
      </c>
      <c r="O554" s="122">
        <f t="shared" ref="O554:O561" si="111">N554/G554</f>
        <v>110484.19830794845</v>
      </c>
      <c r="P554" s="336">
        <f t="shared" si="105"/>
        <v>-104484.19830794845</v>
      </c>
      <c r="Q554" s="336">
        <f t="shared" si="106"/>
        <v>106194.24830794845</v>
      </c>
      <c r="R554" s="303">
        <f t="shared" si="107"/>
        <v>24.754192544889442</v>
      </c>
    </row>
    <row r="555" spans="1:18" x14ac:dyDescent="0.3">
      <c r="A555" s="2">
        <v>1103</v>
      </c>
      <c r="B555" s="41" t="s">
        <v>478</v>
      </c>
      <c r="C555" s="2">
        <v>12</v>
      </c>
      <c r="D555" s="2" t="s">
        <v>12</v>
      </c>
      <c r="E555" s="294">
        <v>54999</v>
      </c>
      <c r="F555" s="296">
        <v>64833.333333333336</v>
      </c>
      <c r="G555" s="352">
        <v>6</v>
      </c>
      <c r="H555" s="296">
        <f t="shared" si="102"/>
        <v>329994</v>
      </c>
      <c r="I555" s="122">
        <f t="shared" si="103"/>
        <v>389000</v>
      </c>
      <c r="J555" s="331">
        <f t="shared" si="104"/>
        <v>59006</v>
      </c>
      <c r="K555" s="292">
        <f>'09-RESUMEN'!$F$43/1375</f>
        <v>81431.961035221175</v>
      </c>
      <c r="L555" s="122">
        <f>('ESTADO RESULTADOS'!$C$36+'ESTADO RESULTADOS'!$C$71)/1375</f>
        <v>24762.287272727273</v>
      </c>
      <c r="M555" s="122">
        <v>0</v>
      </c>
      <c r="N555" s="122">
        <f t="shared" si="110"/>
        <v>436188.24830794847</v>
      </c>
      <c r="O555" s="122">
        <f t="shared" si="111"/>
        <v>72698.041384658078</v>
      </c>
      <c r="P555" s="336">
        <f t="shared" si="105"/>
        <v>-47188.248307948466</v>
      </c>
      <c r="Q555" s="336">
        <f t="shared" si="106"/>
        <v>17699.041384658078</v>
      </c>
      <c r="R555" s="303">
        <f t="shared" si="107"/>
        <v>0.3218066034774828</v>
      </c>
    </row>
    <row r="556" spans="1:18" x14ac:dyDescent="0.3">
      <c r="A556" s="2">
        <v>1121</v>
      </c>
      <c r="B556" s="41" t="s">
        <v>479</v>
      </c>
      <c r="C556" s="2">
        <v>2</v>
      </c>
      <c r="D556" s="2" t="s">
        <v>5</v>
      </c>
      <c r="E556" s="294">
        <v>3200</v>
      </c>
      <c r="F556" s="296">
        <v>3550</v>
      </c>
      <c r="G556" s="352">
        <v>307</v>
      </c>
      <c r="H556" s="296">
        <f t="shared" si="102"/>
        <v>982400</v>
      </c>
      <c r="I556" s="122">
        <f t="shared" si="103"/>
        <v>1089850</v>
      </c>
      <c r="J556" s="331">
        <f t="shared" si="104"/>
        <v>107450</v>
      </c>
      <c r="K556" s="292">
        <f>'09-RESUMEN'!$F$43/1375</f>
        <v>81431.961035221175</v>
      </c>
      <c r="L556" s="122">
        <f>('ESTADO RESULTADOS'!$C$36+'ESTADO RESULTADOS'!$C$71)/1375</f>
        <v>24762.287272727273</v>
      </c>
      <c r="M556" s="122">
        <v>0</v>
      </c>
      <c r="N556" s="122">
        <f t="shared" si="110"/>
        <v>1088594.2483079485</v>
      </c>
      <c r="O556" s="122">
        <f t="shared" si="111"/>
        <v>3545.9096036089527</v>
      </c>
      <c r="P556" s="336">
        <f t="shared" si="105"/>
        <v>1255.7516920515336</v>
      </c>
      <c r="Q556" s="336">
        <f t="shared" si="106"/>
        <v>345.90960360895269</v>
      </c>
      <c r="R556" s="303">
        <f t="shared" si="107"/>
        <v>0.10809675112779772</v>
      </c>
    </row>
    <row r="557" spans="1:18" x14ac:dyDescent="0.3">
      <c r="A557" s="2">
        <v>1122</v>
      </c>
      <c r="B557" s="41" t="s">
        <v>1706</v>
      </c>
      <c r="C557" s="2">
        <v>2</v>
      </c>
      <c r="D557" s="2" t="s">
        <v>5</v>
      </c>
      <c r="E557" s="294">
        <v>117600</v>
      </c>
      <c r="F557" s="296">
        <v>126500</v>
      </c>
      <c r="G557" s="352">
        <v>2</v>
      </c>
      <c r="H557" s="296">
        <f t="shared" si="102"/>
        <v>235200</v>
      </c>
      <c r="I557" s="122">
        <f t="shared" si="103"/>
        <v>253000</v>
      </c>
      <c r="J557" s="331">
        <f t="shared" si="104"/>
        <v>17800</v>
      </c>
      <c r="K557" s="292">
        <f>'09-RESUMEN'!$F$43/1375</f>
        <v>81431.961035221175</v>
      </c>
      <c r="L557" s="122">
        <f>('ESTADO RESULTADOS'!$C$36+'ESTADO RESULTADOS'!$C$71)/1375</f>
        <v>24762.287272727273</v>
      </c>
      <c r="M557" s="122">
        <v>0</v>
      </c>
      <c r="N557" s="122">
        <f t="shared" si="110"/>
        <v>341394.24830794847</v>
      </c>
      <c r="O557" s="122">
        <f t="shared" si="111"/>
        <v>170697.12415397423</v>
      </c>
      <c r="P557" s="336">
        <f t="shared" si="105"/>
        <v>-88394.248307948466</v>
      </c>
      <c r="Q557" s="336">
        <f t="shared" si="106"/>
        <v>53097.124153974233</v>
      </c>
      <c r="R557" s="303">
        <f t="shared" si="107"/>
        <v>0.45150615777188974</v>
      </c>
    </row>
    <row r="558" spans="1:18" x14ac:dyDescent="0.3">
      <c r="A558" s="2">
        <v>1123</v>
      </c>
      <c r="B558" s="41" t="s">
        <v>480</v>
      </c>
      <c r="C558" s="2">
        <v>1</v>
      </c>
      <c r="D558" s="2" t="s">
        <v>5</v>
      </c>
      <c r="E558" s="321">
        <v>4300</v>
      </c>
      <c r="F558" s="322">
        <v>5200</v>
      </c>
      <c r="G558" s="353">
        <v>205</v>
      </c>
      <c r="H558" s="322">
        <f t="shared" si="102"/>
        <v>881500</v>
      </c>
      <c r="I558" s="122">
        <f t="shared" si="103"/>
        <v>1066000</v>
      </c>
      <c r="J558" s="331">
        <f t="shared" si="104"/>
        <v>184500</v>
      </c>
      <c r="K558" s="292">
        <f>'09-RESUMEN'!$F$43/1375+('09-RESUMEN'!$F$42/17)</f>
        <v>283519.42464527232</v>
      </c>
      <c r="L558" s="122">
        <f>('ESTADO RESULTADOS'!$C$36+'ESTADO RESULTADOS'!$C$71)/1375</f>
        <v>24762.287272727273</v>
      </c>
      <c r="M558" s="122">
        <f>'ESTADO RESULTADOS'!$C$37/17</f>
        <v>106174.11764705883</v>
      </c>
      <c r="N558" s="122">
        <f t="shared" si="110"/>
        <v>1295955.8295650585</v>
      </c>
      <c r="O558" s="122">
        <f t="shared" si="111"/>
        <v>6321.735753975895</v>
      </c>
      <c r="P558" s="336">
        <f t="shared" si="105"/>
        <v>-229955.82956505846</v>
      </c>
      <c r="Q558" s="336">
        <f t="shared" si="106"/>
        <v>2021.735753975895</v>
      </c>
      <c r="R558" s="303">
        <f t="shared" si="107"/>
        <v>0.47017110557578956</v>
      </c>
    </row>
    <row r="559" spans="1:18" x14ac:dyDescent="0.3">
      <c r="A559" s="2">
        <v>1124</v>
      </c>
      <c r="B559" s="41" t="s">
        <v>1707</v>
      </c>
      <c r="C559" s="2">
        <v>2</v>
      </c>
      <c r="D559" s="2" t="s">
        <v>5</v>
      </c>
      <c r="E559" s="294">
        <v>89541.585000000006</v>
      </c>
      <c r="F559" s="296">
        <v>98466.666666666672</v>
      </c>
      <c r="G559" s="352">
        <v>13</v>
      </c>
      <c r="H559" s="296">
        <f t="shared" si="102"/>
        <v>1164040.605</v>
      </c>
      <c r="I559" s="122">
        <f t="shared" si="103"/>
        <v>1280066.6666666667</v>
      </c>
      <c r="J559" s="331">
        <f t="shared" si="104"/>
        <v>116026.06166666676</v>
      </c>
      <c r="K559" s="292">
        <f>'09-RESUMEN'!$F$43/1375</f>
        <v>81431.961035221175</v>
      </c>
      <c r="L559" s="122">
        <f>('ESTADO RESULTADOS'!$C$36+'ESTADO RESULTADOS'!$C$71)/1375</f>
        <v>24762.287272727273</v>
      </c>
      <c r="M559" s="122">
        <v>0</v>
      </c>
      <c r="N559" s="122">
        <f t="shared" si="110"/>
        <v>1270234.8533079484</v>
      </c>
      <c r="O559" s="122">
        <f t="shared" si="111"/>
        <v>97710.373331380644</v>
      </c>
      <c r="P559" s="336">
        <f t="shared" si="105"/>
        <v>9831.8133587182965</v>
      </c>
      <c r="Q559" s="336">
        <f t="shared" si="106"/>
        <v>8168.7883313806378</v>
      </c>
      <c r="R559" s="303">
        <f t="shared" si="107"/>
        <v>9.1228989651910203E-2</v>
      </c>
    </row>
    <row r="560" spans="1:18" x14ac:dyDescent="0.3">
      <c r="A560" s="2">
        <v>1125</v>
      </c>
      <c r="B560" s="41" t="s">
        <v>1708</v>
      </c>
      <c r="C560" s="2">
        <v>2</v>
      </c>
      <c r="D560" s="2" t="s">
        <v>5</v>
      </c>
      <c r="E560" s="294">
        <v>1780.38</v>
      </c>
      <c r="F560" s="296">
        <v>2733.3333333333335</v>
      </c>
      <c r="G560" s="352">
        <v>355</v>
      </c>
      <c r="H560" s="296">
        <f t="shared" si="102"/>
        <v>632034.9</v>
      </c>
      <c r="I560" s="122">
        <f t="shared" si="103"/>
        <v>970333.33333333337</v>
      </c>
      <c r="J560" s="331">
        <f t="shared" si="104"/>
        <v>338298.43333333335</v>
      </c>
      <c r="K560" s="292">
        <f>'09-RESUMEN'!$F$43/1375</f>
        <v>81431.961035221175</v>
      </c>
      <c r="L560" s="122">
        <f>('ESTADO RESULTADOS'!$C$36+'ESTADO RESULTADOS'!$C$71)/1375</f>
        <v>24762.287272727273</v>
      </c>
      <c r="M560" s="122">
        <v>0</v>
      </c>
      <c r="N560" s="122">
        <f t="shared" si="110"/>
        <v>738229.14830794849</v>
      </c>
      <c r="O560" s="122">
        <f t="shared" si="111"/>
        <v>2079.518727628024</v>
      </c>
      <c r="P560" s="336">
        <f t="shared" si="105"/>
        <v>232104.18502538488</v>
      </c>
      <c r="Q560" s="336">
        <f t="shared" si="106"/>
        <v>299.13872762802384</v>
      </c>
      <c r="R560" s="303">
        <f t="shared" si="107"/>
        <v>0.16801959560769264</v>
      </c>
    </row>
    <row r="561" spans="1:18" x14ac:dyDescent="0.3">
      <c r="A561" s="2">
        <v>1126</v>
      </c>
      <c r="B561" s="41" t="s">
        <v>481</v>
      </c>
      <c r="C561" s="2">
        <v>2</v>
      </c>
      <c r="D561" s="2" t="s">
        <v>5</v>
      </c>
      <c r="E561" s="294">
        <v>4900.5573999999997</v>
      </c>
      <c r="F561" s="296">
        <v>5766.666666666667</v>
      </c>
      <c r="G561" s="352">
        <v>12</v>
      </c>
      <c r="H561" s="296">
        <f t="shared" si="102"/>
        <v>58806.688799999996</v>
      </c>
      <c r="I561" s="122">
        <f t="shared" si="103"/>
        <v>69200</v>
      </c>
      <c r="J561" s="331">
        <f t="shared" si="104"/>
        <v>10393.311200000004</v>
      </c>
      <c r="K561" s="292">
        <f>'09-RESUMEN'!$F$43/1375</f>
        <v>81431.961035221175</v>
      </c>
      <c r="L561" s="122">
        <f>('ESTADO RESULTADOS'!$C$36+'ESTADO RESULTADOS'!$C$71)/1375</f>
        <v>24762.287272727273</v>
      </c>
      <c r="M561" s="122">
        <v>0</v>
      </c>
      <c r="N561" s="122">
        <f t="shared" si="110"/>
        <v>165000.93710794844</v>
      </c>
      <c r="O561" s="122">
        <f t="shared" si="111"/>
        <v>13750.078092329037</v>
      </c>
      <c r="P561" s="336">
        <f t="shared" si="105"/>
        <v>-95800.937107948441</v>
      </c>
      <c r="Q561" s="336">
        <f t="shared" si="106"/>
        <v>8849.520692329037</v>
      </c>
      <c r="R561" s="303">
        <f t="shared" si="107"/>
        <v>1.8058192099390649</v>
      </c>
    </row>
    <row r="562" spans="1:18" x14ac:dyDescent="0.3">
      <c r="A562" s="2">
        <v>1127</v>
      </c>
      <c r="B562" s="41" t="s">
        <v>1709</v>
      </c>
      <c r="C562" s="2">
        <v>9</v>
      </c>
      <c r="D562" s="2" t="s">
        <v>12</v>
      </c>
      <c r="E562" s="294">
        <v>7499.9988000000003</v>
      </c>
      <c r="F562" s="296">
        <v>8900</v>
      </c>
      <c r="G562" s="352">
        <v>0</v>
      </c>
      <c r="H562" s="296">
        <f t="shared" si="102"/>
        <v>0</v>
      </c>
      <c r="I562" s="122">
        <f t="shared" si="103"/>
        <v>0</v>
      </c>
      <c r="J562" s="331">
        <f t="shared" si="104"/>
        <v>0</v>
      </c>
      <c r="K562" s="292">
        <f>'09-RESUMEN'!$F$43/1375</f>
        <v>81431.961035221175</v>
      </c>
      <c r="L562" s="122">
        <f>('ESTADO RESULTADOS'!$C$36+'ESTADO RESULTADOS'!$C$71)/1375</f>
        <v>24762.287272727273</v>
      </c>
      <c r="M562" s="122">
        <v>0</v>
      </c>
      <c r="N562" s="122">
        <f>SUM(E562+K562+L562+M562)</f>
        <v>113694.24710794845</v>
      </c>
      <c r="O562" s="122">
        <f>N562</f>
        <v>113694.24710794845</v>
      </c>
      <c r="P562" s="336">
        <f t="shared" si="105"/>
        <v>-113694.24710794845</v>
      </c>
      <c r="Q562" s="336">
        <f t="shared" si="106"/>
        <v>106194.24830794845</v>
      </c>
      <c r="R562" s="303">
        <f t="shared" si="107"/>
        <v>14.159235373204119</v>
      </c>
    </row>
    <row r="563" spans="1:18" x14ac:dyDescent="0.3">
      <c r="A563" s="2">
        <v>1128</v>
      </c>
      <c r="B563" s="41" t="s">
        <v>1710</v>
      </c>
      <c r="C563" s="2">
        <v>9</v>
      </c>
      <c r="D563" s="2" t="s">
        <v>12</v>
      </c>
      <c r="E563" s="294">
        <v>8000.0011000000004</v>
      </c>
      <c r="F563" s="296">
        <v>9600</v>
      </c>
      <c r="G563" s="352">
        <v>0</v>
      </c>
      <c r="H563" s="296">
        <f t="shared" si="102"/>
        <v>0</v>
      </c>
      <c r="I563" s="122">
        <f t="shared" si="103"/>
        <v>0</v>
      </c>
      <c r="J563" s="331">
        <f t="shared" si="104"/>
        <v>0</v>
      </c>
      <c r="K563" s="292">
        <f>'09-RESUMEN'!$F$43/1375</f>
        <v>81431.961035221175</v>
      </c>
      <c r="L563" s="122">
        <f>('ESTADO RESULTADOS'!$C$36+'ESTADO RESULTADOS'!$C$71)/1375</f>
        <v>24762.287272727273</v>
      </c>
      <c r="M563" s="122">
        <v>0</v>
      </c>
      <c r="N563" s="122">
        <f>SUM(E563+K563+L563+M563)</f>
        <v>114194.24940794845</v>
      </c>
      <c r="O563" s="122">
        <f>N563</f>
        <v>114194.24940794845</v>
      </c>
      <c r="P563" s="336">
        <f t="shared" si="105"/>
        <v>-114194.24940794845</v>
      </c>
      <c r="Q563" s="336">
        <f t="shared" si="106"/>
        <v>106194.24830794845</v>
      </c>
      <c r="R563" s="303">
        <f t="shared" si="107"/>
        <v>13.274279213280163</v>
      </c>
    </row>
    <row r="564" spans="1:18" x14ac:dyDescent="0.3">
      <c r="A564" s="2">
        <v>1130</v>
      </c>
      <c r="B564" s="41" t="s">
        <v>1711</v>
      </c>
      <c r="C564" s="2">
        <v>4</v>
      </c>
      <c r="D564" s="2" t="s">
        <v>16</v>
      </c>
      <c r="E564" s="294">
        <v>45853</v>
      </c>
      <c r="F564" s="296">
        <v>51000</v>
      </c>
      <c r="G564" s="352">
        <v>6</v>
      </c>
      <c r="H564" s="296">
        <f t="shared" si="102"/>
        <v>275118</v>
      </c>
      <c r="I564" s="122">
        <f t="shared" si="103"/>
        <v>306000</v>
      </c>
      <c r="J564" s="331">
        <f t="shared" si="104"/>
        <v>30882</v>
      </c>
      <c r="K564" s="292">
        <f>'09-RESUMEN'!$F$43/1375</f>
        <v>81431.961035221175</v>
      </c>
      <c r="L564" s="122">
        <f>('ESTADO RESULTADOS'!$C$36+'ESTADO RESULTADOS'!$C$71)/1375</f>
        <v>24762.287272727273</v>
      </c>
      <c r="M564" s="122">
        <v>0</v>
      </c>
      <c r="N564" s="122">
        <f>SUM(H564+K564+L564+M564)</f>
        <v>381312.24830794847</v>
      </c>
      <c r="O564" s="122">
        <f>N564/G564</f>
        <v>63552.041384658078</v>
      </c>
      <c r="P564" s="336">
        <f t="shared" si="105"/>
        <v>-75312.248307948466</v>
      </c>
      <c r="Q564" s="336">
        <f t="shared" si="106"/>
        <v>17699.041384658078</v>
      </c>
      <c r="R564" s="303">
        <f t="shared" si="107"/>
        <v>0.38599527587416477</v>
      </c>
    </row>
    <row r="565" spans="1:18" x14ac:dyDescent="0.3">
      <c r="A565" s="2">
        <v>1132</v>
      </c>
      <c r="B565" s="41" t="s">
        <v>1712</v>
      </c>
      <c r="C565" s="2">
        <v>11</v>
      </c>
      <c r="D565" s="2" t="s">
        <v>12</v>
      </c>
      <c r="E565" s="294">
        <v>2400</v>
      </c>
      <c r="F565" s="296">
        <v>3900</v>
      </c>
      <c r="G565" s="352">
        <v>1096</v>
      </c>
      <c r="H565" s="296">
        <f t="shared" si="102"/>
        <v>2630400</v>
      </c>
      <c r="I565" s="122">
        <f t="shared" si="103"/>
        <v>4274400</v>
      </c>
      <c r="J565" s="331">
        <f t="shared" si="104"/>
        <v>1644000</v>
      </c>
      <c r="K565" s="292">
        <f>'09-RESUMEN'!$F$43/1375</f>
        <v>81431.961035221175</v>
      </c>
      <c r="L565" s="122">
        <f>('ESTADO RESULTADOS'!$C$36+'ESTADO RESULTADOS'!$C$71)/1375</f>
        <v>24762.287272727273</v>
      </c>
      <c r="M565" s="122">
        <v>0</v>
      </c>
      <c r="N565" s="122">
        <f>SUM(H565+K565+L565+M565)</f>
        <v>2736594.2483079485</v>
      </c>
      <c r="O565" s="122">
        <f>N565/G565</f>
        <v>2496.8925623247706</v>
      </c>
      <c r="P565" s="336">
        <f t="shared" si="105"/>
        <v>1537805.7516920515</v>
      </c>
      <c r="Q565" s="336">
        <f t="shared" si="106"/>
        <v>96.892562324770552</v>
      </c>
      <c r="R565" s="303">
        <f t="shared" si="107"/>
        <v>4.0371900968654395E-2</v>
      </c>
    </row>
    <row r="566" spans="1:18" x14ac:dyDescent="0.3">
      <c r="A566" s="2">
        <v>1134</v>
      </c>
      <c r="B566" s="41" t="s">
        <v>482</v>
      </c>
      <c r="C566" s="2">
        <v>6</v>
      </c>
      <c r="D566" s="2" t="s">
        <v>32</v>
      </c>
      <c r="E566" s="294">
        <v>6000</v>
      </c>
      <c r="F566" s="296">
        <v>8000</v>
      </c>
      <c r="G566" s="352">
        <v>26</v>
      </c>
      <c r="H566" s="296">
        <f t="shared" si="102"/>
        <v>156000</v>
      </c>
      <c r="I566" s="122">
        <f t="shared" si="103"/>
        <v>208000</v>
      </c>
      <c r="J566" s="331">
        <f t="shared" si="104"/>
        <v>52000</v>
      </c>
      <c r="K566" s="292">
        <f>'09-RESUMEN'!$F$43/1375</f>
        <v>81431.961035221175</v>
      </c>
      <c r="L566" s="122">
        <f>('ESTADO RESULTADOS'!$C$36+'ESTADO RESULTADOS'!$C$71)/1375</f>
        <v>24762.287272727273</v>
      </c>
      <c r="M566" s="122">
        <v>0</v>
      </c>
      <c r="N566" s="122">
        <f>SUM(H566+K566+L566+M566)</f>
        <v>262194.24830794847</v>
      </c>
      <c r="O566" s="122">
        <f>N566/G566</f>
        <v>10084.394165690326</v>
      </c>
      <c r="P566" s="336">
        <f t="shared" si="105"/>
        <v>-54194.248307948466</v>
      </c>
      <c r="Q566" s="336">
        <f t="shared" si="106"/>
        <v>4084.3941656903262</v>
      </c>
      <c r="R566" s="303">
        <f t="shared" si="107"/>
        <v>0.68073236094838774</v>
      </c>
    </row>
    <row r="567" spans="1:18" x14ac:dyDescent="0.3">
      <c r="A567" s="2">
        <v>1135</v>
      </c>
      <c r="B567" s="41" t="s">
        <v>1713</v>
      </c>
      <c r="C567" s="2">
        <v>9</v>
      </c>
      <c r="D567" s="2" t="s">
        <v>12</v>
      </c>
      <c r="E567" s="294">
        <v>6545</v>
      </c>
      <c r="F567" s="296">
        <v>8200</v>
      </c>
      <c r="G567" s="352">
        <v>0</v>
      </c>
      <c r="H567" s="296">
        <f t="shared" si="102"/>
        <v>0</v>
      </c>
      <c r="I567" s="122">
        <f t="shared" si="103"/>
        <v>0</v>
      </c>
      <c r="J567" s="331">
        <f t="shared" si="104"/>
        <v>0</v>
      </c>
      <c r="K567" s="292">
        <f>'09-RESUMEN'!$F$43/1375</f>
        <v>81431.961035221175</v>
      </c>
      <c r="L567" s="122">
        <f>('ESTADO RESULTADOS'!$C$36+'ESTADO RESULTADOS'!$C$71)/1375</f>
        <v>24762.287272727273</v>
      </c>
      <c r="M567" s="122">
        <v>0</v>
      </c>
      <c r="N567" s="122">
        <f>SUM(E567+K567+L567+M567)</f>
        <v>112739.24830794845</v>
      </c>
      <c r="O567" s="122">
        <f>N567</f>
        <v>112739.24830794845</v>
      </c>
      <c r="P567" s="336">
        <f t="shared" si="105"/>
        <v>-112739.24830794845</v>
      </c>
      <c r="Q567" s="336">
        <f t="shared" si="106"/>
        <v>106194.24830794845</v>
      </c>
      <c r="R567" s="303">
        <f t="shared" si="107"/>
        <v>16.225248022604806</v>
      </c>
    </row>
    <row r="568" spans="1:18" x14ac:dyDescent="0.3">
      <c r="A568" s="2">
        <v>1136</v>
      </c>
      <c r="B568" s="41" t="s">
        <v>1714</v>
      </c>
      <c r="C568" s="2">
        <v>9</v>
      </c>
      <c r="D568" s="2" t="s">
        <v>12</v>
      </c>
      <c r="E568" s="294">
        <v>7140</v>
      </c>
      <c r="F568" s="296">
        <v>7800</v>
      </c>
      <c r="G568" s="352">
        <v>6</v>
      </c>
      <c r="H568" s="296">
        <f t="shared" si="102"/>
        <v>42840</v>
      </c>
      <c r="I568" s="122">
        <f t="shared" si="103"/>
        <v>46800</v>
      </c>
      <c r="J568" s="331">
        <f t="shared" si="104"/>
        <v>3960</v>
      </c>
      <c r="K568" s="292">
        <f>'09-RESUMEN'!$F$43/1375</f>
        <v>81431.961035221175</v>
      </c>
      <c r="L568" s="122">
        <f>('ESTADO RESULTADOS'!$C$36+'ESTADO RESULTADOS'!$C$71)/1375</f>
        <v>24762.287272727273</v>
      </c>
      <c r="M568" s="122">
        <v>0</v>
      </c>
      <c r="N568" s="122">
        <f>SUM(H568+K568+L568+M568)</f>
        <v>149034.24830794844</v>
      </c>
      <c r="O568" s="122">
        <f>N568/G568</f>
        <v>24839.041384658074</v>
      </c>
      <c r="P568" s="336">
        <f t="shared" si="105"/>
        <v>-102234.24830794844</v>
      </c>
      <c r="Q568" s="336">
        <f t="shared" si="106"/>
        <v>17699.041384658074</v>
      </c>
      <c r="R568" s="303">
        <f t="shared" si="107"/>
        <v>2.4788573367868452</v>
      </c>
    </row>
    <row r="569" spans="1:18" x14ac:dyDescent="0.3">
      <c r="A569" s="2">
        <v>1137</v>
      </c>
      <c r="B569" s="41" t="s">
        <v>483</v>
      </c>
      <c r="C569" s="2">
        <v>9</v>
      </c>
      <c r="D569" s="2" t="s">
        <v>12</v>
      </c>
      <c r="E569" s="294">
        <v>7140</v>
      </c>
      <c r="F569" s="296">
        <v>8500</v>
      </c>
      <c r="G569" s="352">
        <v>4</v>
      </c>
      <c r="H569" s="296">
        <f t="shared" si="102"/>
        <v>28560</v>
      </c>
      <c r="I569" s="122">
        <f t="shared" si="103"/>
        <v>34000</v>
      </c>
      <c r="J569" s="331">
        <f t="shared" si="104"/>
        <v>5440</v>
      </c>
      <c r="K569" s="292">
        <f>'09-RESUMEN'!$F$43/1375</f>
        <v>81431.961035221175</v>
      </c>
      <c r="L569" s="122">
        <f>('ESTADO RESULTADOS'!$C$36+'ESTADO RESULTADOS'!$C$71)/1375</f>
        <v>24762.287272727273</v>
      </c>
      <c r="M569" s="122">
        <v>0</v>
      </c>
      <c r="N569" s="122">
        <f>SUM(H569+K569+L569+M569)</f>
        <v>134754.24830794844</v>
      </c>
      <c r="O569" s="122">
        <f>N569/G569</f>
        <v>33688.562076987109</v>
      </c>
      <c r="P569" s="336">
        <f t="shared" si="105"/>
        <v>-100754.24830794844</v>
      </c>
      <c r="Q569" s="336">
        <f t="shared" si="106"/>
        <v>26548.562076987109</v>
      </c>
      <c r="R569" s="303">
        <f t="shared" si="107"/>
        <v>3.7182860051802673</v>
      </c>
    </row>
    <row r="570" spans="1:18" x14ac:dyDescent="0.3">
      <c r="A570" s="2">
        <v>1138</v>
      </c>
      <c r="B570" s="41" t="s">
        <v>1715</v>
      </c>
      <c r="C570" s="2">
        <v>7</v>
      </c>
      <c r="D570" s="2" t="s">
        <v>21</v>
      </c>
      <c r="E570" s="294">
        <v>3060</v>
      </c>
      <c r="F570" s="296">
        <v>3800</v>
      </c>
      <c r="G570" s="352">
        <v>0</v>
      </c>
      <c r="H570" s="296">
        <f t="shared" si="102"/>
        <v>0</v>
      </c>
      <c r="I570" s="122">
        <f t="shared" si="103"/>
        <v>0</v>
      </c>
      <c r="J570" s="331">
        <f t="shared" si="104"/>
        <v>0</v>
      </c>
      <c r="K570" s="292">
        <f>'09-RESUMEN'!$F$43/1375</f>
        <v>81431.961035221175</v>
      </c>
      <c r="L570" s="122">
        <f>('ESTADO RESULTADOS'!$C$36+'ESTADO RESULTADOS'!$C$71)/1375</f>
        <v>24762.287272727273</v>
      </c>
      <c r="M570" s="122">
        <v>0</v>
      </c>
      <c r="N570" s="122">
        <f>SUM(E570+K570+L570+M570)</f>
        <v>109254.24830794845</v>
      </c>
      <c r="O570" s="122">
        <f>N570</f>
        <v>109254.24830794845</v>
      </c>
      <c r="P570" s="336">
        <f t="shared" si="105"/>
        <v>-109254.24830794845</v>
      </c>
      <c r="Q570" s="336">
        <f t="shared" si="106"/>
        <v>106194.24830794845</v>
      </c>
      <c r="R570" s="303">
        <f t="shared" si="107"/>
        <v>34.704002715015832</v>
      </c>
    </row>
    <row r="571" spans="1:18" x14ac:dyDescent="0.3">
      <c r="A571" s="2">
        <v>1139</v>
      </c>
      <c r="B571" s="41" t="s">
        <v>484</v>
      </c>
      <c r="C571" s="2">
        <v>7</v>
      </c>
      <c r="D571" s="2" t="s">
        <v>5</v>
      </c>
      <c r="E571" s="294">
        <v>49000</v>
      </c>
      <c r="F571" s="296">
        <v>57666.666666666664</v>
      </c>
      <c r="G571" s="352">
        <v>27</v>
      </c>
      <c r="H571" s="296">
        <f t="shared" si="102"/>
        <v>1323000</v>
      </c>
      <c r="I571" s="122">
        <f t="shared" si="103"/>
        <v>1557000</v>
      </c>
      <c r="J571" s="331">
        <f t="shared" si="104"/>
        <v>234000</v>
      </c>
      <c r="K571" s="292">
        <f>'09-RESUMEN'!$F$43/1375</f>
        <v>81431.961035221175</v>
      </c>
      <c r="L571" s="122">
        <f>('ESTADO RESULTADOS'!$C$36+'ESTADO RESULTADOS'!$C$71)/1375</f>
        <v>24762.287272727273</v>
      </c>
      <c r="M571" s="122">
        <v>0</v>
      </c>
      <c r="N571" s="122">
        <f>SUM(H571+K571+L571+M571)</f>
        <v>1429194.2483079485</v>
      </c>
      <c r="O571" s="122">
        <f>N571/G571</f>
        <v>52933.120307701793</v>
      </c>
      <c r="P571" s="336">
        <f t="shared" si="105"/>
        <v>127805.75169205153</v>
      </c>
      <c r="Q571" s="336">
        <f t="shared" si="106"/>
        <v>3933.1203077017926</v>
      </c>
      <c r="R571" s="303">
        <f t="shared" si="107"/>
        <v>8.0267761381669231E-2</v>
      </c>
    </row>
    <row r="572" spans="1:18" x14ac:dyDescent="0.3">
      <c r="A572" s="2">
        <v>1140</v>
      </c>
      <c r="B572" s="41" t="s">
        <v>485</v>
      </c>
      <c r="C572" s="2">
        <v>9</v>
      </c>
      <c r="D572" s="2" t="s">
        <v>12</v>
      </c>
      <c r="E572" s="294">
        <v>6000.0038000000004</v>
      </c>
      <c r="F572" s="296">
        <v>7200</v>
      </c>
      <c r="G572" s="352">
        <v>4</v>
      </c>
      <c r="H572" s="296">
        <f t="shared" si="102"/>
        <v>24000.015200000002</v>
      </c>
      <c r="I572" s="122">
        <f t="shared" si="103"/>
        <v>28800</v>
      </c>
      <c r="J572" s="331">
        <f t="shared" si="104"/>
        <v>4799.9847999999984</v>
      </c>
      <c r="K572" s="292">
        <f>'09-RESUMEN'!$F$43/1375</f>
        <v>81431.961035221175</v>
      </c>
      <c r="L572" s="122">
        <f>('ESTADO RESULTADOS'!$C$36+'ESTADO RESULTADOS'!$C$71)/1375</f>
        <v>24762.287272727273</v>
      </c>
      <c r="M572" s="122">
        <v>0</v>
      </c>
      <c r="N572" s="122">
        <f>SUM(H572+K572+L572+M572)</f>
        <v>130194.26350794845</v>
      </c>
      <c r="O572" s="122">
        <f>N572/G572</f>
        <v>32548.565876987112</v>
      </c>
      <c r="P572" s="336">
        <f t="shared" si="105"/>
        <v>-101394.26350794845</v>
      </c>
      <c r="Q572" s="336">
        <f t="shared" si="106"/>
        <v>26548.562076987109</v>
      </c>
      <c r="R572" s="303">
        <f t="shared" si="107"/>
        <v>4.4247575438180737</v>
      </c>
    </row>
    <row r="573" spans="1:18" x14ac:dyDescent="0.3">
      <c r="A573" s="2">
        <v>1141</v>
      </c>
      <c r="B573" s="41" t="s">
        <v>1716</v>
      </c>
      <c r="C573" s="2">
        <v>9</v>
      </c>
      <c r="D573" s="2" t="s">
        <v>12</v>
      </c>
      <c r="E573" s="294">
        <v>8000.0011000000004</v>
      </c>
      <c r="F573" s="296">
        <v>9300</v>
      </c>
      <c r="G573" s="352">
        <v>0</v>
      </c>
      <c r="H573" s="296">
        <f t="shared" si="102"/>
        <v>0</v>
      </c>
      <c r="I573" s="122">
        <f t="shared" si="103"/>
        <v>0</v>
      </c>
      <c r="J573" s="331">
        <f t="shared" si="104"/>
        <v>0</v>
      </c>
      <c r="K573" s="292">
        <f>'09-RESUMEN'!$F$43/1375</f>
        <v>81431.961035221175</v>
      </c>
      <c r="L573" s="122">
        <f>('ESTADO RESULTADOS'!$C$36+'ESTADO RESULTADOS'!$C$71)/1375</f>
        <v>24762.287272727273</v>
      </c>
      <c r="M573" s="122">
        <v>0</v>
      </c>
      <c r="N573" s="122">
        <f>SUM(E573+K573+L573+M573)</f>
        <v>114194.24940794845</v>
      </c>
      <c r="O573" s="122">
        <f>N573</f>
        <v>114194.24940794845</v>
      </c>
      <c r="P573" s="336">
        <f t="shared" si="105"/>
        <v>-114194.24940794845</v>
      </c>
      <c r="Q573" s="336">
        <f t="shared" si="106"/>
        <v>106194.24830794845</v>
      </c>
      <c r="R573" s="303">
        <f t="shared" si="107"/>
        <v>13.274279213280163</v>
      </c>
    </row>
    <row r="574" spans="1:18" x14ac:dyDescent="0.3">
      <c r="A574" s="2">
        <v>1142</v>
      </c>
      <c r="B574" s="41" t="s">
        <v>487</v>
      </c>
      <c r="C574" s="2">
        <v>5</v>
      </c>
      <c r="D574" s="2" t="s">
        <v>5</v>
      </c>
      <c r="E574" s="294">
        <v>44000</v>
      </c>
      <c r="F574" s="296">
        <v>74333.333333333328</v>
      </c>
      <c r="G574" s="352">
        <v>2</v>
      </c>
      <c r="H574" s="296">
        <f t="shared" si="102"/>
        <v>88000</v>
      </c>
      <c r="I574" s="122">
        <f t="shared" si="103"/>
        <v>148666.66666666666</v>
      </c>
      <c r="J574" s="331">
        <f t="shared" si="104"/>
        <v>60666.666666666657</v>
      </c>
      <c r="K574" s="292">
        <f>'09-RESUMEN'!$F$43/1375</f>
        <v>81431.961035221175</v>
      </c>
      <c r="L574" s="122">
        <f>('ESTADO RESULTADOS'!$C$36+'ESTADO RESULTADOS'!$C$71)/1375</f>
        <v>24762.287272727273</v>
      </c>
      <c r="M574" s="122">
        <v>0</v>
      </c>
      <c r="N574" s="122">
        <f>SUM(H574+K574+L574+M574)</f>
        <v>194194.24830794844</v>
      </c>
      <c r="O574" s="122">
        <f>N574/G574</f>
        <v>97097.124153974219</v>
      </c>
      <c r="P574" s="336">
        <f t="shared" si="105"/>
        <v>-45527.58164128178</v>
      </c>
      <c r="Q574" s="336">
        <f t="shared" si="106"/>
        <v>53097.124153974219</v>
      </c>
      <c r="R574" s="303">
        <f t="shared" si="107"/>
        <v>1.2067528216812322</v>
      </c>
    </row>
    <row r="575" spans="1:18" x14ac:dyDescent="0.3">
      <c r="A575" s="2">
        <v>1147</v>
      </c>
      <c r="B575" s="41" t="s">
        <v>1717</v>
      </c>
      <c r="C575" s="2">
        <v>8</v>
      </c>
      <c r="D575" s="2" t="s">
        <v>16</v>
      </c>
      <c r="E575" s="294">
        <v>33250</v>
      </c>
      <c r="F575" s="296">
        <v>37000</v>
      </c>
      <c r="G575" s="352">
        <v>0</v>
      </c>
      <c r="H575" s="296">
        <f t="shared" si="102"/>
        <v>0</v>
      </c>
      <c r="I575" s="122">
        <f t="shared" si="103"/>
        <v>0</v>
      </c>
      <c r="J575" s="331">
        <f t="shared" si="104"/>
        <v>0</v>
      </c>
      <c r="K575" s="292">
        <f>'09-RESUMEN'!$F$43/1375</f>
        <v>81431.961035221175</v>
      </c>
      <c r="L575" s="122">
        <f>('ESTADO RESULTADOS'!$C$36+'ESTADO RESULTADOS'!$C$71)/1375</f>
        <v>24762.287272727273</v>
      </c>
      <c r="M575" s="122">
        <v>0</v>
      </c>
      <c r="N575" s="122">
        <f>SUM(E575+K575+L575+M575)</f>
        <v>139444.24830794844</v>
      </c>
      <c r="O575" s="122">
        <f>N575</f>
        <v>139444.24830794844</v>
      </c>
      <c r="P575" s="336">
        <f t="shared" si="105"/>
        <v>-139444.24830794844</v>
      </c>
      <c r="Q575" s="336">
        <f t="shared" si="106"/>
        <v>106194.24830794844</v>
      </c>
      <c r="R575" s="303">
        <f t="shared" si="107"/>
        <v>3.1938119791864192</v>
      </c>
    </row>
    <row r="576" spans="1:18" x14ac:dyDescent="0.3">
      <c r="A576" s="2">
        <v>1158</v>
      </c>
      <c r="B576" s="41" t="s">
        <v>1718</v>
      </c>
      <c r="C576" s="2">
        <v>5</v>
      </c>
      <c r="D576" s="2" t="s">
        <v>5</v>
      </c>
      <c r="E576" s="294">
        <v>3196</v>
      </c>
      <c r="F576" s="296">
        <v>6000</v>
      </c>
      <c r="G576" s="352">
        <v>0</v>
      </c>
      <c r="H576" s="296">
        <f t="shared" si="102"/>
        <v>0</v>
      </c>
      <c r="I576" s="122">
        <f t="shared" si="103"/>
        <v>0</v>
      </c>
      <c r="J576" s="331">
        <f t="shared" si="104"/>
        <v>0</v>
      </c>
      <c r="K576" s="292">
        <f>'09-RESUMEN'!$F$43/1375</f>
        <v>81431.961035221175</v>
      </c>
      <c r="L576" s="122">
        <f>('ESTADO RESULTADOS'!$C$36+'ESTADO RESULTADOS'!$C$71)/1375</f>
        <v>24762.287272727273</v>
      </c>
      <c r="M576" s="122">
        <v>0</v>
      </c>
      <c r="N576" s="122">
        <f>SUM(E576+K576+L576+M576)</f>
        <v>109390.24830794845</v>
      </c>
      <c r="O576" s="122">
        <f>N576</f>
        <v>109390.24830794845</v>
      </c>
      <c r="P576" s="336">
        <f t="shared" si="105"/>
        <v>-109390.24830794845</v>
      </c>
      <c r="Q576" s="336">
        <f t="shared" si="106"/>
        <v>106194.24830794845</v>
      </c>
      <c r="R576" s="303">
        <f t="shared" si="107"/>
        <v>33.227236642036438</v>
      </c>
    </row>
    <row r="577" spans="1:18" x14ac:dyDescent="0.3">
      <c r="A577" s="2">
        <v>1161</v>
      </c>
      <c r="B577" s="41" t="s">
        <v>488</v>
      </c>
      <c r="C577" s="2">
        <v>5</v>
      </c>
      <c r="D577" s="2" t="s">
        <v>5</v>
      </c>
      <c r="E577" s="294">
        <v>41000</v>
      </c>
      <c r="F577" s="296">
        <v>58833.333333333336</v>
      </c>
      <c r="G577" s="352">
        <v>23</v>
      </c>
      <c r="H577" s="296">
        <f t="shared" si="102"/>
        <v>943000</v>
      </c>
      <c r="I577" s="122">
        <f t="shared" si="103"/>
        <v>1353166.6666666667</v>
      </c>
      <c r="J577" s="331">
        <f t="shared" si="104"/>
        <v>410166.66666666674</v>
      </c>
      <c r="K577" s="292">
        <f>'09-RESUMEN'!$F$43/1375</f>
        <v>81431.961035221175</v>
      </c>
      <c r="L577" s="122">
        <f>('ESTADO RESULTADOS'!$C$36+'ESTADO RESULTADOS'!$C$71)/1375</f>
        <v>24762.287272727273</v>
      </c>
      <c r="M577" s="122">
        <v>0</v>
      </c>
      <c r="N577" s="122">
        <f>SUM(H577+K577+L577+M577)</f>
        <v>1049194.2483079485</v>
      </c>
      <c r="O577" s="122">
        <f>N577/G577</f>
        <v>45617.141230780369</v>
      </c>
      <c r="P577" s="336">
        <f t="shared" si="105"/>
        <v>303972.41835871828</v>
      </c>
      <c r="Q577" s="336">
        <f t="shared" si="106"/>
        <v>4617.1412307803694</v>
      </c>
      <c r="R577" s="303">
        <f t="shared" si="107"/>
        <v>0.11261320075074072</v>
      </c>
    </row>
    <row r="578" spans="1:18" x14ac:dyDescent="0.3">
      <c r="A578" s="2">
        <v>1163</v>
      </c>
      <c r="B578" s="41" t="s">
        <v>490</v>
      </c>
      <c r="C578" s="2">
        <v>14</v>
      </c>
      <c r="D578" s="2" t="s">
        <v>81</v>
      </c>
      <c r="E578" s="294">
        <v>18119</v>
      </c>
      <c r="F578" s="296">
        <v>22500</v>
      </c>
      <c r="G578" s="352">
        <v>3</v>
      </c>
      <c r="H578" s="296">
        <f t="shared" si="102"/>
        <v>54357</v>
      </c>
      <c r="I578" s="122">
        <f t="shared" si="103"/>
        <v>67500</v>
      </c>
      <c r="J578" s="331">
        <f t="shared" si="104"/>
        <v>13143</v>
      </c>
      <c r="K578" s="292">
        <f>'09-RESUMEN'!$F$43/1375</f>
        <v>81431.961035221175</v>
      </c>
      <c r="L578" s="122">
        <f>('ESTADO RESULTADOS'!$C$36+'ESTADO RESULTADOS'!$C$71)/1375</f>
        <v>24762.287272727273</v>
      </c>
      <c r="M578" s="122">
        <v>0</v>
      </c>
      <c r="N578" s="122">
        <f>SUM(H578+K578+L578+M578)</f>
        <v>160551.24830794844</v>
      </c>
      <c r="O578" s="122">
        <f>N578/G578</f>
        <v>53517.082769316148</v>
      </c>
      <c r="P578" s="336">
        <f t="shared" si="105"/>
        <v>-93051.248307948437</v>
      </c>
      <c r="Q578" s="336">
        <f t="shared" si="106"/>
        <v>35398.082769316148</v>
      </c>
      <c r="R578" s="303">
        <f t="shared" si="107"/>
        <v>1.953644393692596</v>
      </c>
    </row>
    <row r="579" spans="1:18" x14ac:dyDescent="0.3">
      <c r="A579" s="2">
        <v>1166</v>
      </c>
      <c r="B579" s="41" t="s">
        <v>491</v>
      </c>
      <c r="C579" s="2">
        <v>9</v>
      </c>
      <c r="D579" s="2" t="s">
        <v>12</v>
      </c>
      <c r="E579" s="294">
        <v>8225</v>
      </c>
      <c r="F579" s="296">
        <v>9800</v>
      </c>
      <c r="G579" s="352">
        <v>2</v>
      </c>
      <c r="H579" s="296">
        <f t="shared" si="102"/>
        <v>16450</v>
      </c>
      <c r="I579" s="122">
        <f t="shared" si="103"/>
        <v>19600</v>
      </c>
      <c r="J579" s="331">
        <f t="shared" si="104"/>
        <v>3150</v>
      </c>
      <c r="K579" s="292">
        <f>'09-RESUMEN'!$F$43/1375</f>
        <v>81431.961035221175</v>
      </c>
      <c r="L579" s="122">
        <f>('ESTADO RESULTADOS'!$C$36+'ESTADO RESULTADOS'!$C$71)/1375</f>
        <v>24762.287272727273</v>
      </c>
      <c r="M579" s="122">
        <v>0</v>
      </c>
      <c r="N579" s="122">
        <f>SUM(H579+K579+L579+M579)</f>
        <v>122644.24830794845</v>
      </c>
      <c r="O579" s="122">
        <f>N579/G579</f>
        <v>61322.124153974226</v>
      </c>
      <c r="P579" s="336">
        <f t="shared" si="105"/>
        <v>-103044.24830794845</v>
      </c>
      <c r="Q579" s="336">
        <f t="shared" si="106"/>
        <v>53097.124153974226</v>
      </c>
      <c r="R579" s="303">
        <f t="shared" si="107"/>
        <v>6.4555774047385075</v>
      </c>
    </row>
    <row r="580" spans="1:18" x14ac:dyDescent="0.3">
      <c r="A580" s="2">
        <v>1168</v>
      </c>
      <c r="B580" s="41" t="s">
        <v>492</v>
      </c>
      <c r="C580" s="2">
        <v>14</v>
      </c>
      <c r="D580" s="2" t="s">
        <v>81</v>
      </c>
      <c r="E580" s="294">
        <v>6476</v>
      </c>
      <c r="F580" s="296">
        <v>7500</v>
      </c>
      <c r="G580" s="352">
        <v>1</v>
      </c>
      <c r="H580" s="296">
        <f t="shared" ref="H580:H643" si="112">E580*G580</f>
        <v>6476</v>
      </c>
      <c r="I580" s="122">
        <f t="shared" ref="I580:I643" si="113">F580*G580</f>
        <v>7500</v>
      </c>
      <c r="J580" s="331">
        <f t="shared" ref="J580:J643" si="114">I580-H580</f>
        <v>1024</v>
      </c>
      <c r="K580" s="292">
        <f>'09-RESUMEN'!$F$43/1375</f>
        <v>81431.961035221175</v>
      </c>
      <c r="L580" s="122">
        <f>('ESTADO RESULTADOS'!$C$36+'ESTADO RESULTADOS'!$C$71)/1375</f>
        <v>24762.287272727273</v>
      </c>
      <c r="M580" s="122">
        <v>0</v>
      </c>
      <c r="N580" s="122">
        <f>SUM(H580+K580+L580+M580)</f>
        <v>112670.24830794845</v>
      </c>
      <c r="O580" s="122">
        <f>N580/G580</f>
        <v>112670.24830794845</v>
      </c>
      <c r="P580" s="336">
        <f t="shared" si="105"/>
        <v>-105170.24830794845</v>
      </c>
      <c r="Q580" s="336">
        <f t="shared" si="106"/>
        <v>106194.24830794845</v>
      </c>
      <c r="R580" s="303">
        <f t="shared" si="107"/>
        <v>16.398123580597353</v>
      </c>
    </row>
    <row r="581" spans="1:18" x14ac:dyDescent="0.3">
      <c r="A581" s="2">
        <v>1169</v>
      </c>
      <c r="B581" s="41" t="s">
        <v>493</v>
      </c>
      <c r="C581" s="2">
        <v>14</v>
      </c>
      <c r="D581" s="2" t="s">
        <v>81</v>
      </c>
      <c r="E581" s="294">
        <v>15114</v>
      </c>
      <c r="F581" s="296">
        <v>18600</v>
      </c>
      <c r="G581" s="352">
        <v>5</v>
      </c>
      <c r="H581" s="296">
        <f t="shared" si="112"/>
        <v>75570</v>
      </c>
      <c r="I581" s="122">
        <f t="shared" si="113"/>
        <v>93000</v>
      </c>
      <c r="J581" s="331">
        <f t="shared" si="114"/>
        <v>17430</v>
      </c>
      <c r="K581" s="292">
        <f>'09-RESUMEN'!$F$43/1375</f>
        <v>81431.961035221175</v>
      </c>
      <c r="L581" s="122">
        <f>('ESTADO RESULTADOS'!$C$36+'ESTADO RESULTADOS'!$C$71)/1375</f>
        <v>24762.287272727273</v>
      </c>
      <c r="M581" s="122">
        <v>0</v>
      </c>
      <c r="N581" s="122">
        <f>SUM(H581+K581+L581+M581)</f>
        <v>181764.24830794844</v>
      </c>
      <c r="O581" s="122">
        <f>N581/G581</f>
        <v>36352.849661589687</v>
      </c>
      <c r="P581" s="336">
        <f t="shared" ref="P581:P644" si="115">I581-N581</f>
        <v>-88764.248307948437</v>
      </c>
      <c r="Q581" s="336">
        <f t="shared" ref="Q581:Q644" si="116">O581-E581</f>
        <v>21238.849661589687</v>
      </c>
      <c r="R581" s="303">
        <f t="shared" ref="R581:R644" si="117">Q581/E581</f>
        <v>1.4052434604730506</v>
      </c>
    </row>
    <row r="582" spans="1:18" x14ac:dyDescent="0.3">
      <c r="A582" s="2">
        <v>1172</v>
      </c>
      <c r="B582" s="41" t="s">
        <v>1719</v>
      </c>
      <c r="C582" s="2">
        <v>10</v>
      </c>
      <c r="D582" s="2" t="s">
        <v>12</v>
      </c>
      <c r="E582" s="294">
        <v>70001</v>
      </c>
      <c r="F582" s="296">
        <v>79000</v>
      </c>
      <c r="G582" s="352">
        <v>0</v>
      </c>
      <c r="H582" s="296">
        <f t="shared" si="112"/>
        <v>0</v>
      </c>
      <c r="I582" s="122">
        <f t="shared" si="113"/>
        <v>0</v>
      </c>
      <c r="J582" s="331">
        <f t="shared" si="114"/>
        <v>0</v>
      </c>
      <c r="K582" s="292">
        <f>'09-RESUMEN'!$F$43/1375</f>
        <v>81431.961035221175</v>
      </c>
      <c r="L582" s="122">
        <f>('ESTADO RESULTADOS'!$C$36+'ESTADO RESULTADOS'!$C$71)/1375</f>
        <v>24762.287272727273</v>
      </c>
      <c r="M582" s="122">
        <v>0</v>
      </c>
      <c r="N582" s="122">
        <f>SUM(E582+K582+L582+M582)</f>
        <v>176195.24830794844</v>
      </c>
      <c r="O582" s="122">
        <f>N582</f>
        <v>176195.24830794844</v>
      </c>
      <c r="P582" s="336">
        <f t="shared" si="115"/>
        <v>-176195.24830794844</v>
      </c>
      <c r="Q582" s="336">
        <f t="shared" si="116"/>
        <v>106194.24830794844</v>
      </c>
      <c r="R582" s="303">
        <f t="shared" si="117"/>
        <v>1.5170390181275759</v>
      </c>
    </row>
    <row r="583" spans="1:18" x14ac:dyDescent="0.3">
      <c r="A583" s="2">
        <v>1173</v>
      </c>
      <c r="B583" s="41" t="s">
        <v>494</v>
      </c>
      <c r="C583" s="2">
        <v>16</v>
      </c>
      <c r="D583" s="2" t="s">
        <v>12</v>
      </c>
      <c r="E583" s="294">
        <v>1180</v>
      </c>
      <c r="F583" s="296">
        <v>2000</v>
      </c>
      <c r="G583" s="352">
        <v>3</v>
      </c>
      <c r="H583" s="296">
        <f t="shared" si="112"/>
        <v>3540</v>
      </c>
      <c r="I583" s="122">
        <f t="shared" si="113"/>
        <v>6000</v>
      </c>
      <c r="J583" s="331">
        <f t="shared" si="114"/>
        <v>2460</v>
      </c>
      <c r="K583" s="292">
        <f>'09-RESUMEN'!$F$43/1375</f>
        <v>81431.961035221175</v>
      </c>
      <c r="L583" s="122">
        <f>('ESTADO RESULTADOS'!$C$36+'ESTADO RESULTADOS'!$C$71)/1375</f>
        <v>24762.287272727273</v>
      </c>
      <c r="M583" s="122">
        <v>0</v>
      </c>
      <c r="N583" s="122">
        <f t="shared" ref="N583:N588" si="118">SUM(H583+K583+L583+M583)</f>
        <v>109734.24830794845</v>
      </c>
      <c r="O583" s="122">
        <f t="shared" ref="O583:O588" si="119">N583/G583</f>
        <v>36578.082769316148</v>
      </c>
      <c r="P583" s="336">
        <f t="shared" si="115"/>
        <v>-103734.24830794845</v>
      </c>
      <c r="Q583" s="336">
        <f t="shared" si="116"/>
        <v>35398.082769316148</v>
      </c>
      <c r="R583" s="303">
        <f t="shared" si="117"/>
        <v>29.998375228234025</v>
      </c>
    </row>
    <row r="584" spans="1:18" x14ac:dyDescent="0.3">
      <c r="A584" s="2">
        <v>1178</v>
      </c>
      <c r="B584" s="41" t="s">
        <v>1720</v>
      </c>
      <c r="C584" s="2">
        <v>4</v>
      </c>
      <c r="D584" s="2" t="s">
        <v>16</v>
      </c>
      <c r="E584" s="294">
        <v>33250</v>
      </c>
      <c r="F584" s="296">
        <v>38733.333333333336</v>
      </c>
      <c r="G584" s="352">
        <v>4</v>
      </c>
      <c r="H584" s="296">
        <f t="shared" si="112"/>
        <v>133000</v>
      </c>
      <c r="I584" s="122">
        <f t="shared" si="113"/>
        <v>154933.33333333334</v>
      </c>
      <c r="J584" s="331">
        <f t="shared" si="114"/>
        <v>21933.333333333343</v>
      </c>
      <c r="K584" s="292">
        <f>'09-RESUMEN'!$F$43/1375</f>
        <v>81431.961035221175</v>
      </c>
      <c r="L584" s="122">
        <f>('ESTADO RESULTADOS'!$C$36+'ESTADO RESULTADOS'!$C$71)/1375</f>
        <v>24762.287272727273</v>
      </c>
      <c r="M584" s="122">
        <v>0</v>
      </c>
      <c r="N584" s="122">
        <f t="shared" si="118"/>
        <v>239194.24830794844</v>
      </c>
      <c r="O584" s="122">
        <f t="shared" si="119"/>
        <v>59798.562076987109</v>
      </c>
      <c r="P584" s="336">
        <f t="shared" si="115"/>
        <v>-84260.914974615094</v>
      </c>
      <c r="Q584" s="336">
        <f t="shared" si="116"/>
        <v>26548.562076987109</v>
      </c>
      <c r="R584" s="303">
        <f t="shared" si="117"/>
        <v>0.79845299479660481</v>
      </c>
    </row>
    <row r="585" spans="1:18" x14ac:dyDescent="0.3">
      <c r="A585" s="2">
        <v>1181</v>
      </c>
      <c r="B585" s="41" t="s">
        <v>495</v>
      </c>
      <c r="C585" s="2">
        <v>14</v>
      </c>
      <c r="D585" s="2" t="s">
        <v>81</v>
      </c>
      <c r="E585" s="294">
        <v>76388</v>
      </c>
      <c r="F585" s="296">
        <v>86200</v>
      </c>
      <c r="G585" s="352">
        <v>3</v>
      </c>
      <c r="H585" s="296">
        <f t="shared" si="112"/>
        <v>229164</v>
      </c>
      <c r="I585" s="122">
        <f t="shared" si="113"/>
        <v>258600</v>
      </c>
      <c r="J585" s="331">
        <f t="shared" si="114"/>
        <v>29436</v>
      </c>
      <c r="K585" s="292">
        <f>'09-RESUMEN'!$F$43/1375</f>
        <v>81431.961035221175</v>
      </c>
      <c r="L585" s="122">
        <f>('ESTADO RESULTADOS'!$C$36+'ESTADO RESULTADOS'!$C$71)/1375</f>
        <v>24762.287272727273</v>
      </c>
      <c r="M585" s="122">
        <v>0</v>
      </c>
      <c r="N585" s="122">
        <f t="shared" si="118"/>
        <v>335358.24830794847</v>
      </c>
      <c r="O585" s="122">
        <f t="shared" si="119"/>
        <v>111786.08276931616</v>
      </c>
      <c r="P585" s="336">
        <f t="shared" si="115"/>
        <v>-76758.248307948466</v>
      </c>
      <c r="Q585" s="336">
        <f t="shared" si="116"/>
        <v>35398.082769316155</v>
      </c>
      <c r="R585" s="303">
        <f t="shared" si="117"/>
        <v>0.46339847579876625</v>
      </c>
    </row>
    <row r="586" spans="1:18" x14ac:dyDescent="0.3">
      <c r="A586" s="2">
        <v>1182</v>
      </c>
      <c r="B586" s="41" t="s">
        <v>496</v>
      </c>
      <c r="C586" s="2">
        <v>14</v>
      </c>
      <c r="D586" s="2" t="s">
        <v>12</v>
      </c>
      <c r="E586" s="294">
        <v>3758</v>
      </c>
      <c r="F586" s="296">
        <v>4800</v>
      </c>
      <c r="G586" s="352">
        <v>11</v>
      </c>
      <c r="H586" s="296">
        <f t="shared" si="112"/>
        <v>41338</v>
      </c>
      <c r="I586" s="122">
        <f t="shared" si="113"/>
        <v>52800</v>
      </c>
      <c r="J586" s="331">
        <f t="shared" si="114"/>
        <v>11462</v>
      </c>
      <c r="K586" s="292">
        <f>'09-RESUMEN'!$F$43/1375</f>
        <v>81431.961035221175</v>
      </c>
      <c r="L586" s="122">
        <f>('ESTADO RESULTADOS'!$C$36+'ESTADO RESULTADOS'!$C$71)/1375</f>
        <v>24762.287272727273</v>
      </c>
      <c r="M586" s="122">
        <v>0</v>
      </c>
      <c r="N586" s="122">
        <f t="shared" si="118"/>
        <v>147532.24830794844</v>
      </c>
      <c r="O586" s="122">
        <f t="shared" si="119"/>
        <v>13412.022573449858</v>
      </c>
      <c r="P586" s="336">
        <f t="shared" si="115"/>
        <v>-94732.248307948437</v>
      </c>
      <c r="Q586" s="336">
        <f t="shared" si="116"/>
        <v>9654.0225734498581</v>
      </c>
      <c r="R586" s="303">
        <f t="shared" si="117"/>
        <v>2.5689256448775568</v>
      </c>
    </row>
    <row r="587" spans="1:18" x14ac:dyDescent="0.3">
      <c r="A587" s="2">
        <v>1183</v>
      </c>
      <c r="B587" s="41" t="s">
        <v>497</v>
      </c>
      <c r="C587" s="2">
        <v>7</v>
      </c>
      <c r="D587" s="2" t="s">
        <v>35</v>
      </c>
      <c r="E587" s="294">
        <v>12500</v>
      </c>
      <c r="F587" s="296">
        <v>15500</v>
      </c>
      <c r="G587" s="352">
        <v>24</v>
      </c>
      <c r="H587" s="296">
        <f t="shared" si="112"/>
        <v>300000</v>
      </c>
      <c r="I587" s="122">
        <f t="shared" si="113"/>
        <v>372000</v>
      </c>
      <c r="J587" s="331">
        <f t="shared" si="114"/>
        <v>72000</v>
      </c>
      <c r="K587" s="292">
        <f>'09-RESUMEN'!$F$43/1375</f>
        <v>81431.961035221175</v>
      </c>
      <c r="L587" s="122">
        <f>('ESTADO RESULTADOS'!$C$36+'ESTADO RESULTADOS'!$C$71)/1375</f>
        <v>24762.287272727273</v>
      </c>
      <c r="M587" s="122">
        <v>0</v>
      </c>
      <c r="N587" s="122">
        <f t="shared" si="118"/>
        <v>406194.24830794847</v>
      </c>
      <c r="O587" s="122">
        <f t="shared" si="119"/>
        <v>16924.760346164519</v>
      </c>
      <c r="P587" s="336">
        <f t="shared" si="115"/>
        <v>-34194.248307948466</v>
      </c>
      <c r="Q587" s="336">
        <f t="shared" si="116"/>
        <v>4424.7603461645194</v>
      </c>
      <c r="R587" s="303">
        <f t="shared" si="117"/>
        <v>0.35398082769316158</v>
      </c>
    </row>
    <row r="588" spans="1:18" x14ac:dyDescent="0.3">
      <c r="A588" s="2">
        <v>1191</v>
      </c>
      <c r="B588" s="41" t="s">
        <v>1721</v>
      </c>
      <c r="C588" s="2">
        <v>5</v>
      </c>
      <c r="D588" s="2" t="s">
        <v>16</v>
      </c>
      <c r="E588" s="294">
        <v>35650</v>
      </c>
      <c r="F588" s="296">
        <v>44800</v>
      </c>
      <c r="G588" s="352">
        <v>10</v>
      </c>
      <c r="H588" s="296">
        <f t="shared" si="112"/>
        <v>356500</v>
      </c>
      <c r="I588" s="122">
        <f t="shared" si="113"/>
        <v>448000</v>
      </c>
      <c r="J588" s="331">
        <f t="shared" si="114"/>
        <v>91500</v>
      </c>
      <c r="K588" s="292">
        <f>'09-RESUMEN'!$F$43/1375</f>
        <v>81431.961035221175</v>
      </c>
      <c r="L588" s="122">
        <f>('ESTADO RESULTADOS'!$C$36+'ESTADO RESULTADOS'!$C$71)/1375</f>
        <v>24762.287272727273</v>
      </c>
      <c r="M588" s="122">
        <v>0</v>
      </c>
      <c r="N588" s="122">
        <f t="shared" si="118"/>
        <v>462694.24830794847</v>
      </c>
      <c r="O588" s="122">
        <f t="shared" si="119"/>
        <v>46269.424830794844</v>
      </c>
      <c r="P588" s="336">
        <f t="shared" si="115"/>
        <v>-14694.248307948466</v>
      </c>
      <c r="Q588" s="336">
        <f t="shared" si="116"/>
        <v>10619.424830794844</v>
      </c>
      <c r="R588" s="303">
        <f t="shared" si="117"/>
        <v>0.29788007940518496</v>
      </c>
    </row>
    <row r="589" spans="1:18" x14ac:dyDescent="0.3">
      <c r="A589" s="2">
        <v>1192</v>
      </c>
      <c r="B589" s="41" t="s">
        <v>1722</v>
      </c>
      <c r="C589" s="2">
        <v>5</v>
      </c>
      <c r="D589" s="2" t="s">
        <v>81</v>
      </c>
      <c r="E589" s="294">
        <v>540000</v>
      </c>
      <c r="F589" s="296">
        <v>602000</v>
      </c>
      <c r="G589" s="352">
        <v>0</v>
      </c>
      <c r="H589" s="296">
        <f t="shared" si="112"/>
        <v>0</v>
      </c>
      <c r="I589" s="122">
        <f t="shared" si="113"/>
        <v>0</v>
      </c>
      <c r="J589" s="331">
        <f t="shared" si="114"/>
        <v>0</v>
      </c>
      <c r="K589" s="292">
        <f>'09-RESUMEN'!$F$43/1375</f>
        <v>81431.961035221175</v>
      </c>
      <c r="L589" s="122">
        <f>('ESTADO RESULTADOS'!$C$36+'ESTADO RESULTADOS'!$C$71)/1375</f>
        <v>24762.287272727273</v>
      </c>
      <c r="M589" s="122">
        <v>0</v>
      </c>
      <c r="N589" s="122">
        <f>SUM(E589+K589+L589+M589)</f>
        <v>646194.24830794835</v>
      </c>
      <c r="O589" s="122">
        <f>N589</f>
        <v>646194.24830794835</v>
      </c>
      <c r="P589" s="336">
        <f t="shared" si="115"/>
        <v>-646194.24830794835</v>
      </c>
      <c r="Q589" s="336">
        <f t="shared" si="116"/>
        <v>106194.24830794835</v>
      </c>
      <c r="R589" s="303">
        <f t="shared" si="117"/>
        <v>0.19665601538508953</v>
      </c>
    </row>
    <row r="590" spans="1:18" x14ac:dyDescent="0.3">
      <c r="A590" s="2">
        <v>1194</v>
      </c>
      <c r="B590" s="41" t="s">
        <v>498</v>
      </c>
      <c r="C590" s="2">
        <v>2</v>
      </c>
      <c r="D590" s="2" t="s">
        <v>5</v>
      </c>
      <c r="E590" s="294">
        <v>52800</v>
      </c>
      <c r="F590" s="296">
        <v>58216.666666666664</v>
      </c>
      <c r="G590" s="352">
        <v>48</v>
      </c>
      <c r="H590" s="296">
        <f t="shared" si="112"/>
        <v>2534400</v>
      </c>
      <c r="I590" s="122">
        <f t="shared" si="113"/>
        <v>2794400</v>
      </c>
      <c r="J590" s="331">
        <f t="shared" si="114"/>
        <v>260000</v>
      </c>
      <c r="K590" s="292">
        <f>'09-RESUMEN'!$F$43/1375</f>
        <v>81431.961035221175</v>
      </c>
      <c r="L590" s="122">
        <f>('ESTADO RESULTADOS'!$C$36+'ESTADO RESULTADOS'!$C$71)/1375</f>
        <v>24762.287272727273</v>
      </c>
      <c r="M590" s="122">
        <v>0</v>
      </c>
      <c r="N590" s="122">
        <f>SUM(H590+K590+L590+M590)</f>
        <v>2640594.2483079485</v>
      </c>
      <c r="O590" s="122">
        <f>N590/G590</f>
        <v>55012.38017308226</v>
      </c>
      <c r="P590" s="336">
        <f t="shared" si="115"/>
        <v>153805.75169205153</v>
      </c>
      <c r="Q590" s="336">
        <f t="shared" si="116"/>
        <v>2212.3801730822597</v>
      </c>
      <c r="R590" s="303">
        <f t="shared" si="117"/>
        <v>4.1901139641709467E-2</v>
      </c>
    </row>
    <row r="591" spans="1:18" x14ac:dyDescent="0.3">
      <c r="A591" s="2">
        <v>1196</v>
      </c>
      <c r="B591" s="41" t="s">
        <v>499</v>
      </c>
      <c r="C591" s="2">
        <v>6</v>
      </c>
      <c r="D591" s="2" t="s">
        <v>237</v>
      </c>
      <c r="E591" s="294">
        <v>38500</v>
      </c>
      <c r="F591" s="296">
        <v>44866.666666666664</v>
      </c>
      <c r="G591" s="352">
        <v>117</v>
      </c>
      <c r="H591" s="296">
        <f t="shared" si="112"/>
        <v>4504500</v>
      </c>
      <c r="I591" s="122">
        <f t="shared" si="113"/>
        <v>5249400</v>
      </c>
      <c r="J591" s="331">
        <f t="shared" si="114"/>
        <v>744900</v>
      </c>
      <c r="K591" s="292">
        <f>'09-RESUMEN'!$F$43/1375</f>
        <v>81431.961035221175</v>
      </c>
      <c r="L591" s="122">
        <f>('ESTADO RESULTADOS'!$C$36+'ESTADO RESULTADOS'!$C$71)/1375</f>
        <v>24762.287272727273</v>
      </c>
      <c r="M591" s="122">
        <v>0</v>
      </c>
      <c r="N591" s="122">
        <f>SUM(H591+K591+L591+M591)</f>
        <v>4610694.248307948</v>
      </c>
      <c r="O591" s="122">
        <f>N591/G591</f>
        <v>39407.64314793118</v>
      </c>
      <c r="P591" s="336">
        <f t="shared" si="115"/>
        <v>638705.751692052</v>
      </c>
      <c r="Q591" s="336">
        <f t="shared" si="116"/>
        <v>907.64314793117956</v>
      </c>
      <c r="R591" s="303">
        <f t="shared" si="117"/>
        <v>2.3575146699511159E-2</v>
      </c>
    </row>
    <row r="592" spans="1:18" x14ac:dyDescent="0.3">
      <c r="A592" s="2">
        <v>1203</v>
      </c>
      <c r="B592" s="41" t="s">
        <v>501</v>
      </c>
      <c r="C592" s="2">
        <v>1</v>
      </c>
      <c r="D592" s="2" t="s">
        <v>486</v>
      </c>
      <c r="E592" s="294">
        <v>213500</v>
      </c>
      <c r="F592" s="296">
        <v>232500</v>
      </c>
      <c r="G592" s="352">
        <v>4.5</v>
      </c>
      <c r="H592" s="296">
        <f t="shared" si="112"/>
        <v>960750</v>
      </c>
      <c r="I592" s="122">
        <f t="shared" si="113"/>
        <v>1046250</v>
      </c>
      <c r="J592" s="331">
        <f t="shared" si="114"/>
        <v>85500</v>
      </c>
      <c r="K592" s="292">
        <f>'09-RESUMEN'!$F$43/1375</f>
        <v>81431.961035221175</v>
      </c>
      <c r="L592" s="122">
        <f>('ESTADO RESULTADOS'!$C$36+'ESTADO RESULTADOS'!$C$71)/1375</f>
        <v>24762.287272727273</v>
      </c>
      <c r="M592" s="122">
        <v>0</v>
      </c>
      <c r="N592" s="122">
        <f>SUM(H592+K592+L592+M592)</f>
        <v>1066944.2483079485</v>
      </c>
      <c r="O592" s="122">
        <f>N592/G592</f>
        <v>237098.72184621077</v>
      </c>
      <c r="P592" s="336">
        <f t="shared" si="115"/>
        <v>-20694.248307948466</v>
      </c>
      <c r="Q592" s="336">
        <f t="shared" si="116"/>
        <v>23598.72184621077</v>
      </c>
      <c r="R592" s="303">
        <f t="shared" si="117"/>
        <v>0.11053265501738066</v>
      </c>
    </row>
    <row r="593" spans="1:18" x14ac:dyDescent="0.3">
      <c r="A593" s="2">
        <v>1204</v>
      </c>
      <c r="B593" s="41" t="s">
        <v>1723</v>
      </c>
      <c r="C593" s="2">
        <v>6</v>
      </c>
      <c r="D593" s="2" t="s">
        <v>16</v>
      </c>
      <c r="E593" s="294">
        <v>331088</v>
      </c>
      <c r="F593" s="296">
        <v>364000</v>
      </c>
      <c r="G593" s="352">
        <v>0</v>
      </c>
      <c r="H593" s="296">
        <f t="shared" si="112"/>
        <v>0</v>
      </c>
      <c r="I593" s="122">
        <f t="shared" si="113"/>
        <v>0</v>
      </c>
      <c r="J593" s="331">
        <f t="shared" si="114"/>
        <v>0</v>
      </c>
      <c r="K593" s="292">
        <f>'09-RESUMEN'!$F$43/1375</f>
        <v>81431.961035221175</v>
      </c>
      <c r="L593" s="122">
        <f>('ESTADO RESULTADOS'!$C$36+'ESTADO RESULTADOS'!$C$71)/1375</f>
        <v>24762.287272727273</v>
      </c>
      <c r="M593" s="122">
        <v>0</v>
      </c>
      <c r="N593" s="122">
        <f>SUM(E593+K593+L593+M593)</f>
        <v>437282.24830794847</v>
      </c>
      <c r="O593" s="122">
        <f>N593</f>
        <v>437282.24830794847</v>
      </c>
      <c r="P593" s="336">
        <f t="shared" si="115"/>
        <v>-437282.24830794847</v>
      </c>
      <c r="Q593" s="336">
        <f t="shared" si="116"/>
        <v>106194.24830794847</v>
      </c>
      <c r="R593" s="303">
        <f t="shared" si="117"/>
        <v>0.32074327160135213</v>
      </c>
    </row>
    <row r="594" spans="1:18" x14ac:dyDescent="0.3">
      <c r="A594" s="2">
        <v>1205</v>
      </c>
      <c r="B594" s="41" t="s">
        <v>502</v>
      </c>
      <c r="C594" s="2">
        <v>6</v>
      </c>
      <c r="D594" s="2" t="s">
        <v>81</v>
      </c>
      <c r="E594" s="294">
        <v>37323.64</v>
      </c>
      <c r="F594" s="296">
        <v>44400</v>
      </c>
      <c r="G594" s="352">
        <v>10</v>
      </c>
      <c r="H594" s="296">
        <f t="shared" si="112"/>
        <v>373236.4</v>
      </c>
      <c r="I594" s="122">
        <f t="shared" si="113"/>
        <v>444000</v>
      </c>
      <c r="J594" s="331">
        <f t="shared" si="114"/>
        <v>70763.599999999977</v>
      </c>
      <c r="K594" s="292">
        <f>'09-RESUMEN'!$F$43/1375</f>
        <v>81431.961035221175</v>
      </c>
      <c r="L594" s="122">
        <f>('ESTADO RESULTADOS'!$C$36+'ESTADO RESULTADOS'!$C$71)/1375</f>
        <v>24762.287272727273</v>
      </c>
      <c r="M594" s="122">
        <v>0</v>
      </c>
      <c r="N594" s="122">
        <f t="shared" ref="N594:N603" si="120">SUM(H594+K594+L594+M594)</f>
        <v>479430.64830794849</v>
      </c>
      <c r="O594" s="122">
        <f t="shared" ref="O594:O603" si="121">N594/G594</f>
        <v>47943.06483079485</v>
      </c>
      <c r="P594" s="336">
        <f t="shared" si="115"/>
        <v>-35430.64830794849</v>
      </c>
      <c r="Q594" s="336">
        <f t="shared" si="116"/>
        <v>10619.424830794851</v>
      </c>
      <c r="R594" s="303">
        <f t="shared" si="117"/>
        <v>0.28452275369698271</v>
      </c>
    </row>
    <row r="595" spans="1:18" x14ac:dyDescent="0.3">
      <c r="A595" s="2">
        <v>1207</v>
      </c>
      <c r="B595" s="41" t="s">
        <v>1724</v>
      </c>
      <c r="C595" s="2">
        <v>14</v>
      </c>
      <c r="D595" s="2" t="s">
        <v>1725</v>
      </c>
      <c r="E595" s="294">
        <v>1900</v>
      </c>
      <c r="F595" s="296">
        <v>3500</v>
      </c>
      <c r="G595" s="352">
        <v>109</v>
      </c>
      <c r="H595" s="296">
        <f t="shared" si="112"/>
        <v>207100</v>
      </c>
      <c r="I595" s="122">
        <f t="shared" si="113"/>
        <v>381500</v>
      </c>
      <c r="J595" s="331">
        <f t="shared" si="114"/>
        <v>174400</v>
      </c>
      <c r="K595" s="292">
        <f>'09-RESUMEN'!$F$43/1375</f>
        <v>81431.961035221175</v>
      </c>
      <c r="L595" s="122">
        <f>('ESTADO RESULTADOS'!$C$36+'ESTADO RESULTADOS'!$C$71)/1375</f>
        <v>24762.287272727273</v>
      </c>
      <c r="M595" s="122">
        <v>0</v>
      </c>
      <c r="N595" s="122">
        <f t="shared" si="120"/>
        <v>313294.24830794847</v>
      </c>
      <c r="O595" s="122">
        <f t="shared" si="121"/>
        <v>2874.2591587885181</v>
      </c>
      <c r="P595" s="336">
        <f t="shared" si="115"/>
        <v>68205.751692051534</v>
      </c>
      <c r="Q595" s="336">
        <f t="shared" si="116"/>
        <v>974.25915878851811</v>
      </c>
      <c r="R595" s="303">
        <f t="shared" si="117"/>
        <v>0.51276797830974641</v>
      </c>
    </row>
    <row r="596" spans="1:18" x14ac:dyDescent="0.3">
      <c r="A596" s="2">
        <v>1210</v>
      </c>
      <c r="B596" s="41" t="s">
        <v>503</v>
      </c>
      <c r="C596" s="2">
        <v>4</v>
      </c>
      <c r="D596" s="2" t="s">
        <v>489</v>
      </c>
      <c r="E596" s="294">
        <v>253587</v>
      </c>
      <c r="F596" s="296">
        <v>272666.66666666669</v>
      </c>
      <c r="G596" s="352">
        <v>1</v>
      </c>
      <c r="H596" s="296">
        <f t="shared" si="112"/>
        <v>253587</v>
      </c>
      <c r="I596" s="122">
        <f t="shared" si="113"/>
        <v>272666.66666666669</v>
      </c>
      <c r="J596" s="331">
        <f t="shared" si="114"/>
        <v>19079.666666666686</v>
      </c>
      <c r="K596" s="292">
        <f>'09-RESUMEN'!$F$43/1375</f>
        <v>81431.961035221175</v>
      </c>
      <c r="L596" s="122">
        <f>('ESTADO RESULTADOS'!$C$36+'ESTADO RESULTADOS'!$C$71)/1375</f>
        <v>24762.287272727273</v>
      </c>
      <c r="M596" s="122">
        <v>0</v>
      </c>
      <c r="N596" s="122">
        <f t="shared" si="120"/>
        <v>359781.24830794847</v>
      </c>
      <c r="O596" s="122">
        <f t="shared" si="121"/>
        <v>359781.24830794847</v>
      </c>
      <c r="P596" s="336">
        <f t="shared" si="115"/>
        <v>-87114.58164128178</v>
      </c>
      <c r="Q596" s="336">
        <f t="shared" si="116"/>
        <v>106194.24830794847</v>
      </c>
      <c r="R596" s="303">
        <f t="shared" si="117"/>
        <v>0.41876850275427552</v>
      </c>
    </row>
    <row r="597" spans="1:18" x14ac:dyDescent="0.3">
      <c r="A597" s="2">
        <v>1212</v>
      </c>
      <c r="B597" s="41" t="s">
        <v>504</v>
      </c>
      <c r="C597" s="2">
        <v>2</v>
      </c>
      <c r="D597" s="2" t="s">
        <v>5</v>
      </c>
      <c r="E597" s="294">
        <v>13167.5985</v>
      </c>
      <c r="F597" s="296">
        <v>14800</v>
      </c>
      <c r="G597" s="352">
        <v>65</v>
      </c>
      <c r="H597" s="296">
        <f t="shared" si="112"/>
        <v>855893.90249999997</v>
      </c>
      <c r="I597" s="122">
        <f t="shared" si="113"/>
        <v>962000</v>
      </c>
      <c r="J597" s="331">
        <f t="shared" si="114"/>
        <v>106106.09750000003</v>
      </c>
      <c r="K597" s="292">
        <f>'09-RESUMEN'!$F$43/1375</f>
        <v>81431.961035221175</v>
      </c>
      <c r="L597" s="122">
        <f>('ESTADO RESULTADOS'!$C$36+'ESTADO RESULTADOS'!$C$71)/1375</f>
        <v>24762.287272727273</v>
      </c>
      <c r="M597" s="122">
        <v>0</v>
      </c>
      <c r="N597" s="122">
        <f t="shared" si="120"/>
        <v>962088.15080794843</v>
      </c>
      <c r="O597" s="122">
        <f t="shared" si="121"/>
        <v>14801.356166276129</v>
      </c>
      <c r="P597" s="336">
        <f t="shared" si="115"/>
        <v>-88.150807948433794</v>
      </c>
      <c r="Q597" s="336">
        <f t="shared" si="116"/>
        <v>1633.7576662761294</v>
      </c>
      <c r="R597" s="303">
        <f t="shared" si="117"/>
        <v>0.12407407974021455</v>
      </c>
    </row>
    <row r="598" spans="1:18" x14ac:dyDescent="0.3">
      <c r="A598" s="2">
        <v>1217</v>
      </c>
      <c r="B598" s="41" t="s">
        <v>505</v>
      </c>
      <c r="C598" s="2">
        <v>14</v>
      </c>
      <c r="D598" s="2" t="s">
        <v>12</v>
      </c>
      <c r="E598" s="294">
        <v>32727</v>
      </c>
      <c r="F598" s="296">
        <v>36166.666666666664</v>
      </c>
      <c r="G598" s="352">
        <v>1</v>
      </c>
      <c r="H598" s="296">
        <f t="shared" si="112"/>
        <v>32727</v>
      </c>
      <c r="I598" s="122">
        <f t="shared" si="113"/>
        <v>36166.666666666664</v>
      </c>
      <c r="J598" s="331">
        <f t="shared" si="114"/>
        <v>3439.6666666666642</v>
      </c>
      <c r="K598" s="292">
        <f>'09-RESUMEN'!$F$43/1375</f>
        <v>81431.961035221175</v>
      </c>
      <c r="L598" s="122">
        <f>('ESTADO RESULTADOS'!$C$36+'ESTADO RESULTADOS'!$C$71)/1375</f>
        <v>24762.287272727273</v>
      </c>
      <c r="M598" s="122">
        <v>0</v>
      </c>
      <c r="N598" s="122">
        <f t="shared" si="120"/>
        <v>138921.24830794844</v>
      </c>
      <c r="O598" s="122">
        <f t="shared" si="121"/>
        <v>138921.24830794844</v>
      </c>
      <c r="P598" s="336">
        <f t="shared" si="115"/>
        <v>-102754.58164128178</v>
      </c>
      <c r="Q598" s="336">
        <f t="shared" si="116"/>
        <v>106194.24830794844</v>
      </c>
      <c r="R598" s="303">
        <f t="shared" si="117"/>
        <v>3.2448512942814323</v>
      </c>
    </row>
    <row r="599" spans="1:18" x14ac:dyDescent="0.3">
      <c r="A599" s="2">
        <v>1219</v>
      </c>
      <c r="B599" s="41" t="s">
        <v>506</v>
      </c>
      <c r="C599" s="2">
        <v>14</v>
      </c>
      <c r="D599" s="2" t="s">
        <v>32</v>
      </c>
      <c r="E599" s="294">
        <v>19691</v>
      </c>
      <c r="F599" s="296">
        <v>24166.666666666668</v>
      </c>
      <c r="G599" s="352">
        <v>4</v>
      </c>
      <c r="H599" s="296">
        <f t="shared" si="112"/>
        <v>78764</v>
      </c>
      <c r="I599" s="122">
        <f t="shared" si="113"/>
        <v>96666.666666666672</v>
      </c>
      <c r="J599" s="331">
        <f t="shared" si="114"/>
        <v>17902.666666666672</v>
      </c>
      <c r="K599" s="292">
        <f>'09-RESUMEN'!$F$43/1375</f>
        <v>81431.961035221175</v>
      </c>
      <c r="L599" s="122">
        <f>('ESTADO RESULTADOS'!$C$36+'ESTADO RESULTADOS'!$C$71)/1375</f>
        <v>24762.287272727273</v>
      </c>
      <c r="M599" s="122">
        <v>0</v>
      </c>
      <c r="N599" s="122">
        <f t="shared" si="120"/>
        <v>184958.24830794844</v>
      </c>
      <c r="O599" s="122">
        <f t="shared" si="121"/>
        <v>46239.562076987109</v>
      </c>
      <c r="P599" s="336">
        <f t="shared" si="115"/>
        <v>-88291.581641281766</v>
      </c>
      <c r="Q599" s="336">
        <f t="shared" si="116"/>
        <v>26548.562076987109</v>
      </c>
      <c r="R599" s="303">
        <f t="shared" si="117"/>
        <v>1.34825870077635</v>
      </c>
    </row>
    <row r="600" spans="1:18" x14ac:dyDescent="0.3">
      <c r="A600" s="2">
        <v>1222</v>
      </c>
      <c r="B600" s="41" t="s">
        <v>507</v>
      </c>
      <c r="C600" s="2">
        <v>6</v>
      </c>
      <c r="D600" s="2" t="s">
        <v>32</v>
      </c>
      <c r="E600" s="294">
        <v>8100</v>
      </c>
      <c r="F600" s="296">
        <v>10000</v>
      </c>
      <c r="G600" s="352">
        <v>12</v>
      </c>
      <c r="H600" s="296">
        <f t="shared" si="112"/>
        <v>97200</v>
      </c>
      <c r="I600" s="122">
        <f t="shared" si="113"/>
        <v>120000</v>
      </c>
      <c r="J600" s="331">
        <f t="shared" si="114"/>
        <v>22800</v>
      </c>
      <c r="K600" s="292">
        <f>'09-RESUMEN'!$F$43/1375</f>
        <v>81431.961035221175</v>
      </c>
      <c r="L600" s="122">
        <f>('ESTADO RESULTADOS'!$C$36+'ESTADO RESULTADOS'!$C$71)/1375</f>
        <v>24762.287272727273</v>
      </c>
      <c r="M600" s="122">
        <v>0</v>
      </c>
      <c r="N600" s="122">
        <f t="shared" si="120"/>
        <v>203394.24830794844</v>
      </c>
      <c r="O600" s="122">
        <f t="shared" si="121"/>
        <v>16949.520692329035</v>
      </c>
      <c r="P600" s="336">
        <f t="shared" si="115"/>
        <v>-83394.248307948437</v>
      </c>
      <c r="Q600" s="336">
        <f t="shared" si="116"/>
        <v>8849.5206923290352</v>
      </c>
      <c r="R600" s="303">
        <f t="shared" si="117"/>
        <v>1.0925334188060538</v>
      </c>
    </row>
    <row r="601" spans="1:18" x14ac:dyDescent="0.3">
      <c r="A601" s="2">
        <v>1226</v>
      </c>
      <c r="B601" s="41" t="s">
        <v>508</v>
      </c>
      <c r="C601" s="2">
        <v>12</v>
      </c>
      <c r="D601" s="2" t="s">
        <v>12</v>
      </c>
      <c r="E601" s="294">
        <v>266000</v>
      </c>
      <c r="F601" s="296">
        <v>302000</v>
      </c>
      <c r="G601" s="352">
        <v>3</v>
      </c>
      <c r="H601" s="296">
        <f t="shared" si="112"/>
        <v>798000</v>
      </c>
      <c r="I601" s="122">
        <f t="shared" si="113"/>
        <v>906000</v>
      </c>
      <c r="J601" s="331">
        <f t="shared" si="114"/>
        <v>108000</v>
      </c>
      <c r="K601" s="292">
        <f>'09-RESUMEN'!$F$43/1375</f>
        <v>81431.961035221175</v>
      </c>
      <c r="L601" s="122">
        <f>('ESTADO RESULTADOS'!$C$36+'ESTADO RESULTADOS'!$C$71)/1375</f>
        <v>24762.287272727273</v>
      </c>
      <c r="M601" s="122">
        <v>0</v>
      </c>
      <c r="N601" s="122">
        <f t="shared" si="120"/>
        <v>904194.24830794835</v>
      </c>
      <c r="O601" s="122">
        <f t="shared" si="121"/>
        <v>301398.0827693161</v>
      </c>
      <c r="P601" s="336">
        <f t="shared" si="115"/>
        <v>1805.75169205165</v>
      </c>
      <c r="Q601" s="336">
        <f t="shared" si="116"/>
        <v>35398.082769316097</v>
      </c>
      <c r="R601" s="303">
        <f t="shared" si="117"/>
        <v>0.13307549913276728</v>
      </c>
    </row>
    <row r="602" spans="1:18" x14ac:dyDescent="0.3">
      <c r="A602" s="2">
        <v>1230</v>
      </c>
      <c r="B602" s="41" t="s">
        <v>509</v>
      </c>
      <c r="C602" s="2">
        <v>16</v>
      </c>
      <c r="D602" s="2" t="s">
        <v>81</v>
      </c>
      <c r="E602" s="294">
        <v>672.35</v>
      </c>
      <c r="F602" s="296">
        <v>800</v>
      </c>
      <c r="G602" s="352">
        <v>51</v>
      </c>
      <c r="H602" s="296">
        <f t="shared" si="112"/>
        <v>34289.85</v>
      </c>
      <c r="I602" s="122">
        <f t="shared" si="113"/>
        <v>40800</v>
      </c>
      <c r="J602" s="331">
        <f t="shared" si="114"/>
        <v>6510.1500000000015</v>
      </c>
      <c r="K602" s="292">
        <f>'09-RESUMEN'!$F$43/1375</f>
        <v>81431.961035221175</v>
      </c>
      <c r="L602" s="122">
        <f>('ESTADO RESULTADOS'!$C$36+'ESTADO RESULTADOS'!$C$71)/1375</f>
        <v>24762.287272727273</v>
      </c>
      <c r="M602" s="122">
        <v>0</v>
      </c>
      <c r="N602" s="122">
        <f t="shared" si="120"/>
        <v>140484.09830794844</v>
      </c>
      <c r="O602" s="122">
        <f t="shared" si="121"/>
        <v>2754.59016290095</v>
      </c>
      <c r="P602" s="336">
        <f t="shared" si="115"/>
        <v>-99684.098307948443</v>
      </c>
      <c r="Q602" s="336">
        <f t="shared" si="116"/>
        <v>2082.2401629009501</v>
      </c>
      <c r="R602" s="303">
        <f t="shared" si="117"/>
        <v>3.0969586716753921</v>
      </c>
    </row>
    <row r="603" spans="1:18" x14ac:dyDescent="0.3">
      <c r="A603" s="2">
        <v>1232</v>
      </c>
      <c r="B603" s="41" t="s">
        <v>510</v>
      </c>
      <c r="C603" s="2">
        <v>14</v>
      </c>
      <c r="D603" s="2" t="s">
        <v>23</v>
      </c>
      <c r="E603" s="294">
        <v>6820.04</v>
      </c>
      <c r="F603" s="296">
        <v>8800</v>
      </c>
      <c r="G603" s="352">
        <v>3</v>
      </c>
      <c r="H603" s="296">
        <f t="shared" si="112"/>
        <v>20460.12</v>
      </c>
      <c r="I603" s="122">
        <f t="shared" si="113"/>
        <v>26400</v>
      </c>
      <c r="J603" s="331">
        <f t="shared" si="114"/>
        <v>5939.880000000001</v>
      </c>
      <c r="K603" s="292">
        <f>'09-RESUMEN'!$F$43/1375</f>
        <v>81431.961035221175</v>
      </c>
      <c r="L603" s="122">
        <f>('ESTADO RESULTADOS'!$C$36+'ESTADO RESULTADOS'!$C$71)/1375</f>
        <v>24762.287272727273</v>
      </c>
      <c r="M603" s="122">
        <v>0</v>
      </c>
      <c r="N603" s="122">
        <f t="shared" si="120"/>
        <v>126654.36830794845</v>
      </c>
      <c r="O603" s="122">
        <f t="shared" si="121"/>
        <v>42218.122769316149</v>
      </c>
      <c r="P603" s="336">
        <f t="shared" si="115"/>
        <v>-100254.36830794845</v>
      </c>
      <c r="Q603" s="336">
        <f t="shared" si="116"/>
        <v>35398.082769316148</v>
      </c>
      <c r="R603" s="303">
        <f t="shared" si="117"/>
        <v>5.190304275241223</v>
      </c>
    </row>
    <row r="604" spans="1:18" x14ac:dyDescent="0.3">
      <c r="A604" s="2">
        <v>1233</v>
      </c>
      <c r="B604" s="41" t="s">
        <v>1726</v>
      </c>
      <c r="C604" s="2">
        <v>14</v>
      </c>
      <c r="D604" s="2" t="s">
        <v>81</v>
      </c>
      <c r="E604" s="294">
        <v>6094</v>
      </c>
      <c r="F604" s="296">
        <v>10500</v>
      </c>
      <c r="G604" s="352">
        <v>0</v>
      </c>
      <c r="H604" s="296">
        <f t="shared" si="112"/>
        <v>0</v>
      </c>
      <c r="I604" s="122">
        <f t="shared" si="113"/>
        <v>0</v>
      </c>
      <c r="J604" s="331">
        <f t="shared" si="114"/>
        <v>0</v>
      </c>
      <c r="K604" s="292">
        <f>'09-RESUMEN'!$F$43/1375</f>
        <v>81431.961035221175</v>
      </c>
      <c r="L604" s="122">
        <f>('ESTADO RESULTADOS'!$C$36+'ESTADO RESULTADOS'!$C$71)/1375</f>
        <v>24762.287272727273</v>
      </c>
      <c r="M604" s="122">
        <v>0</v>
      </c>
      <c r="N604" s="122">
        <f>SUM(E604+K604+L604+M604)</f>
        <v>112288.24830794845</v>
      </c>
      <c r="O604" s="122">
        <f>N604</f>
        <v>112288.24830794845</v>
      </c>
      <c r="P604" s="336">
        <f t="shared" si="115"/>
        <v>-112288.24830794845</v>
      </c>
      <c r="Q604" s="336">
        <f t="shared" si="116"/>
        <v>106194.24830794845</v>
      </c>
      <c r="R604" s="303">
        <f t="shared" si="117"/>
        <v>17.426033526082779</v>
      </c>
    </row>
    <row r="605" spans="1:18" x14ac:dyDescent="0.3">
      <c r="A605" s="2">
        <v>1234</v>
      </c>
      <c r="B605" s="41" t="s">
        <v>511</v>
      </c>
      <c r="C605" s="2">
        <v>14</v>
      </c>
      <c r="D605" s="2" t="s">
        <v>81</v>
      </c>
      <c r="E605" s="294">
        <v>5323</v>
      </c>
      <c r="F605" s="296">
        <v>6583.333333333333</v>
      </c>
      <c r="G605" s="352">
        <v>5</v>
      </c>
      <c r="H605" s="296">
        <f t="shared" si="112"/>
        <v>26615</v>
      </c>
      <c r="I605" s="122">
        <f t="shared" si="113"/>
        <v>32916.666666666664</v>
      </c>
      <c r="J605" s="331">
        <f t="shared" si="114"/>
        <v>6301.6666666666642</v>
      </c>
      <c r="K605" s="292">
        <f>'09-RESUMEN'!$F$43/1375</f>
        <v>81431.961035221175</v>
      </c>
      <c r="L605" s="122">
        <f>('ESTADO RESULTADOS'!$C$36+'ESTADO RESULTADOS'!$C$71)/1375</f>
        <v>24762.287272727273</v>
      </c>
      <c r="M605" s="122">
        <v>0</v>
      </c>
      <c r="N605" s="122">
        <f t="shared" ref="N605:N610" si="122">SUM(H605+K605+L605+M605)</f>
        <v>132809.24830794844</v>
      </c>
      <c r="O605" s="122">
        <f t="shared" ref="O605:O610" si="123">N605/G605</f>
        <v>26561.849661589687</v>
      </c>
      <c r="P605" s="336">
        <f t="shared" si="115"/>
        <v>-99892.58164128178</v>
      </c>
      <c r="Q605" s="336">
        <f t="shared" si="116"/>
        <v>21238.849661589687</v>
      </c>
      <c r="R605" s="303">
        <f t="shared" si="117"/>
        <v>3.9900149655438075</v>
      </c>
    </row>
    <row r="606" spans="1:18" x14ac:dyDescent="0.3">
      <c r="A606" s="2">
        <v>1238</v>
      </c>
      <c r="B606" s="41" t="s">
        <v>512</v>
      </c>
      <c r="C606" s="2">
        <v>5</v>
      </c>
      <c r="D606" s="2" t="s">
        <v>16</v>
      </c>
      <c r="E606" s="294">
        <v>28100</v>
      </c>
      <c r="F606" s="296">
        <v>33400</v>
      </c>
      <c r="G606" s="352">
        <v>23</v>
      </c>
      <c r="H606" s="296">
        <f t="shared" si="112"/>
        <v>646300</v>
      </c>
      <c r="I606" s="122">
        <f t="shared" si="113"/>
        <v>768200</v>
      </c>
      <c r="J606" s="331">
        <f t="shared" si="114"/>
        <v>121900</v>
      </c>
      <c r="K606" s="292">
        <f>'09-RESUMEN'!$F$43/1375</f>
        <v>81431.961035221175</v>
      </c>
      <c r="L606" s="122">
        <f>('ESTADO RESULTADOS'!$C$36+'ESTADO RESULTADOS'!$C$71)/1375</f>
        <v>24762.287272727273</v>
      </c>
      <c r="M606" s="122">
        <v>0</v>
      </c>
      <c r="N606" s="122">
        <f t="shared" si="122"/>
        <v>752494.24830794835</v>
      </c>
      <c r="O606" s="122">
        <f t="shared" si="123"/>
        <v>32717.141230780362</v>
      </c>
      <c r="P606" s="336">
        <f t="shared" si="115"/>
        <v>15705.75169205165</v>
      </c>
      <c r="Q606" s="336">
        <f t="shared" si="116"/>
        <v>4617.1412307803621</v>
      </c>
      <c r="R606" s="303">
        <f t="shared" si="117"/>
        <v>0.16431107582848264</v>
      </c>
    </row>
    <row r="607" spans="1:18" x14ac:dyDescent="0.3">
      <c r="A607" s="2">
        <v>1241</v>
      </c>
      <c r="B607" s="41" t="s">
        <v>1727</v>
      </c>
      <c r="C607" s="2">
        <v>14</v>
      </c>
      <c r="D607" s="2" t="s">
        <v>81</v>
      </c>
      <c r="E607" s="294">
        <v>22014</v>
      </c>
      <c r="F607" s="296">
        <v>26500</v>
      </c>
      <c r="G607" s="352">
        <v>1</v>
      </c>
      <c r="H607" s="296">
        <f t="shared" si="112"/>
        <v>22014</v>
      </c>
      <c r="I607" s="122">
        <f t="shared" si="113"/>
        <v>26500</v>
      </c>
      <c r="J607" s="331">
        <f t="shared" si="114"/>
        <v>4486</v>
      </c>
      <c r="K607" s="292">
        <f>'09-RESUMEN'!$F$43/1375</f>
        <v>81431.961035221175</v>
      </c>
      <c r="L607" s="122">
        <f>('ESTADO RESULTADOS'!$C$36+'ESTADO RESULTADOS'!$C$71)/1375</f>
        <v>24762.287272727273</v>
      </c>
      <c r="M607" s="122">
        <v>0</v>
      </c>
      <c r="N607" s="122">
        <f t="shared" si="122"/>
        <v>128208.24830794845</v>
      </c>
      <c r="O607" s="122">
        <f t="shared" si="123"/>
        <v>128208.24830794845</v>
      </c>
      <c r="P607" s="336">
        <f t="shared" si="115"/>
        <v>-101708.24830794845</v>
      </c>
      <c r="Q607" s="336">
        <f t="shared" si="116"/>
        <v>106194.24830794845</v>
      </c>
      <c r="R607" s="303">
        <f t="shared" si="117"/>
        <v>4.8239415057667143</v>
      </c>
    </row>
    <row r="608" spans="1:18" x14ac:dyDescent="0.3">
      <c r="A608" s="2">
        <v>1242</v>
      </c>
      <c r="B608" s="41" t="s">
        <v>513</v>
      </c>
      <c r="C608" s="2">
        <v>12</v>
      </c>
      <c r="D608" s="2" t="s">
        <v>500</v>
      </c>
      <c r="E608" s="294">
        <v>3285</v>
      </c>
      <c r="F608" s="296">
        <v>5300</v>
      </c>
      <c r="G608" s="352">
        <v>14</v>
      </c>
      <c r="H608" s="296">
        <f t="shared" si="112"/>
        <v>45990</v>
      </c>
      <c r="I608" s="122">
        <f t="shared" si="113"/>
        <v>74200</v>
      </c>
      <c r="J608" s="331">
        <f t="shared" si="114"/>
        <v>28210</v>
      </c>
      <c r="K608" s="292">
        <f>'09-RESUMEN'!$F$43/1375</f>
        <v>81431.961035221175</v>
      </c>
      <c r="L608" s="122">
        <f>('ESTADO RESULTADOS'!$C$36+'ESTADO RESULTADOS'!$C$71)/1375</f>
        <v>24762.287272727273</v>
      </c>
      <c r="M608" s="122">
        <v>0</v>
      </c>
      <c r="N608" s="122">
        <f t="shared" si="122"/>
        <v>152184.24830794844</v>
      </c>
      <c r="O608" s="122">
        <f t="shared" si="123"/>
        <v>10870.303450567746</v>
      </c>
      <c r="P608" s="336">
        <f t="shared" si="115"/>
        <v>-77984.248307948437</v>
      </c>
      <c r="Q608" s="336">
        <f t="shared" si="116"/>
        <v>7585.303450567746</v>
      </c>
      <c r="R608" s="303">
        <f t="shared" si="117"/>
        <v>2.3090725876918556</v>
      </c>
    </row>
    <row r="609" spans="1:18" x14ac:dyDescent="0.3">
      <c r="A609" s="2">
        <v>1246</v>
      </c>
      <c r="B609" s="41" t="s">
        <v>514</v>
      </c>
      <c r="C609" s="2">
        <v>14</v>
      </c>
      <c r="D609" s="2" t="s">
        <v>12</v>
      </c>
      <c r="E609" s="294">
        <v>13309</v>
      </c>
      <c r="F609" s="296">
        <v>16000</v>
      </c>
      <c r="G609" s="352">
        <v>12</v>
      </c>
      <c r="H609" s="296">
        <f t="shared" si="112"/>
        <v>159708</v>
      </c>
      <c r="I609" s="122">
        <f t="shared" si="113"/>
        <v>192000</v>
      </c>
      <c r="J609" s="331">
        <f t="shared" si="114"/>
        <v>32292</v>
      </c>
      <c r="K609" s="292">
        <f>'09-RESUMEN'!$F$43/1375</f>
        <v>81431.961035221175</v>
      </c>
      <c r="L609" s="122">
        <f>('ESTADO RESULTADOS'!$C$36+'ESTADO RESULTADOS'!$C$71)/1375</f>
        <v>24762.287272727273</v>
      </c>
      <c r="M609" s="122">
        <v>0</v>
      </c>
      <c r="N609" s="122">
        <f t="shared" si="122"/>
        <v>265902.24830794847</v>
      </c>
      <c r="O609" s="122">
        <f t="shared" si="123"/>
        <v>22158.520692329039</v>
      </c>
      <c r="P609" s="336">
        <f t="shared" si="115"/>
        <v>-73902.248307948466</v>
      </c>
      <c r="Q609" s="336">
        <f t="shared" si="116"/>
        <v>8849.5206923290389</v>
      </c>
      <c r="R609" s="303">
        <f t="shared" si="117"/>
        <v>0.66492754469374404</v>
      </c>
    </row>
    <row r="610" spans="1:18" x14ac:dyDescent="0.3">
      <c r="A610" s="2">
        <v>1248</v>
      </c>
      <c r="B610" s="41" t="s">
        <v>1728</v>
      </c>
      <c r="C610" s="2">
        <v>14</v>
      </c>
      <c r="D610" s="2" t="s">
        <v>21</v>
      </c>
      <c r="E610" s="294">
        <v>3000</v>
      </c>
      <c r="F610" s="296">
        <v>3800</v>
      </c>
      <c r="G610" s="352">
        <v>1</v>
      </c>
      <c r="H610" s="296">
        <f t="shared" si="112"/>
        <v>3000</v>
      </c>
      <c r="I610" s="122">
        <f t="shared" si="113"/>
        <v>3800</v>
      </c>
      <c r="J610" s="331">
        <f t="shared" si="114"/>
        <v>800</v>
      </c>
      <c r="K610" s="292">
        <f>'09-RESUMEN'!$F$43/1375</f>
        <v>81431.961035221175</v>
      </c>
      <c r="L610" s="122">
        <f>('ESTADO RESULTADOS'!$C$36+'ESTADO RESULTADOS'!$C$71)/1375</f>
        <v>24762.287272727273</v>
      </c>
      <c r="M610" s="122">
        <v>0</v>
      </c>
      <c r="N610" s="122">
        <f t="shared" si="122"/>
        <v>109194.24830794845</v>
      </c>
      <c r="O610" s="122">
        <f t="shared" si="123"/>
        <v>109194.24830794845</v>
      </c>
      <c r="P610" s="336">
        <f t="shared" si="115"/>
        <v>-105394.24830794845</v>
      </c>
      <c r="Q610" s="336">
        <f t="shared" si="116"/>
        <v>106194.24830794845</v>
      </c>
      <c r="R610" s="303">
        <f t="shared" si="117"/>
        <v>35.398082769316147</v>
      </c>
    </row>
    <row r="611" spans="1:18" x14ac:dyDescent="0.3">
      <c r="A611" s="2">
        <v>1249</v>
      </c>
      <c r="B611" s="41" t="s">
        <v>1729</v>
      </c>
      <c r="C611" s="2">
        <v>7</v>
      </c>
      <c r="D611" s="2" t="s">
        <v>5</v>
      </c>
      <c r="E611" s="294">
        <v>16700</v>
      </c>
      <c r="F611" s="296">
        <v>19800</v>
      </c>
      <c r="G611" s="352">
        <v>0</v>
      </c>
      <c r="H611" s="296">
        <f t="shared" si="112"/>
        <v>0</v>
      </c>
      <c r="I611" s="122">
        <f t="shared" si="113"/>
        <v>0</v>
      </c>
      <c r="J611" s="331">
        <f t="shared" si="114"/>
        <v>0</v>
      </c>
      <c r="K611" s="292">
        <f>'09-RESUMEN'!$F$43/1375</f>
        <v>81431.961035221175</v>
      </c>
      <c r="L611" s="122">
        <f>('ESTADO RESULTADOS'!$C$36+'ESTADO RESULTADOS'!$C$71)/1375</f>
        <v>24762.287272727273</v>
      </c>
      <c r="M611" s="122">
        <v>0</v>
      </c>
      <c r="N611" s="122">
        <f>SUM(E611+K611+L611+M611)</f>
        <v>122894.24830794845</v>
      </c>
      <c r="O611" s="122">
        <f>N611</f>
        <v>122894.24830794845</v>
      </c>
      <c r="P611" s="336">
        <f t="shared" si="115"/>
        <v>-122894.24830794845</v>
      </c>
      <c r="Q611" s="336">
        <f t="shared" si="116"/>
        <v>106194.24830794845</v>
      </c>
      <c r="R611" s="303">
        <f t="shared" si="117"/>
        <v>6.3589370244280508</v>
      </c>
    </row>
    <row r="612" spans="1:18" x14ac:dyDescent="0.3">
      <c r="A612" s="2">
        <v>1250</v>
      </c>
      <c r="B612" s="41" t="s">
        <v>515</v>
      </c>
      <c r="C612" s="2">
        <v>5</v>
      </c>
      <c r="D612" s="2" t="s">
        <v>237</v>
      </c>
      <c r="E612" s="294">
        <v>178500</v>
      </c>
      <c r="F612" s="296">
        <v>202000</v>
      </c>
      <c r="G612" s="352">
        <v>3</v>
      </c>
      <c r="H612" s="296">
        <f t="shared" si="112"/>
        <v>535500</v>
      </c>
      <c r="I612" s="122">
        <f t="shared" si="113"/>
        <v>606000</v>
      </c>
      <c r="J612" s="331">
        <f t="shared" si="114"/>
        <v>70500</v>
      </c>
      <c r="K612" s="292">
        <f>'09-RESUMEN'!$F$43/1375</f>
        <v>81431.961035221175</v>
      </c>
      <c r="L612" s="122">
        <f>('ESTADO RESULTADOS'!$C$36+'ESTADO RESULTADOS'!$C$71)/1375</f>
        <v>24762.287272727273</v>
      </c>
      <c r="M612" s="122">
        <v>0</v>
      </c>
      <c r="N612" s="122">
        <f>SUM(H612+K612+L612+M612)</f>
        <v>641694.24830794835</v>
      </c>
      <c r="O612" s="122">
        <f>N612/G612</f>
        <v>213898.08276931613</v>
      </c>
      <c r="P612" s="336">
        <f t="shared" si="115"/>
        <v>-35694.24830794835</v>
      </c>
      <c r="Q612" s="336">
        <f t="shared" si="116"/>
        <v>35398.082769316126</v>
      </c>
      <c r="R612" s="303">
        <f t="shared" si="117"/>
        <v>0.19830858694294748</v>
      </c>
    </row>
    <row r="613" spans="1:18" x14ac:dyDescent="0.3">
      <c r="A613" s="2">
        <v>1253</v>
      </c>
      <c r="B613" s="41" t="s">
        <v>1730</v>
      </c>
      <c r="C613" s="2">
        <v>5</v>
      </c>
      <c r="D613" s="2" t="s">
        <v>237</v>
      </c>
      <c r="E613" s="294">
        <v>124500</v>
      </c>
      <c r="F613" s="296">
        <v>153866.66666666666</v>
      </c>
      <c r="G613" s="352">
        <v>9</v>
      </c>
      <c r="H613" s="296">
        <f t="shared" si="112"/>
        <v>1120500</v>
      </c>
      <c r="I613" s="122">
        <f t="shared" si="113"/>
        <v>1384800</v>
      </c>
      <c r="J613" s="331">
        <f t="shared" si="114"/>
        <v>264300</v>
      </c>
      <c r="K613" s="292">
        <f>'09-RESUMEN'!$F$43/1375</f>
        <v>81431.961035221175</v>
      </c>
      <c r="L613" s="122">
        <f>('ESTADO RESULTADOS'!$C$36+'ESTADO RESULTADOS'!$C$71)/1375</f>
        <v>24762.287272727273</v>
      </c>
      <c r="M613" s="122">
        <v>0</v>
      </c>
      <c r="N613" s="122">
        <f>SUM(H613+K613+L613+M613)</f>
        <v>1226694.2483079485</v>
      </c>
      <c r="O613" s="122">
        <f>N613/G613</f>
        <v>136299.36092310539</v>
      </c>
      <c r="P613" s="336">
        <f t="shared" si="115"/>
        <v>158105.75169205153</v>
      </c>
      <c r="Q613" s="336">
        <f t="shared" si="116"/>
        <v>11799.360923105385</v>
      </c>
      <c r="R613" s="303">
        <f t="shared" si="117"/>
        <v>9.477398331811554E-2</v>
      </c>
    </row>
    <row r="614" spans="1:18" x14ac:dyDescent="0.3">
      <c r="A614" s="2">
        <v>1254</v>
      </c>
      <c r="B614" s="41" t="s">
        <v>516</v>
      </c>
      <c r="C614" s="2">
        <v>14</v>
      </c>
      <c r="D614" s="2" t="s">
        <v>12</v>
      </c>
      <c r="E614" s="294">
        <v>37485</v>
      </c>
      <c r="F614" s="296">
        <v>45000</v>
      </c>
      <c r="G614" s="352">
        <v>1</v>
      </c>
      <c r="H614" s="296">
        <f t="shared" si="112"/>
        <v>37485</v>
      </c>
      <c r="I614" s="122">
        <f t="shared" si="113"/>
        <v>45000</v>
      </c>
      <c r="J614" s="331">
        <f t="shared" si="114"/>
        <v>7515</v>
      </c>
      <c r="K614" s="292">
        <f>'09-RESUMEN'!$F$43/1375</f>
        <v>81431.961035221175</v>
      </c>
      <c r="L614" s="122">
        <f>('ESTADO RESULTADOS'!$C$36+'ESTADO RESULTADOS'!$C$71)/1375</f>
        <v>24762.287272727273</v>
      </c>
      <c r="M614" s="122">
        <v>0</v>
      </c>
      <c r="N614" s="122">
        <f>SUM(H614+K614+L614+M614)</f>
        <v>143679.24830794844</v>
      </c>
      <c r="O614" s="122">
        <f>N614/G614</f>
        <v>143679.24830794844</v>
      </c>
      <c r="P614" s="336">
        <f t="shared" si="115"/>
        <v>-98679.248307948437</v>
      </c>
      <c r="Q614" s="336">
        <f t="shared" si="116"/>
        <v>106194.24830794844</v>
      </c>
      <c r="R614" s="303">
        <f t="shared" si="117"/>
        <v>2.8329798134706801</v>
      </c>
    </row>
    <row r="615" spans="1:18" x14ac:dyDescent="0.3">
      <c r="A615" s="2">
        <v>1263</v>
      </c>
      <c r="B615" s="41" t="s">
        <v>1731</v>
      </c>
      <c r="C615" s="2">
        <v>5</v>
      </c>
      <c r="D615" s="2" t="s">
        <v>5</v>
      </c>
      <c r="E615" s="294">
        <v>97902</v>
      </c>
      <c r="F615" s="296">
        <v>115000</v>
      </c>
      <c r="G615" s="352">
        <v>0</v>
      </c>
      <c r="H615" s="296">
        <f t="shared" si="112"/>
        <v>0</v>
      </c>
      <c r="I615" s="122">
        <f t="shared" si="113"/>
        <v>0</v>
      </c>
      <c r="J615" s="331">
        <f t="shared" si="114"/>
        <v>0</v>
      </c>
      <c r="K615" s="292">
        <f>'09-RESUMEN'!$F$43/1375</f>
        <v>81431.961035221175</v>
      </c>
      <c r="L615" s="122">
        <f>('ESTADO RESULTADOS'!$C$36+'ESTADO RESULTADOS'!$C$71)/1375</f>
        <v>24762.287272727273</v>
      </c>
      <c r="M615" s="122">
        <v>0</v>
      </c>
      <c r="N615" s="122">
        <f>SUM(E615+K615+L615+M615)</f>
        <v>204096.24830794844</v>
      </c>
      <c r="O615" s="122">
        <f>N615</f>
        <v>204096.24830794844</v>
      </c>
      <c r="P615" s="336">
        <f t="shared" si="115"/>
        <v>-204096.24830794844</v>
      </c>
      <c r="Q615" s="336">
        <f t="shared" si="116"/>
        <v>106194.24830794844</v>
      </c>
      <c r="R615" s="303">
        <f t="shared" si="117"/>
        <v>1.0846994781306658</v>
      </c>
    </row>
    <row r="616" spans="1:18" x14ac:dyDescent="0.3">
      <c r="A616" s="2">
        <v>1264</v>
      </c>
      <c r="B616" s="41" t="s">
        <v>1732</v>
      </c>
      <c r="C616" s="2">
        <v>8</v>
      </c>
      <c r="D616" s="2" t="s">
        <v>41</v>
      </c>
      <c r="E616" s="294">
        <v>127600</v>
      </c>
      <c r="F616" s="296">
        <v>142500</v>
      </c>
      <c r="G616" s="352">
        <v>1</v>
      </c>
      <c r="H616" s="296">
        <f t="shared" si="112"/>
        <v>127600</v>
      </c>
      <c r="I616" s="122">
        <f t="shared" si="113"/>
        <v>142500</v>
      </c>
      <c r="J616" s="331">
        <f t="shared" si="114"/>
        <v>14900</v>
      </c>
      <c r="K616" s="292">
        <f>'09-RESUMEN'!$F$43/1375</f>
        <v>81431.961035221175</v>
      </c>
      <c r="L616" s="122">
        <f>('ESTADO RESULTADOS'!$C$36+'ESTADO RESULTADOS'!$C$71)/1375</f>
        <v>24762.287272727273</v>
      </c>
      <c r="M616" s="122">
        <v>0</v>
      </c>
      <c r="N616" s="122">
        <f>SUM(H616+K616+L616+M616)</f>
        <v>233794.24830794844</v>
      </c>
      <c r="O616" s="122">
        <f>N616/G616</f>
        <v>233794.24830794844</v>
      </c>
      <c r="P616" s="336">
        <f t="shared" si="115"/>
        <v>-91294.248307948437</v>
      </c>
      <c r="Q616" s="336">
        <f t="shared" si="116"/>
        <v>106194.24830794844</v>
      </c>
      <c r="R616" s="303">
        <f t="shared" si="117"/>
        <v>0.83224332529740153</v>
      </c>
    </row>
    <row r="617" spans="1:18" x14ac:dyDescent="0.3">
      <c r="A617" s="2">
        <v>1270</v>
      </c>
      <c r="B617" s="41" t="s">
        <v>1733</v>
      </c>
      <c r="C617" s="2">
        <v>2</v>
      </c>
      <c r="D617" s="2" t="s">
        <v>1734</v>
      </c>
      <c r="E617" s="294">
        <v>14000</v>
      </c>
      <c r="F617" s="296">
        <v>15200</v>
      </c>
      <c r="G617" s="352">
        <v>0</v>
      </c>
      <c r="H617" s="296">
        <f t="shared" si="112"/>
        <v>0</v>
      </c>
      <c r="I617" s="122">
        <f t="shared" si="113"/>
        <v>0</v>
      </c>
      <c r="J617" s="331">
        <f t="shared" si="114"/>
        <v>0</v>
      </c>
      <c r="K617" s="292">
        <f>'09-RESUMEN'!$F$43/1375</f>
        <v>81431.961035221175</v>
      </c>
      <c r="L617" s="122">
        <f>('ESTADO RESULTADOS'!$C$36+'ESTADO RESULTADOS'!$C$71)/1375</f>
        <v>24762.287272727273</v>
      </c>
      <c r="M617" s="122">
        <v>0</v>
      </c>
      <c r="N617" s="122">
        <f>SUM(E617+K617+L617+M617)</f>
        <v>120194.24830794845</v>
      </c>
      <c r="O617" s="122">
        <f>N617</f>
        <v>120194.24830794845</v>
      </c>
      <c r="P617" s="336">
        <f t="shared" si="115"/>
        <v>-120194.24830794845</v>
      </c>
      <c r="Q617" s="336">
        <f t="shared" si="116"/>
        <v>106194.24830794845</v>
      </c>
      <c r="R617" s="303">
        <f t="shared" si="117"/>
        <v>7.5853034505677464</v>
      </c>
    </row>
    <row r="618" spans="1:18" x14ac:dyDescent="0.3">
      <c r="A618" s="2">
        <v>1273</v>
      </c>
      <c r="B618" s="41" t="s">
        <v>517</v>
      </c>
      <c r="C618" s="2">
        <v>14</v>
      </c>
      <c r="D618" s="2" t="s">
        <v>81</v>
      </c>
      <c r="E618" s="294">
        <v>5654.5713999999998</v>
      </c>
      <c r="F618" s="296">
        <v>7500</v>
      </c>
      <c r="G618" s="352">
        <v>1</v>
      </c>
      <c r="H618" s="296">
        <f t="shared" si="112"/>
        <v>5654.5713999999998</v>
      </c>
      <c r="I618" s="122">
        <f t="shared" si="113"/>
        <v>7500</v>
      </c>
      <c r="J618" s="331">
        <f t="shared" si="114"/>
        <v>1845.4286000000002</v>
      </c>
      <c r="K618" s="292">
        <f>'09-RESUMEN'!$F$43/1375</f>
        <v>81431.961035221175</v>
      </c>
      <c r="L618" s="122">
        <f>('ESTADO RESULTADOS'!$C$36+'ESTADO RESULTADOS'!$C$71)/1375</f>
        <v>24762.287272727273</v>
      </c>
      <c r="M618" s="122">
        <v>0</v>
      </c>
      <c r="N618" s="122">
        <f>SUM(H618+K618+L618+M618)</f>
        <v>111848.81970794845</v>
      </c>
      <c r="O618" s="122">
        <f>N618/G618</f>
        <v>111848.81970794845</v>
      </c>
      <c r="P618" s="336">
        <f t="shared" si="115"/>
        <v>-104348.81970794845</v>
      </c>
      <c r="Q618" s="336">
        <f t="shared" si="116"/>
        <v>106194.24830794845</v>
      </c>
      <c r="R618" s="303">
        <f t="shared" si="117"/>
        <v>18.780247130303891</v>
      </c>
    </row>
    <row r="619" spans="1:18" x14ac:dyDescent="0.3">
      <c r="A619" s="2">
        <v>1274</v>
      </c>
      <c r="B619" s="41" t="s">
        <v>518</v>
      </c>
      <c r="C619" s="2">
        <v>6</v>
      </c>
      <c r="D619" s="2" t="s">
        <v>16</v>
      </c>
      <c r="E619" s="294">
        <v>38800</v>
      </c>
      <c r="F619" s="296">
        <v>45400</v>
      </c>
      <c r="G619" s="352">
        <v>24</v>
      </c>
      <c r="H619" s="296">
        <f t="shared" si="112"/>
        <v>931200</v>
      </c>
      <c r="I619" s="122">
        <f t="shared" si="113"/>
        <v>1089600</v>
      </c>
      <c r="J619" s="331">
        <f t="shared" si="114"/>
        <v>158400</v>
      </c>
      <c r="K619" s="292">
        <f>'09-RESUMEN'!$F$43/1375</f>
        <v>81431.961035221175</v>
      </c>
      <c r="L619" s="122">
        <f>('ESTADO RESULTADOS'!$C$36+'ESTADO RESULTADOS'!$C$71)/1375</f>
        <v>24762.287272727273</v>
      </c>
      <c r="M619" s="122">
        <v>0</v>
      </c>
      <c r="N619" s="122">
        <f>SUM(H619+K619+L619+M619)</f>
        <v>1037394.2483079483</v>
      </c>
      <c r="O619" s="122">
        <f>N619/G619</f>
        <v>43224.760346164512</v>
      </c>
      <c r="P619" s="336">
        <f t="shared" si="115"/>
        <v>52205.75169205165</v>
      </c>
      <c r="Q619" s="336">
        <f t="shared" si="116"/>
        <v>4424.7603461645122</v>
      </c>
      <c r="R619" s="303">
        <f t="shared" si="117"/>
        <v>0.11404021510733278</v>
      </c>
    </row>
    <row r="620" spans="1:18" x14ac:dyDescent="0.3">
      <c r="A620" s="2">
        <v>1282</v>
      </c>
      <c r="B620" s="41" t="s">
        <v>519</v>
      </c>
      <c r="C620" s="2">
        <v>5</v>
      </c>
      <c r="D620" s="2" t="s">
        <v>16</v>
      </c>
      <c r="E620" s="294">
        <v>71250</v>
      </c>
      <c r="F620" s="296">
        <v>80666.666666666672</v>
      </c>
      <c r="G620" s="352">
        <v>12</v>
      </c>
      <c r="H620" s="296">
        <f t="shared" si="112"/>
        <v>855000</v>
      </c>
      <c r="I620" s="122">
        <f t="shared" si="113"/>
        <v>968000</v>
      </c>
      <c r="J620" s="331">
        <f t="shared" si="114"/>
        <v>113000</v>
      </c>
      <c r="K620" s="292">
        <f>'09-RESUMEN'!$F$43/1375</f>
        <v>81431.961035221175</v>
      </c>
      <c r="L620" s="122">
        <f>('ESTADO RESULTADOS'!$C$36+'ESTADO RESULTADOS'!$C$71)/1375</f>
        <v>24762.287272727273</v>
      </c>
      <c r="M620" s="122">
        <v>0</v>
      </c>
      <c r="N620" s="122">
        <f>SUM(H620+K620+L620+M620)</f>
        <v>961194.24830794835</v>
      </c>
      <c r="O620" s="122">
        <f>N620/G620</f>
        <v>80099.520692329024</v>
      </c>
      <c r="P620" s="336">
        <f t="shared" si="115"/>
        <v>6805.75169205165</v>
      </c>
      <c r="Q620" s="336">
        <f t="shared" si="116"/>
        <v>8849.5206923290243</v>
      </c>
      <c r="R620" s="303">
        <f t="shared" si="117"/>
        <v>0.1242037991905828</v>
      </c>
    </row>
    <row r="621" spans="1:18" x14ac:dyDescent="0.3">
      <c r="A621" s="2">
        <v>1283</v>
      </c>
      <c r="B621" s="41" t="s">
        <v>1735</v>
      </c>
      <c r="C621" s="2">
        <v>8</v>
      </c>
      <c r="D621" s="2" t="s">
        <v>328</v>
      </c>
      <c r="E621" s="294">
        <v>50400</v>
      </c>
      <c r="F621" s="296">
        <v>76200</v>
      </c>
      <c r="G621" s="352">
        <v>3</v>
      </c>
      <c r="H621" s="296">
        <f t="shared" si="112"/>
        <v>151200</v>
      </c>
      <c r="I621" s="122">
        <f t="shared" si="113"/>
        <v>228600</v>
      </c>
      <c r="J621" s="331">
        <f t="shared" si="114"/>
        <v>77400</v>
      </c>
      <c r="K621" s="292">
        <f>'09-RESUMEN'!$F$43/1375</f>
        <v>81431.961035221175</v>
      </c>
      <c r="L621" s="122">
        <f>('ESTADO RESULTADOS'!$C$36+'ESTADO RESULTADOS'!$C$71)/1375</f>
        <v>24762.287272727273</v>
      </c>
      <c r="M621" s="122">
        <v>0</v>
      </c>
      <c r="N621" s="122">
        <f>SUM(H621+K621+L621+M621)</f>
        <v>257394.24830794844</v>
      </c>
      <c r="O621" s="122">
        <f>N621/G621</f>
        <v>85798.082769316141</v>
      </c>
      <c r="P621" s="336">
        <f t="shared" si="115"/>
        <v>-28794.248307948437</v>
      </c>
      <c r="Q621" s="336">
        <f t="shared" si="116"/>
        <v>35398.082769316141</v>
      </c>
      <c r="R621" s="303">
        <f t="shared" si="117"/>
        <v>0.70234291208960598</v>
      </c>
    </row>
    <row r="622" spans="1:18" x14ac:dyDescent="0.3">
      <c r="A622" s="2">
        <v>1284</v>
      </c>
      <c r="B622" s="41" t="s">
        <v>520</v>
      </c>
      <c r="C622" s="2">
        <v>2</v>
      </c>
      <c r="D622" s="2" t="s">
        <v>237</v>
      </c>
      <c r="E622" s="294">
        <v>79424.100000000006</v>
      </c>
      <c r="F622" s="296">
        <v>88200</v>
      </c>
      <c r="G622" s="352">
        <v>0</v>
      </c>
      <c r="H622" s="296">
        <f t="shared" si="112"/>
        <v>0</v>
      </c>
      <c r="I622" s="122">
        <f t="shared" si="113"/>
        <v>0</v>
      </c>
      <c r="J622" s="331">
        <f t="shared" si="114"/>
        <v>0</v>
      </c>
      <c r="K622" s="292">
        <f>'09-RESUMEN'!$F$43/1375</f>
        <v>81431.961035221175</v>
      </c>
      <c r="L622" s="122">
        <f>('ESTADO RESULTADOS'!$C$36+'ESTADO RESULTADOS'!$C$71)/1375</f>
        <v>24762.287272727273</v>
      </c>
      <c r="M622" s="122">
        <v>0</v>
      </c>
      <c r="N622" s="122">
        <f>SUM(E622+K622+L622+M622)</f>
        <v>185618.34830794844</v>
      </c>
      <c r="O622" s="122">
        <f>N622</f>
        <v>185618.34830794844</v>
      </c>
      <c r="P622" s="336">
        <f t="shared" si="115"/>
        <v>-185618.34830794844</v>
      </c>
      <c r="Q622" s="336">
        <f t="shared" si="116"/>
        <v>106194.24830794844</v>
      </c>
      <c r="R622" s="303">
        <f t="shared" si="117"/>
        <v>1.3370532156857733</v>
      </c>
    </row>
    <row r="623" spans="1:18" x14ac:dyDescent="0.3">
      <c r="A623" s="2">
        <v>1285</v>
      </c>
      <c r="B623" s="41" t="s">
        <v>521</v>
      </c>
      <c r="C623" s="2">
        <v>10</v>
      </c>
      <c r="D623" s="2" t="s">
        <v>12</v>
      </c>
      <c r="E623" s="294">
        <v>53550</v>
      </c>
      <c r="F623" s="296">
        <v>59500</v>
      </c>
      <c r="G623" s="352">
        <v>0</v>
      </c>
      <c r="H623" s="296">
        <f t="shared" si="112"/>
        <v>0</v>
      </c>
      <c r="I623" s="122">
        <f t="shared" si="113"/>
        <v>0</v>
      </c>
      <c r="J623" s="331">
        <f t="shared" si="114"/>
        <v>0</v>
      </c>
      <c r="K623" s="292">
        <f>'09-RESUMEN'!$F$43/1375</f>
        <v>81431.961035221175</v>
      </c>
      <c r="L623" s="122">
        <f>('ESTADO RESULTADOS'!$C$36+'ESTADO RESULTADOS'!$C$71)/1375</f>
        <v>24762.287272727273</v>
      </c>
      <c r="M623" s="122">
        <v>0</v>
      </c>
      <c r="N623" s="122">
        <f>SUM(E623+K623+L623+M623)</f>
        <v>159744.24830794844</v>
      </c>
      <c r="O623" s="122">
        <f>N623</f>
        <v>159744.24830794844</v>
      </c>
      <c r="P623" s="336">
        <f t="shared" si="115"/>
        <v>-159744.24830794844</v>
      </c>
      <c r="Q623" s="336">
        <f t="shared" si="116"/>
        <v>106194.24830794844</v>
      </c>
      <c r="R623" s="303">
        <f t="shared" si="117"/>
        <v>1.983085869429476</v>
      </c>
    </row>
    <row r="624" spans="1:18" x14ac:dyDescent="0.3">
      <c r="A624" s="2">
        <v>1301</v>
      </c>
      <c r="B624" s="41" t="s">
        <v>522</v>
      </c>
      <c r="C624" s="2">
        <v>1</v>
      </c>
      <c r="D624" s="2" t="s">
        <v>243</v>
      </c>
      <c r="E624" s="294">
        <v>210000</v>
      </c>
      <c r="F624" s="296">
        <v>235500</v>
      </c>
      <c r="G624" s="352">
        <v>18</v>
      </c>
      <c r="H624" s="296">
        <f t="shared" si="112"/>
        <v>3780000</v>
      </c>
      <c r="I624" s="122">
        <f t="shared" si="113"/>
        <v>4239000</v>
      </c>
      <c r="J624" s="331">
        <f t="shared" si="114"/>
        <v>459000</v>
      </c>
      <c r="K624" s="292">
        <f>'09-RESUMEN'!$F$43/1375</f>
        <v>81431.961035221175</v>
      </c>
      <c r="L624" s="122">
        <f>('ESTADO RESULTADOS'!$C$36+'ESTADO RESULTADOS'!$C$71)/1375</f>
        <v>24762.287272727273</v>
      </c>
      <c r="M624" s="122">
        <v>0</v>
      </c>
      <c r="N624" s="122">
        <f>SUM(H624+K624+L624+M624)</f>
        <v>3886194.2483079485</v>
      </c>
      <c r="O624" s="122">
        <f>N624/G624</f>
        <v>215899.68046155269</v>
      </c>
      <c r="P624" s="336">
        <f t="shared" si="115"/>
        <v>352805.75169205153</v>
      </c>
      <c r="Q624" s="336">
        <f t="shared" si="116"/>
        <v>5899.6804615526926</v>
      </c>
      <c r="R624" s="303">
        <f t="shared" si="117"/>
        <v>2.809371648358425E-2</v>
      </c>
    </row>
    <row r="625" spans="1:18" x14ac:dyDescent="0.3">
      <c r="A625" s="2">
        <v>1303</v>
      </c>
      <c r="B625" s="41" t="s">
        <v>523</v>
      </c>
      <c r="C625" s="2">
        <v>7</v>
      </c>
      <c r="D625" s="2" t="s">
        <v>12</v>
      </c>
      <c r="E625" s="294">
        <v>1500</v>
      </c>
      <c r="F625" s="296">
        <v>2000</v>
      </c>
      <c r="G625" s="352">
        <v>6</v>
      </c>
      <c r="H625" s="296">
        <f t="shared" si="112"/>
        <v>9000</v>
      </c>
      <c r="I625" s="122">
        <f t="shared" si="113"/>
        <v>12000</v>
      </c>
      <c r="J625" s="331">
        <f t="shared" si="114"/>
        <v>3000</v>
      </c>
      <c r="K625" s="292">
        <f>'09-RESUMEN'!$F$43/1375</f>
        <v>81431.961035221175</v>
      </c>
      <c r="L625" s="122">
        <f>('ESTADO RESULTADOS'!$C$36+'ESTADO RESULTADOS'!$C$71)/1375</f>
        <v>24762.287272727273</v>
      </c>
      <c r="M625" s="122">
        <v>0</v>
      </c>
      <c r="N625" s="122">
        <f>SUM(H625+K625+L625+M625)</f>
        <v>115194.24830794845</v>
      </c>
      <c r="O625" s="122">
        <f>N625/G625</f>
        <v>19199.041384658074</v>
      </c>
      <c r="P625" s="336">
        <f t="shared" si="115"/>
        <v>-103194.24830794845</v>
      </c>
      <c r="Q625" s="336">
        <f t="shared" si="116"/>
        <v>17699.041384658074</v>
      </c>
      <c r="R625" s="303">
        <f t="shared" si="117"/>
        <v>11.799360923105382</v>
      </c>
    </row>
    <row r="626" spans="1:18" x14ac:dyDescent="0.3">
      <c r="A626" s="2">
        <v>1304</v>
      </c>
      <c r="B626" s="41" t="s">
        <v>524</v>
      </c>
      <c r="C626" s="2">
        <v>7</v>
      </c>
      <c r="D626" s="2" t="s">
        <v>12</v>
      </c>
      <c r="E626" s="294">
        <v>16279.2</v>
      </c>
      <c r="F626" s="296">
        <v>18500</v>
      </c>
      <c r="G626" s="352">
        <v>0</v>
      </c>
      <c r="H626" s="296">
        <f t="shared" si="112"/>
        <v>0</v>
      </c>
      <c r="I626" s="122">
        <f t="shared" si="113"/>
        <v>0</v>
      </c>
      <c r="J626" s="331">
        <f t="shared" si="114"/>
        <v>0</v>
      </c>
      <c r="K626" s="292">
        <f>'09-RESUMEN'!$F$43/1375</f>
        <v>81431.961035221175</v>
      </c>
      <c r="L626" s="122">
        <f>('ESTADO RESULTADOS'!$C$36+'ESTADO RESULTADOS'!$C$71)/1375</f>
        <v>24762.287272727273</v>
      </c>
      <c r="M626" s="122">
        <v>0</v>
      </c>
      <c r="N626" s="122">
        <f>SUM(E626+K626+L626+M626)</f>
        <v>122473.44830794845</v>
      </c>
      <c r="O626" s="122">
        <f>N626</f>
        <v>122473.44830794845</v>
      </c>
      <c r="P626" s="336">
        <f t="shared" si="115"/>
        <v>-122473.44830794845</v>
      </c>
      <c r="Q626" s="336">
        <f t="shared" si="116"/>
        <v>106194.24830794845</v>
      </c>
      <c r="R626" s="303">
        <f t="shared" si="117"/>
        <v>6.5233087810180139</v>
      </c>
    </row>
    <row r="627" spans="1:18" x14ac:dyDescent="0.3">
      <c r="A627" s="2">
        <v>1305</v>
      </c>
      <c r="B627" s="41" t="s">
        <v>525</v>
      </c>
      <c r="C627" s="2">
        <v>7</v>
      </c>
      <c r="D627" s="2" t="s">
        <v>160</v>
      </c>
      <c r="E627" s="294">
        <v>1480</v>
      </c>
      <c r="F627" s="296">
        <v>2200</v>
      </c>
      <c r="G627" s="352">
        <v>11</v>
      </c>
      <c r="H627" s="296">
        <f t="shared" si="112"/>
        <v>16280</v>
      </c>
      <c r="I627" s="122">
        <f t="shared" si="113"/>
        <v>24200</v>
      </c>
      <c r="J627" s="331">
        <f t="shared" si="114"/>
        <v>7920</v>
      </c>
      <c r="K627" s="292">
        <f>'09-RESUMEN'!$F$43/1375</f>
        <v>81431.961035221175</v>
      </c>
      <c r="L627" s="122">
        <f>('ESTADO RESULTADOS'!$C$36+'ESTADO RESULTADOS'!$C$71)/1375</f>
        <v>24762.287272727273</v>
      </c>
      <c r="M627" s="122">
        <v>0</v>
      </c>
      <c r="N627" s="122">
        <f t="shared" ref="N627:N634" si="124">SUM(H627+K627+L627+M627)</f>
        <v>122474.24830794845</v>
      </c>
      <c r="O627" s="122">
        <f t="shared" ref="O627:O634" si="125">N627/G627</f>
        <v>11134.02257344986</v>
      </c>
      <c r="P627" s="336">
        <f t="shared" si="115"/>
        <v>-98274.248307948452</v>
      </c>
      <c r="Q627" s="336">
        <f t="shared" si="116"/>
        <v>9654.0225734498599</v>
      </c>
      <c r="R627" s="303">
        <f t="shared" si="117"/>
        <v>6.5229882253039593</v>
      </c>
    </row>
    <row r="628" spans="1:18" x14ac:dyDescent="0.3">
      <c r="A628" s="2">
        <v>1307</v>
      </c>
      <c r="B628" s="41" t="s">
        <v>526</v>
      </c>
      <c r="C628" s="2">
        <v>7</v>
      </c>
      <c r="D628" s="2" t="s">
        <v>21</v>
      </c>
      <c r="E628" s="294">
        <v>850</v>
      </c>
      <c r="F628" s="296">
        <v>1266.6666666666667</v>
      </c>
      <c r="G628" s="352">
        <v>21</v>
      </c>
      <c r="H628" s="296">
        <f t="shared" si="112"/>
        <v>17850</v>
      </c>
      <c r="I628" s="122">
        <f t="shared" si="113"/>
        <v>26600</v>
      </c>
      <c r="J628" s="331">
        <f t="shared" si="114"/>
        <v>8750</v>
      </c>
      <c r="K628" s="292">
        <f>'09-RESUMEN'!$F$43/1375</f>
        <v>81431.961035221175</v>
      </c>
      <c r="L628" s="122">
        <f>('ESTADO RESULTADOS'!$C$36+'ESTADO RESULTADOS'!$C$71)/1375</f>
        <v>24762.287272727273</v>
      </c>
      <c r="M628" s="122">
        <v>0</v>
      </c>
      <c r="N628" s="122">
        <f t="shared" si="124"/>
        <v>124044.24830794845</v>
      </c>
      <c r="O628" s="122">
        <f t="shared" si="125"/>
        <v>5906.868967045164</v>
      </c>
      <c r="P628" s="336">
        <f t="shared" si="115"/>
        <v>-97444.248307948452</v>
      </c>
      <c r="Q628" s="336">
        <f t="shared" si="116"/>
        <v>5056.868967045164</v>
      </c>
      <c r="R628" s="303">
        <f t="shared" si="117"/>
        <v>5.9492576082884279</v>
      </c>
    </row>
    <row r="629" spans="1:18" x14ac:dyDescent="0.3">
      <c r="A629" s="2">
        <v>1310</v>
      </c>
      <c r="B629" s="41" t="s">
        <v>1736</v>
      </c>
      <c r="C629" s="2">
        <v>9</v>
      </c>
      <c r="D629" s="2" t="s">
        <v>12</v>
      </c>
      <c r="E629" s="294">
        <v>20235.95</v>
      </c>
      <c r="F629" s="296">
        <v>23500</v>
      </c>
      <c r="G629" s="352">
        <v>2</v>
      </c>
      <c r="H629" s="296">
        <f t="shared" si="112"/>
        <v>40471.9</v>
      </c>
      <c r="I629" s="122">
        <f t="shared" si="113"/>
        <v>47000</v>
      </c>
      <c r="J629" s="331">
        <f t="shared" si="114"/>
        <v>6528.0999999999985</v>
      </c>
      <c r="K629" s="292">
        <f>'09-RESUMEN'!$F$43/1375</f>
        <v>81431.961035221175</v>
      </c>
      <c r="L629" s="122">
        <f>('ESTADO RESULTADOS'!$C$36+'ESTADO RESULTADOS'!$C$71)/1375</f>
        <v>24762.287272727273</v>
      </c>
      <c r="M629" s="122">
        <v>0</v>
      </c>
      <c r="N629" s="122">
        <f t="shared" si="124"/>
        <v>146666.14830794843</v>
      </c>
      <c r="O629" s="122">
        <f t="shared" si="125"/>
        <v>73333.074153974216</v>
      </c>
      <c r="P629" s="336">
        <f t="shared" si="115"/>
        <v>-99666.148307948431</v>
      </c>
      <c r="Q629" s="336">
        <f t="shared" si="116"/>
        <v>53097.124153974219</v>
      </c>
      <c r="R629" s="303">
        <f t="shared" si="117"/>
        <v>2.6239007387335023</v>
      </c>
    </row>
    <row r="630" spans="1:18" x14ac:dyDescent="0.3">
      <c r="A630" s="2">
        <v>1312</v>
      </c>
      <c r="B630" s="41" t="s">
        <v>527</v>
      </c>
      <c r="C630" s="2">
        <v>1</v>
      </c>
      <c r="D630" s="2" t="s">
        <v>12</v>
      </c>
      <c r="E630" s="294">
        <v>185000</v>
      </c>
      <c r="F630" s="296">
        <v>185666.66666666666</v>
      </c>
      <c r="G630" s="352">
        <v>10</v>
      </c>
      <c r="H630" s="296">
        <f t="shared" si="112"/>
        <v>1850000</v>
      </c>
      <c r="I630" s="122">
        <f t="shared" si="113"/>
        <v>1856666.6666666665</v>
      </c>
      <c r="J630" s="331">
        <f t="shared" si="114"/>
        <v>6666.6666666665114</v>
      </c>
      <c r="K630" s="292">
        <f>'09-RESUMEN'!$F$43/1375</f>
        <v>81431.961035221175</v>
      </c>
      <c r="L630" s="122">
        <f>('ESTADO RESULTADOS'!$C$36+'ESTADO RESULTADOS'!$C$71)/1375</f>
        <v>24762.287272727273</v>
      </c>
      <c r="M630" s="122">
        <v>0</v>
      </c>
      <c r="N630" s="122">
        <f t="shared" si="124"/>
        <v>1956194.2483079485</v>
      </c>
      <c r="O630" s="122">
        <f t="shared" si="125"/>
        <v>195619.42483079486</v>
      </c>
      <c r="P630" s="336">
        <f t="shared" si="115"/>
        <v>-99527.581641281955</v>
      </c>
      <c r="Q630" s="336">
        <f t="shared" si="116"/>
        <v>10619.424830794858</v>
      </c>
      <c r="R630" s="303">
        <f t="shared" si="117"/>
        <v>5.7402296382674911E-2</v>
      </c>
    </row>
    <row r="631" spans="1:18" x14ac:dyDescent="0.3">
      <c r="A631" s="2">
        <v>1315</v>
      </c>
      <c r="B631" s="41" t="s">
        <v>528</v>
      </c>
      <c r="C631" s="2">
        <v>2</v>
      </c>
      <c r="D631" s="2" t="s">
        <v>12</v>
      </c>
      <c r="E631" s="294">
        <v>10000</v>
      </c>
      <c r="F631" s="296">
        <v>10933.333333333334</v>
      </c>
      <c r="G631" s="352">
        <v>71</v>
      </c>
      <c r="H631" s="296">
        <f t="shared" si="112"/>
        <v>710000</v>
      </c>
      <c r="I631" s="122">
        <f t="shared" si="113"/>
        <v>776266.66666666674</v>
      </c>
      <c r="J631" s="331">
        <f t="shared" si="114"/>
        <v>66266.666666666744</v>
      </c>
      <c r="K631" s="292">
        <f>'09-RESUMEN'!$F$43/1375</f>
        <v>81431.961035221175</v>
      </c>
      <c r="L631" s="122">
        <f>('ESTADO RESULTADOS'!$C$36+'ESTADO RESULTADOS'!$C$71)/1375</f>
        <v>24762.287272727273</v>
      </c>
      <c r="M631" s="122">
        <v>0</v>
      </c>
      <c r="N631" s="122">
        <f t="shared" si="124"/>
        <v>816194.24830794835</v>
      </c>
      <c r="O631" s="122">
        <f t="shared" si="125"/>
        <v>11495.693638140117</v>
      </c>
      <c r="P631" s="336">
        <f t="shared" si="115"/>
        <v>-39927.581641281606</v>
      </c>
      <c r="Q631" s="336">
        <f t="shared" si="116"/>
        <v>1495.6936381401174</v>
      </c>
      <c r="R631" s="303">
        <f t="shared" si="117"/>
        <v>0.14956936381401173</v>
      </c>
    </row>
    <row r="632" spans="1:18" x14ac:dyDescent="0.3">
      <c r="A632" s="2">
        <v>1316</v>
      </c>
      <c r="B632" s="41" t="s">
        <v>1737</v>
      </c>
      <c r="C632" s="2">
        <v>5</v>
      </c>
      <c r="D632" s="2" t="s">
        <v>12</v>
      </c>
      <c r="E632" s="294">
        <v>30500</v>
      </c>
      <c r="F632" s="296">
        <v>35000</v>
      </c>
      <c r="G632" s="352">
        <v>1</v>
      </c>
      <c r="H632" s="296">
        <f t="shared" si="112"/>
        <v>30500</v>
      </c>
      <c r="I632" s="122">
        <f t="shared" si="113"/>
        <v>35000</v>
      </c>
      <c r="J632" s="331">
        <f t="shared" si="114"/>
        <v>4500</v>
      </c>
      <c r="K632" s="292">
        <f>'09-RESUMEN'!$F$43/1375</f>
        <v>81431.961035221175</v>
      </c>
      <c r="L632" s="122">
        <f>('ESTADO RESULTADOS'!$C$36+'ESTADO RESULTADOS'!$C$71)/1375</f>
        <v>24762.287272727273</v>
      </c>
      <c r="M632" s="122">
        <v>0</v>
      </c>
      <c r="N632" s="122">
        <f t="shared" si="124"/>
        <v>136694.24830794844</v>
      </c>
      <c r="O632" s="122">
        <f t="shared" si="125"/>
        <v>136694.24830794844</v>
      </c>
      <c r="P632" s="336">
        <f t="shared" si="115"/>
        <v>-101694.24830794844</v>
      </c>
      <c r="Q632" s="336">
        <f t="shared" si="116"/>
        <v>106194.24830794844</v>
      </c>
      <c r="R632" s="303">
        <f t="shared" si="117"/>
        <v>3.4817786330474898</v>
      </c>
    </row>
    <row r="633" spans="1:18" x14ac:dyDescent="0.3">
      <c r="A633" s="2">
        <v>1323</v>
      </c>
      <c r="B633" s="41" t="s">
        <v>529</v>
      </c>
      <c r="C633" s="2">
        <v>2</v>
      </c>
      <c r="D633" s="2" t="s">
        <v>5</v>
      </c>
      <c r="E633" s="294">
        <v>2289</v>
      </c>
      <c r="F633" s="296">
        <v>2666.6666666666665</v>
      </c>
      <c r="G633" s="352">
        <v>986</v>
      </c>
      <c r="H633" s="296">
        <f t="shared" si="112"/>
        <v>2256954</v>
      </c>
      <c r="I633" s="122">
        <f t="shared" si="113"/>
        <v>2629333.333333333</v>
      </c>
      <c r="J633" s="331">
        <f t="shared" si="114"/>
        <v>372379.33333333302</v>
      </c>
      <c r="K633" s="292">
        <f>'09-RESUMEN'!$F$43/1375</f>
        <v>81431.961035221175</v>
      </c>
      <c r="L633" s="122">
        <f>('ESTADO RESULTADOS'!$C$36+'ESTADO RESULTADOS'!$C$71)/1375</f>
        <v>24762.287272727273</v>
      </c>
      <c r="M633" s="122">
        <v>0</v>
      </c>
      <c r="N633" s="122">
        <f t="shared" si="124"/>
        <v>2363148.2483079485</v>
      </c>
      <c r="O633" s="122">
        <f t="shared" si="125"/>
        <v>2396.7020773914282</v>
      </c>
      <c r="P633" s="336">
        <f t="shared" si="115"/>
        <v>266185.08502538456</v>
      </c>
      <c r="Q633" s="336">
        <f t="shared" si="116"/>
        <v>107.70207739142825</v>
      </c>
      <c r="R633" s="303">
        <f t="shared" si="117"/>
        <v>4.7052021577731869E-2</v>
      </c>
    </row>
    <row r="634" spans="1:18" x14ac:dyDescent="0.3">
      <c r="A634" s="2">
        <v>1324</v>
      </c>
      <c r="B634" s="41" t="s">
        <v>530</v>
      </c>
      <c r="C634" s="2">
        <v>2</v>
      </c>
      <c r="D634" s="2" t="s">
        <v>12</v>
      </c>
      <c r="E634" s="294">
        <v>12300</v>
      </c>
      <c r="F634" s="296">
        <v>13200</v>
      </c>
      <c r="G634" s="352">
        <v>41</v>
      </c>
      <c r="H634" s="296">
        <f t="shared" si="112"/>
        <v>504300</v>
      </c>
      <c r="I634" s="122">
        <f t="shared" si="113"/>
        <v>541200</v>
      </c>
      <c r="J634" s="331">
        <f t="shared" si="114"/>
        <v>36900</v>
      </c>
      <c r="K634" s="292">
        <f>'09-RESUMEN'!$F$43/1375</f>
        <v>81431.961035221175</v>
      </c>
      <c r="L634" s="122">
        <f>('ESTADO RESULTADOS'!$C$36+'ESTADO RESULTADOS'!$C$71)/1375</f>
        <v>24762.287272727273</v>
      </c>
      <c r="M634" s="122">
        <v>0</v>
      </c>
      <c r="N634" s="122">
        <f t="shared" si="124"/>
        <v>610494.24830794835</v>
      </c>
      <c r="O634" s="122">
        <f t="shared" si="125"/>
        <v>14890.103617267034</v>
      </c>
      <c r="P634" s="336">
        <f t="shared" si="115"/>
        <v>-69294.24830794835</v>
      </c>
      <c r="Q634" s="336">
        <f t="shared" si="116"/>
        <v>2590.1036172670338</v>
      </c>
      <c r="R634" s="303">
        <f t="shared" si="117"/>
        <v>0.21057752985910844</v>
      </c>
    </row>
    <row r="635" spans="1:18" x14ac:dyDescent="0.3">
      <c r="A635" s="2">
        <v>1327</v>
      </c>
      <c r="B635" s="41" t="s">
        <v>1738</v>
      </c>
      <c r="C635" s="2">
        <v>8</v>
      </c>
      <c r="D635" s="2" t="s">
        <v>16</v>
      </c>
      <c r="E635" s="294">
        <v>33000</v>
      </c>
      <c r="F635" s="296">
        <v>39500</v>
      </c>
      <c r="G635" s="352">
        <v>0</v>
      </c>
      <c r="H635" s="296">
        <f t="shared" si="112"/>
        <v>0</v>
      </c>
      <c r="I635" s="122">
        <f t="shared" si="113"/>
        <v>0</v>
      </c>
      <c r="J635" s="331">
        <f t="shared" si="114"/>
        <v>0</v>
      </c>
      <c r="K635" s="292">
        <f>'09-RESUMEN'!$F$43/1375</f>
        <v>81431.961035221175</v>
      </c>
      <c r="L635" s="122">
        <f>('ESTADO RESULTADOS'!$C$36+'ESTADO RESULTADOS'!$C$71)/1375</f>
        <v>24762.287272727273</v>
      </c>
      <c r="M635" s="122">
        <v>0</v>
      </c>
      <c r="N635" s="122">
        <f>SUM(E635+K635+L635+M635)</f>
        <v>139194.24830794844</v>
      </c>
      <c r="O635" s="122">
        <f>N635</f>
        <v>139194.24830794844</v>
      </c>
      <c r="P635" s="336">
        <f t="shared" si="115"/>
        <v>-139194.24830794844</v>
      </c>
      <c r="Q635" s="336">
        <f t="shared" si="116"/>
        <v>106194.24830794844</v>
      </c>
      <c r="R635" s="303">
        <f t="shared" si="117"/>
        <v>3.2180075244832862</v>
      </c>
    </row>
    <row r="636" spans="1:18" x14ac:dyDescent="0.3">
      <c r="A636" s="2">
        <v>1328</v>
      </c>
      <c r="B636" s="41" t="s">
        <v>1739</v>
      </c>
      <c r="C636" s="2">
        <v>9</v>
      </c>
      <c r="D636" s="2" t="s">
        <v>12</v>
      </c>
      <c r="E636" s="294">
        <v>242188.79999999999</v>
      </c>
      <c r="F636" s="296">
        <v>271000</v>
      </c>
      <c r="G636" s="352">
        <v>1</v>
      </c>
      <c r="H636" s="296">
        <f t="shared" si="112"/>
        <v>242188.79999999999</v>
      </c>
      <c r="I636" s="122">
        <f t="shared" si="113"/>
        <v>271000</v>
      </c>
      <c r="J636" s="331">
        <f t="shared" si="114"/>
        <v>28811.200000000012</v>
      </c>
      <c r="K636" s="292">
        <f>'09-RESUMEN'!$F$43/1375</f>
        <v>81431.961035221175</v>
      </c>
      <c r="L636" s="122">
        <f>('ESTADO RESULTADOS'!$C$36+'ESTADO RESULTADOS'!$C$71)/1375</f>
        <v>24762.287272727273</v>
      </c>
      <c r="M636" s="122">
        <v>0</v>
      </c>
      <c r="N636" s="122">
        <f t="shared" ref="N636:N659" si="126">SUM(H636+K636+L636+M636)</f>
        <v>348383.04830794845</v>
      </c>
      <c r="O636" s="122">
        <f t="shared" ref="O636:O659" si="127">N636/G636</f>
        <v>348383.04830794845</v>
      </c>
      <c r="P636" s="336">
        <f t="shared" si="115"/>
        <v>-77383.048307948455</v>
      </c>
      <c r="Q636" s="336">
        <f t="shared" si="116"/>
        <v>106194.24830794847</v>
      </c>
      <c r="R636" s="303">
        <f t="shared" si="117"/>
        <v>0.43847712325239019</v>
      </c>
    </row>
    <row r="637" spans="1:18" x14ac:dyDescent="0.3">
      <c r="A637" s="2">
        <v>1332</v>
      </c>
      <c r="B637" s="41" t="s">
        <v>531</v>
      </c>
      <c r="C637" s="2">
        <v>7</v>
      </c>
      <c r="D637" s="2" t="s">
        <v>12</v>
      </c>
      <c r="E637" s="294">
        <v>2420</v>
      </c>
      <c r="F637" s="296">
        <v>2800</v>
      </c>
      <c r="G637" s="352">
        <v>15</v>
      </c>
      <c r="H637" s="296">
        <f t="shared" si="112"/>
        <v>36300</v>
      </c>
      <c r="I637" s="122">
        <f t="shared" si="113"/>
        <v>42000</v>
      </c>
      <c r="J637" s="331">
        <f t="shared" si="114"/>
        <v>5700</v>
      </c>
      <c r="K637" s="292">
        <f>'09-RESUMEN'!$F$43/1375</f>
        <v>81431.961035221175</v>
      </c>
      <c r="L637" s="122">
        <f>('ESTADO RESULTADOS'!$C$36+'ESTADO RESULTADOS'!$C$71)/1375</f>
        <v>24762.287272727273</v>
      </c>
      <c r="M637" s="122">
        <v>0</v>
      </c>
      <c r="N637" s="122">
        <f t="shared" si="126"/>
        <v>142494.24830794844</v>
      </c>
      <c r="O637" s="122">
        <f t="shared" si="127"/>
        <v>9499.6165538632285</v>
      </c>
      <c r="P637" s="336">
        <f t="shared" si="115"/>
        <v>-100494.24830794844</v>
      </c>
      <c r="Q637" s="336">
        <f t="shared" si="116"/>
        <v>7079.6165538632285</v>
      </c>
      <c r="R637" s="303">
        <f t="shared" si="117"/>
        <v>2.9254613858938963</v>
      </c>
    </row>
    <row r="638" spans="1:18" x14ac:dyDescent="0.3">
      <c r="A638" s="2">
        <v>1334</v>
      </c>
      <c r="B638" s="41" t="s">
        <v>532</v>
      </c>
      <c r="C638" s="2">
        <v>12</v>
      </c>
      <c r="D638" s="2" t="s">
        <v>12</v>
      </c>
      <c r="E638" s="294">
        <v>2100.9450000000002</v>
      </c>
      <c r="F638" s="296">
        <v>3200</v>
      </c>
      <c r="G638" s="352">
        <v>14</v>
      </c>
      <c r="H638" s="296">
        <f t="shared" si="112"/>
        <v>29413.230000000003</v>
      </c>
      <c r="I638" s="122">
        <f t="shared" si="113"/>
        <v>44800</v>
      </c>
      <c r="J638" s="331">
        <f t="shared" si="114"/>
        <v>15386.769999999997</v>
      </c>
      <c r="K638" s="292">
        <f>'09-RESUMEN'!$F$43/1375</f>
        <v>81431.961035221175</v>
      </c>
      <c r="L638" s="122">
        <f>('ESTADO RESULTADOS'!$C$36+'ESTADO RESULTADOS'!$C$71)/1375</f>
        <v>24762.287272727273</v>
      </c>
      <c r="M638" s="122">
        <v>0</v>
      </c>
      <c r="N638" s="122">
        <f t="shared" si="126"/>
        <v>135607.47830794845</v>
      </c>
      <c r="O638" s="122">
        <f t="shared" si="127"/>
        <v>9686.2484505677457</v>
      </c>
      <c r="P638" s="336">
        <f t="shared" si="115"/>
        <v>-90807.478307948448</v>
      </c>
      <c r="Q638" s="336">
        <f t="shared" si="116"/>
        <v>7585.303450567746</v>
      </c>
      <c r="R638" s="303">
        <f t="shared" si="117"/>
        <v>3.6104245711181138</v>
      </c>
    </row>
    <row r="639" spans="1:18" x14ac:dyDescent="0.3">
      <c r="A639" s="2">
        <v>1336</v>
      </c>
      <c r="B639" s="41" t="s">
        <v>1740</v>
      </c>
      <c r="C639" s="2">
        <v>6</v>
      </c>
      <c r="D639" s="2" t="s">
        <v>16</v>
      </c>
      <c r="E639" s="294">
        <v>67000</v>
      </c>
      <c r="F639" s="296">
        <v>73966.666666666672</v>
      </c>
      <c r="G639" s="352">
        <v>2</v>
      </c>
      <c r="H639" s="296">
        <f t="shared" si="112"/>
        <v>134000</v>
      </c>
      <c r="I639" s="122">
        <f t="shared" si="113"/>
        <v>147933.33333333334</v>
      </c>
      <c r="J639" s="331">
        <f t="shared" si="114"/>
        <v>13933.333333333343</v>
      </c>
      <c r="K639" s="292">
        <f>'09-RESUMEN'!$F$43/1375</f>
        <v>81431.961035221175</v>
      </c>
      <c r="L639" s="122">
        <f>('ESTADO RESULTADOS'!$C$36+'ESTADO RESULTADOS'!$C$71)/1375</f>
        <v>24762.287272727273</v>
      </c>
      <c r="M639" s="122">
        <v>0</v>
      </c>
      <c r="N639" s="122">
        <f t="shared" si="126"/>
        <v>240194.24830794844</v>
      </c>
      <c r="O639" s="122">
        <f t="shared" si="127"/>
        <v>120097.12415397422</v>
      </c>
      <c r="P639" s="336">
        <f t="shared" si="115"/>
        <v>-92260.914974615094</v>
      </c>
      <c r="Q639" s="336">
        <f t="shared" si="116"/>
        <v>53097.124153974219</v>
      </c>
      <c r="R639" s="303">
        <f t="shared" si="117"/>
        <v>0.79249439035782421</v>
      </c>
    </row>
    <row r="640" spans="1:18" x14ac:dyDescent="0.3">
      <c r="A640" s="2">
        <v>1338</v>
      </c>
      <c r="B640" s="41" t="s">
        <v>533</v>
      </c>
      <c r="C640" s="2">
        <v>2</v>
      </c>
      <c r="D640" s="2" t="s">
        <v>5</v>
      </c>
      <c r="E640" s="294">
        <v>21100</v>
      </c>
      <c r="F640" s="296">
        <v>23000</v>
      </c>
      <c r="G640" s="352">
        <v>28</v>
      </c>
      <c r="H640" s="296">
        <f t="shared" si="112"/>
        <v>590800</v>
      </c>
      <c r="I640" s="122">
        <f t="shared" si="113"/>
        <v>644000</v>
      </c>
      <c r="J640" s="331">
        <f t="shared" si="114"/>
        <v>53200</v>
      </c>
      <c r="K640" s="292">
        <f>'09-RESUMEN'!$F$43/1375</f>
        <v>81431.961035221175</v>
      </c>
      <c r="L640" s="122">
        <f>('ESTADO RESULTADOS'!$C$36+'ESTADO RESULTADOS'!$C$71)/1375</f>
        <v>24762.287272727273</v>
      </c>
      <c r="M640" s="122">
        <v>0</v>
      </c>
      <c r="N640" s="122">
        <f t="shared" si="126"/>
        <v>696994.24830794835</v>
      </c>
      <c r="O640" s="122">
        <f t="shared" si="127"/>
        <v>24892.651725283871</v>
      </c>
      <c r="P640" s="336">
        <f t="shared" si="115"/>
        <v>-52994.24830794835</v>
      </c>
      <c r="Q640" s="336">
        <f t="shared" si="116"/>
        <v>3792.6517252838712</v>
      </c>
      <c r="R640" s="303">
        <f t="shared" si="117"/>
        <v>0.17974652726463844</v>
      </c>
    </row>
    <row r="641" spans="1:18" x14ac:dyDescent="0.3">
      <c r="A641" s="2">
        <v>1340</v>
      </c>
      <c r="B641" s="41" t="s">
        <v>534</v>
      </c>
      <c r="C641" s="2">
        <v>12</v>
      </c>
      <c r="D641" s="2" t="s">
        <v>12</v>
      </c>
      <c r="E641" s="294">
        <v>36120</v>
      </c>
      <c r="F641" s="296">
        <v>45000</v>
      </c>
      <c r="G641" s="352">
        <v>3</v>
      </c>
      <c r="H641" s="296">
        <f t="shared" si="112"/>
        <v>108360</v>
      </c>
      <c r="I641" s="122">
        <f t="shared" si="113"/>
        <v>135000</v>
      </c>
      <c r="J641" s="331">
        <f t="shared" si="114"/>
        <v>26640</v>
      </c>
      <c r="K641" s="292">
        <f>'09-RESUMEN'!$F$43/1375</f>
        <v>81431.961035221175</v>
      </c>
      <c r="L641" s="122">
        <f>('ESTADO RESULTADOS'!$C$36+'ESTADO RESULTADOS'!$C$71)/1375</f>
        <v>24762.287272727273</v>
      </c>
      <c r="M641" s="122">
        <v>0</v>
      </c>
      <c r="N641" s="122">
        <f t="shared" si="126"/>
        <v>214554.24830794844</v>
      </c>
      <c r="O641" s="122">
        <f t="shared" si="127"/>
        <v>71518.082769316141</v>
      </c>
      <c r="P641" s="336">
        <f t="shared" si="115"/>
        <v>-79554.248307948437</v>
      </c>
      <c r="Q641" s="336">
        <f t="shared" si="116"/>
        <v>35398.082769316141</v>
      </c>
      <c r="R641" s="303">
        <f t="shared" si="117"/>
        <v>0.98001336570642694</v>
      </c>
    </row>
    <row r="642" spans="1:18" x14ac:dyDescent="0.3">
      <c r="A642" s="2">
        <v>1343</v>
      </c>
      <c r="B642" s="41" t="s">
        <v>535</v>
      </c>
      <c r="C642" s="2">
        <v>2</v>
      </c>
      <c r="D642" s="2" t="s">
        <v>5</v>
      </c>
      <c r="E642" s="294">
        <v>2170.3436999999999</v>
      </c>
      <c r="F642" s="296">
        <v>2500</v>
      </c>
      <c r="G642" s="352">
        <v>158</v>
      </c>
      <c r="H642" s="296">
        <f t="shared" si="112"/>
        <v>342914.30459999997</v>
      </c>
      <c r="I642" s="122">
        <f t="shared" si="113"/>
        <v>395000</v>
      </c>
      <c r="J642" s="331">
        <f t="shared" si="114"/>
        <v>52085.695400000026</v>
      </c>
      <c r="K642" s="292">
        <f>'09-RESUMEN'!$F$43/1375</f>
        <v>81431.961035221175</v>
      </c>
      <c r="L642" s="122">
        <f>('ESTADO RESULTADOS'!$C$36+'ESTADO RESULTADOS'!$C$71)/1375</f>
        <v>24762.287272727273</v>
      </c>
      <c r="M642" s="122">
        <v>0</v>
      </c>
      <c r="N642" s="122">
        <f t="shared" si="126"/>
        <v>449108.55290794844</v>
      </c>
      <c r="O642" s="122">
        <f t="shared" si="127"/>
        <v>2842.459195619927</v>
      </c>
      <c r="P642" s="336">
        <f t="shared" si="115"/>
        <v>-54108.55290794844</v>
      </c>
      <c r="Q642" s="336">
        <f t="shared" si="116"/>
        <v>672.11549561992706</v>
      </c>
      <c r="R642" s="303">
        <f t="shared" si="117"/>
        <v>0.30968159357429292</v>
      </c>
    </row>
    <row r="643" spans="1:18" x14ac:dyDescent="0.3">
      <c r="A643" s="2">
        <v>1344</v>
      </c>
      <c r="B643" s="41" t="s">
        <v>536</v>
      </c>
      <c r="C643" s="2">
        <v>5</v>
      </c>
      <c r="D643" s="2" t="s">
        <v>41</v>
      </c>
      <c r="E643" s="294">
        <v>145100</v>
      </c>
      <c r="F643" s="296">
        <v>161000</v>
      </c>
      <c r="G643" s="352">
        <v>4</v>
      </c>
      <c r="H643" s="296">
        <f t="shared" si="112"/>
        <v>580400</v>
      </c>
      <c r="I643" s="122">
        <f t="shared" si="113"/>
        <v>644000</v>
      </c>
      <c r="J643" s="331">
        <f t="shared" si="114"/>
        <v>63600</v>
      </c>
      <c r="K643" s="292">
        <f>'09-RESUMEN'!$F$43/1375</f>
        <v>81431.961035221175</v>
      </c>
      <c r="L643" s="122">
        <f>('ESTADO RESULTADOS'!$C$36+'ESTADO RESULTADOS'!$C$71)/1375</f>
        <v>24762.287272727273</v>
      </c>
      <c r="M643" s="122">
        <v>0</v>
      </c>
      <c r="N643" s="122">
        <f t="shared" si="126"/>
        <v>686594.24830794835</v>
      </c>
      <c r="O643" s="122">
        <f t="shared" si="127"/>
        <v>171648.56207698709</v>
      </c>
      <c r="P643" s="336">
        <f t="shared" si="115"/>
        <v>-42594.24830794835</v>
      </c>
      <c r="Q643" s="336">
        <f t="shared" si="116"/>
        <v>26548.562076987087</v>
      </c>
      <c r="R643" s="303">
        <f t="shared" si="117"/>
        <v>0.18296734718805713</v>
      </c>
    </row>
    <row r="644" spans="1:18" x14ac:dyDescent="0.3">
      <c r="A644" s="2">
        <v>1345</v>
      </c>
      <c r="B644" s="41" t="s">
        <v>537</v>
      </c>
      <c r="C644" s="2">
        <v>6</v>
      </c>
      <c r="D644" s="2" t="s">
        <v>81</v>
      </c>
      <c r="E644" s="294">
        <v>47878.9</v>
      </c>
      <c r="F644" s="296">
        <v>56183.333333333336</v>
      </c>
      <c r="G644" s="352">
        <v>12</v>
      </c>
      <c r="H644" s="296">
        <f t="shared" ref="H644:H707" si="128">E644*G644</f>
        <v>574546.80000000005</v>
      </c>
      <c r="I644" s="122">
        <f t="shared" ref="I644:I707" si="129">F644*G644</f>
        <v>674200</v>
      </c>
      <c r="J644" s="331">
        <f t="shared" ref="J644:J707" si="130">I644-H644</f>
        <v>99653.199999999953</v>
      </c>
      <c r="K644" s="292">
        <f>'09-RESUMEN'!$F$43/1375</f>
        <v>81431.961035221175</v>
      </c>
      <c r="L644" s="122">
        <f>('ESTADO RESULTADOS'!$C$36+'ESTADO RESULTADOS'!$C$71)/1375</f>
        <v>24762.287272727273</v>
      </c>
      <c r="M644" s="122">
        <v>0</v>
      </c>
      <c r="N644" s="122">
        <f t="shared" si="126"/>
        <v>680741.0483079484</v>
      </c>
      <c r="O644" s="122">
        <f t="shared" si="127"/>
        <v>56728.420692329033</v>
      </c>
      <c r="P644" s="336">
        <f t="shared" si="115"/>
        <v>-6541.0483079483965</v>
      </c>
      <c r="Q644" s="336">
        <f t="shared" si="116"/>
        <v>8849.5206923290316</v>
      </c>
      <c r="R644" s="303">
        <f t="shared" si="117"/>
        <v>0.18483132846262199</v>
      </c>
    </row>
    <row r="645" spans="1:18" x14ac:dyDescent="0.3">
      <c r="A645" s="2">
        <v>1347</v>
      </c>
      <c r="B645" s="41" t="s">
        <v>538</v>
      </c>
      <c r="C645" s="2">
        <v>5</v>
      </c>
      <c r="D645" s="2" t="s">
        <v>16</v>
      </c>
      <c r="E645" s="294">
        <v>48500</v>
      </c>
      <c r="F645" s="296">
        <v>55200</v>
      </c>
      <c r="G645" s="352">
        <v>4</v>
      </c>
      <c r="H645" s="296">
        <f t="shared" si="128"/>
        <v>194000</v>
      </c>
      <c r="I645" s="122">
        <f t="shared" si="129"/>
        <v>220800</v>
      </c>
      <c r="J645" s="331">
        <f t="shared" si="130"/>
        <v>26800</v>
      </c>
      <c r="K645" s="292">
        <f>'09-RESUMEN'!$F$43/1375</f>
        <v>81431.961035221175</v>
      </c>
      <c r="L645" s="122">
        <f>('ESTADO RESULTADOS'!$C$36+'ESTADO RESULTADOS'!$C$71)/1375</f>
        <v>24762.287272727273</v>
      </c>
      <c r="M645" s="122">
        <v>0</v>
      </c>
      <c r="N645" s="122">
        <f t="shared" si="126"/>
        <v>300194.24830794847</v>
      </c>
      <c r="O645" s="122">
        <f t="shared" si="127"/>
        <v>75048.562076987117</v>
      </c>
      <c r="P645" s="336">
        <f t="shared" ref="P645:P708" si="131">I645-N645</f>
        <v>-79394.248307948466</v>
      </c>
      <c r="Q645" s="336">
        <f t="shared" ref="Q645:Q708" si="132">O645-E645</f>
        <v>26548.562076987117</v>
      </c>
      <c r="R645" s="303">
        <f t="shared" ref="R645:R708" si="133">Q645/E645</f>
        <v>0.54739303251519833</v>
      </c>
    </row>
    <row r="646" spans="1:18" x14ac:dyDescent="0.3">
      <c r="A646" s="2">
        <v>1351</v>
      </c>
      <c r="B646" s="41" t="s">
        <v>539</v>
      </c>
      <c r="C646" s="2">
        <v>14</v>
      </c>
      <c r="D646" s="2" t="s">
        <v>12</v>
      </c>
      <c r="E646" s="294">
        <v>13391</v>
      </c>
      <c r="F646" s="296">
        <v>16000</v>
      </c>
      <c r="G646" s="352">
        <v>6</v>
      </c>
      <c r="H646" s="296">
        <f t="shared" si="128"/>
        <v>80346</v>
      </c>
      <c r="I646" s="122">
        <f t="shared" si="129"/>
        <v>96000</v>
      </c>
      <c r="J646" s="331">
        <f t="shared" si="130"/>
        <v>15654</v>
      </c>
      <c r="K646" s="292">
        <f>'09-RESUMEN'!$F$43/1375</f>
        <v>81431.961035221175</v>
      </c>
      <c r="L646" s="122">
        <f>('ESTADO RESULTADOS'!$C$36+'ESTADO RESULTADOS'!$C$71)/1375</f>
        <v>24762.287272727273</v>
      </c>
      <c r="M646" s="122">
        <v>0</v>
      </c>
      <c r="N646" s="122">
        <f t="shared" si="126"/>
        <v>186540.24830794844</v>
      </c>
      <c r="O646" s="122">
        <f t="shared" si="127"/>
        <v>31090.041384658074</v>
      </c>
      <c r="P646" s="336">
        <f t="shared" si="131"/>
        <v>-90540.248307948437</v>
      </c>
      <c r="Q646" s="336">
        <f t="shared" si="132"/>
        <v>17699.041384658074</v>
      </c>
      <c r="R646" s="303">
        <f t="shared" si="133"/>
        <v>1.3217117007436394</v>
      </c>
    </row>
    <row r="647" spans="1:18" x14ac:dyDescent="0.3">
      <c r="A647" s="2">
        <v>1352</v>
      </c>
      <c r="B647" s="41" t="s">
        <v>540</v>
      </c>
      <c r="C647" s="2">
        <v>14</v>
      </c>
      <c r="D647" s="2" t="s">
        <v>12</v>
      </c>
      <c r="E647" s="294">
        <v>19320</v>
      </c>
      <c r="F647" s="296">
        <v>26000</v>
      </c>
      <c r="G647" s="352">
        <v>1</v>
      </c>
      <c r="H647" s="296">
        <f t="shared" si="128"/>
        <v>19320</v>
      </c>
      <c r="I647" s="122">
        <f t="shared" si="129"/>
        <v>26000</v>
      </c>
      <c r="J647" s="331">
        <f t="shared" si="130"/>
        <v>6680</v>
      </c>
      <c r="K647" s="292">
        <f>'09-RESUMEN'!$F$43/1375</f>
        <v>81431.961035221175</v>
      </c>
      <c r="L647" s="122">
        <f>('ESTADO RESULTADOS'!$C$36+'ESTADO RESULTADOS'!$C$71)/1375</f>
        <v>24762.287272727273</v>
      </c>
      <c r="M647" s="122">
        <v>0</v>
      </c>
      <c r="N647" s="122">
        <f t="shared" si="126"/>
        <v>125514.24830794845</v>
      </c>
      <c r="O647" s="122">
        <f t="shared" si="127"/>
        <v>125514.24830794845</v>
      </c>
      <c r="P647" s="336">
        <f t="shared" si="131"/>
        <v>-99514.248307948452</v>
      </c>
      <c r="Q647" s="336">
        <f t="shared" si="132"/>
        <v>106194.24830794845</v>
      </c>
      <c r="R647" s="303">
        <f t="shared" si="133"/>
        <v>5.4965967033099616</v>
      </c>
    </row>
    <row r="648" spans="1:18" x14ac:dyDescent="0.3">
      <c r="A648" s="2">
        <v>1358</v>
      </c>
      <c r="B648" s="41" t="s">
        <v>541</v>
      </c>
      <c r="C648" s="2">
        <v>14</v>
      </c>
      <c r="D648" s="2" t="s">
        <v>12</v>
      </c>
      <c r="E648" s="294">
        <v>20255</v>
      </c>
      <c r="F648" s="296">
        <v>24600</v>
      </c>
      <c r="G648" s="352">
        <v>3</v>
      </c>
      <c r="H648" s="296">
        <f t="shared" si="128"/>
        <v>60765</v>
      </c>
      <c r="I648" s="122">
        <f t="shared" si="129"/>
        <v>73800</v>
      </c>
      <c r="J648" s="331">
        <f t="shared" si="130"/>
        <v>13035</v>
      </c>
      <c r="K648" s="292">
        <f>'09-RESUMEN'!$F$43/1375</f>
        <v>81431.961035221175</v>
      </c>
      <c r="L648" s="122">
        <f>('ESTADO RESULTADOS'!$C$36+'ESTADO RESULTADOS'!$C$71)/1375</f>
        <v>24762.287272727273</v>
      </c>
      <c r="M648" s="122">
        <v>0</v>
      </c>
      <c r="N648" s="122">
        <f t="shared" si="126"/>
        <v>166959.24830794844</v>
      </c>
      <c r="O648" s="122">
        <f t="shared" si="127"/>
        <v>55653.082769316148</v>
      </c>
      <c r="P648" s="336">
        <f t="shared" si="131"/>
        <v>-93159.248307948437</v>
      </c>
      <c r="Q648" s="336">
        <f t="shared" si="132"/>
        <v>35398.082769316148</v>
      </c>
      <c r="R648" s="303">
        <f t="shared" si="133"/>
        <v>1.7476219584949961</v>
      </c>
    </row>
    <row r="649" spans="1:18" x14ac:dyDescent="0.3">
      <c r="A649" s="2">
        <v>1360</v>
      </c>
      <c r="B649" s="41" t="s">
        <v>542</v>
      </c>
      <c r="C649" s="2">
        <v>2</v>
      </c>
      <c r="D649" s="2" t="s">
        <v>227</v>
      </c>
      <c r="E649" s="294">
        <v>6499.9942000000001</v>
      </c>
      <c r="F649" s="296">
        <v>15000</v>
      </c>
      <c r="G649" s="352">
        <v>1</v>
      </c>
      <c r="H649" s="296">
        <f t="shared" si="128"/>
        <v>6499.9942000000001</v>
      </c>
      <c r="I649" s="122">
        <f t="shared" si="129"/>
        <v>15000</v>
      </c>
      <c r="J649" s="331">
        <f t="shared" si="130"/>
        <v>8500.005799999999</v>
      </c>
      <c r="K649" s="292">
        <f>'09-RESUMEN'!$F$43/1375</f>
        <v>81431.961035221175</v>
      </c>
      <c r="L649" s="122">
        <f>('ESTADO RESULTADOS'!$C$36+'ESTADO RESULTADOS'!$C$71)/1375</f>
        <v>24762.287272727273</v>
      </c>
      <c r="M649" s="122">
        <v>0</v>
      </c>
      <c r="N649" s="122">
        <f t="shared" si="126"/>
        <v>112694.24250794845</v>
      </c>
      <c r="O649" s="122">
        <f t="shared" si="127"/>
        <v>112694.24250794845</v>
      </c>
      <c r="P649" s="336">
        <f t="shared" si="131"/>
        <v>-97694.242507948453</v>
      </c>
      <c r="Q649" s="336">
        <f t="shared" si="132"/>
        <v>106194.24830794845</v>
      </c>
      <c r="R649" s="303">
        <f t="shared" si="133"/>
        <v>16.33759124091964</v>
      </c>
    </row>
    <row r="650" spans="1:18" x14ac:dyDescent="0.3">
      <c r="A650" s="2">
        <v>1361</v>
      </c>
      <c r="B650" s="41" t="s">
        <v>544</v>
      </c>
      <c r="C650" s="2">
        <v>9</v>
      </c>
      <c r="D650" s="2" t="s">
        <v>12</v>
      </c>
      <c r="E650" s="294">
        <v>57120.336000000003</v>
      </c>
      <c r="F650" s="296">
        <v>65200</v>
      </c>
      <c r="G650" s="352">
        <v>2</v>
      </c>
      <c r="H650" s="296">
        <f t="shared" si="128"/>
        <v>114240.67200000001</v>
      </c>
      <c r="I650" s="122">
        <f t="shared" si="129"/>
        <v>130400</v>
      </c>
      <c r="J650" s="331">
        <f t="shared" si="130"/>
        <v>16159.327999999994</v>
      </c>
      <c r="K650" s="292">
        <f>'09-RESUMEN'!$F$43/1375</f>
        <v>81431.961035221175</v>
      </c>
      <c r="L650" s="122">
        <f>('ESTADO RESULTADOS'!$C$36+'ESTADO RESULTADOS'!$C$71)/1375</f>
        <v>24762.287272727273</v>
      </c>
      <c r="M650" s="122">
        <v>0</v>
      </c>
      <c r="N650" s="122">
        <f t="shared" si="126"/>
        <v>220434.92030794846</v>
      </c>
      <c r="O650" s="122">
        <f t="shared" si="127"/>
        <v>110217.46015397423</v>
      </c>
      <c r="P650" s="336">
        <f t="shared" si="131"/>
        <v>-90034.920307948458</v>
      </c>
      <c r="Q650" s="336">
        <f t="shared" si="132"/>
        <v>53097.124153974226</v>
      </c>
      <c r="R650" s="303">
        <f t="shared" si="133"/>
        <v>0.92956603325957721</v>
      </c>
    </row>
    <row r="651" spans="1:18" x14ac:dyDescent="0.3">
      <c r="A651" s="2">
        <v>1363</v>
      </c>
      <c r="B651" s="41" t="s">
        <v>545</v>
      </c>
      <c r="C651" s="2">
        <v>14</v>
      </c>
      <c r="D651" s="2" t="s">
        <v>12</v>
      </c>
      <c r="E651" s="294">
        <v>7750</v>
      </c>
      <c r="F651" s="296">
        <v>9500</v>
      </c>
      <c r="G651" s="352">
        <v>9</v>
      </c>
      <c r="H651" s="296">
        <f t="shared" si="128"/>
        <v>69750</v>
      </c>
      <c r="I651" s="122">
        <f t="shared" si="129"/>
        <v>85500</v>
      </c>
      <c r="J651" s="331">
        <f t="shared" si="130"/>
        <v>15750</v>
      </c>
      <c r="K651" s="292">
        <f>'09-RESUMEN'!$F$43/1375</f>
        <v>81431.961035221175</v>
      </c>
      <c r="L651" s="122">
        <f>('ESTADO RESULTADOS'!$C$36+'ESTADO RESULTADOS'!$C$71)/1375</f>
        <v>24762.287272727273</v>
      </c>
      <c r="M651" s="122">
        <v>0</v>
      </c>
      <c r="N651" s="122">
        <f t="shared" si="126"/>
        <v>175944.24830794844</v>
      </c>
      <c r="O651" s="122">
        <f t="shared" si="127"/>
        <v>19549.360923105382</v>
      </c>
      <c r="P651" s="336">
        <f t="shared" si="131"/>
        <v>-90444.248307948437</v>
      </c>
      <c r="Q651" s="336">
        <f t="shared" si="132"/>
        <v>11799.360923105382</v>
      </c>
      <c r="R651" s="303">
        <f t="shared" si="133"/>
        <v>1.5224981836265008</v>
      </c>
    </row>
    <row r="652" spans="1:18" x14ac:dyDescent="0.3">
      <c r="A652" s="2">
        <v>1365</v>
      </c>
      <c r="B652" s="41" t="s">
        <v>546</v>
      </c>
      <c r="C652" s="2">
        <v>9</v>
      </c>
      <c r="D652" s="2" t="s">
        <v>227</v>
      </c>
      <c r="E652" s="294">
        <v>86219.212799999994</v>
      </c>
      <c r="F652" s="296">
        <v>122933.33333333333</v>
      </c>
      <c r="G652" s="352">
        <v>2</v>
      </c>
      <c r="H652" s="296">
        <f t="shared" si="128"/>
        <v>172438.42559999999</v>
      </c>
      <c r="I652" s="122">
        <f t="shared" si="129"/>
        <v>245866.66666666666</v>
      </c>
      <c r="J652" s="331">
        <f t="shared" si="130"/>
        <v>73428.241066666669</v>
      </c>
      <c r="K652" s="292">
        <f>'09-RESUMEN'!$F$43/1375</f>
        <v>81431.961035221175</v>
      </c>
      <c r="L652" s="122">
        <f>('ESTADO RESULTADOS'!$C$36+'ESTADO RESULTADOS'!$C$71)/1375</f>
        <v>24762.287272727273</v>
      </c>
      <c r="M652" s="122">
        <v>0</v>
      </c>
      <c r="N652" s="122">
        <f t="shared" si="126"/>
        <v>278632.67390794843</v>
      </c>
      <c r="O652" s="122">
        <f t="shared" si="127"/>
        <v>139316.33695397421</v>
      </c>
      <c r="P652" s="336">
        <f t="shared" si="131"/>
        <v>-32766.007241281768</v>
      </c>
      <c r="Q652" s="336">
        <f t="shared" si="132"/>
        <v>53097.124153974219</v>
      </c>
      <c r="R652" s="303">
        <f t="shared" si="133"/>
        <v>0.61583865625335688</v>
      </c>
    </row>
    <row r="653" spans="1:18" x14ac:dyDescent="0.3">
      <c r="A653" s="2">
        <v>1368</v>
      </c>
      <c r="B653" s="41" t="s">
        <v>547</v>
      </c>
      <c r="C653" s="2">
        <v>9</v>
      </c>
      <c r="D653" s="2" t="s">
        <v>338</v>
      </c>
      <c r="E653" s="294">
        <v>126166.18</v>
      </c>
      <c r="F653" s="296">
        <v>158000</v>
      </c>
      <c r="G653" s="352">
        <v>5</v>
      </c>
      <c r="H653" s="296">
        <f t="shared" si="128"/>
        <v>630830.89999999991</v>
      </c>
      <c r="I653" s="122">
        <f t="shared" si="129"/>
        <v>790000</v>
      </c>
      <c r="J653" s="331">
        <f t="shared" si="130"/>
        <v>159169.10000000009</v>
      </c>
      <c r="K653" s="292">
        <f>'09-RESUMEN'!$F$43/1375</f>
        <v>81431.961035221175</v>
      </c>
      <c r="L653" s="122">
        <f>('ESTADO RESULTADOS'!$C$36+'ESTADO RESULTADOS'!$C$71)/1375</f>
        <v>24762.287272727273</v>
      </c>
      <c r="M653" s="122">
        <v>0</v>
      </c>
      <c r="N653" s="122">
        <f t="shared" si="126"/>
        <v>737025.14830794826</v>
      </c>
      <c r="O653" s="122">
        <f t="shared" si="127"/>
        <v>147405.02966158965</v>
      </c>
      <c r="P653" s="336">
        <f t="shared" si="131"/>
        <v>52974.851692051743</v>
      </c>
      <c r="Q653" s="336">
        <f t="shared" si="132"/>
        <v>21238.849661589658</v>
      </c>
      <c r="R653" s="303">
        <f t="shared" si="133"/>
        <v>0.16834027678090641</v>
      </c>
    </row>
    <row r="654" spans="1:18" x14ac:dyDescent="0.3">
      <c r="A654" s="2">
        <v>1377</v>
      </c>
      <c r="B654" s="41" t="s">
        <v>548</v>
      </c>
      <c r="C654" s="2">
        <v>14</v>
      </c>
      <c r="D654" s="2" t="s">
        <v>12</v>
      </c>
      <c r="E654" s="294">
        <v>18397</v>
      </c>
      <c r="F654" s="296">
        <v>22000</v>
      </c>
      <c r="G654" s="352">
        <v>1</v>
      </c>
      <c r="H654" s="296">
        <f t="shared" si="128"/>
        <v>18397</v>
      </c>
      <c r="I654" s="122">
        <f t="shared" si="129"/>
        <v>22000</v>
      </c>
      <c r="J654" s="331">
        <f t="shared" si="130"/>
        <v>3603</v>
      </c>
      <c r="K654" s="292">
        <f>'09-RESUMEN'!$F$43/1375</f>
        <v>81431.961035221175</v>
      </c>
      <c r="L654" s="122">
        <f>('ESTADO RESULTADOS'!$C$36+'ESTADO RESULTADOS'!$C$71)/1375</f>
        <v>24762.287272727273</v>
      </c>
      <c r="M654" s="122">
        <v>0</v>
      </c>
      <c r="N654" s="122">
        <f t="shared" si="126"/>
        <v>124591.24830794845</v>
      </c>
      <c r="O654" s="122">
        <f t="shared" si="127"/>
        <v>124591.24830794845</v>
      </c>
      <c r="P654" s="336">
        <f t="shared" si="131"/>
        <v>-102591.24830794845</v>
      </c>
      <c r="Q654" s="336">
        <f t="shared" si="132"/>
        <v>106194.24830794845</v>
      </c>
      <c r="R654" s="303">
        <f t="shared" si="133"/>
        <v>5.7723676853806847</v>
      </c>
    </row>
    <row r="655" spans="1:18" x14ac:dyDescent="0.3">
      <c r="A655" s="2">
        <v>1379</v>
      </c>
      <c r="B655" s="41" t="s">
        <v>549</v>
      </c>
      <c r="C655" s="2">
        <v>6</v>
      </c>
      <c r="D655" s="2" t="s">
        <v>81</v>
      </c>
      <c r="E655" s="294">
        <v>12700</v>
      </c>
      <c r="F655" s="296">
        <v>14500</v>
      </c>
      <c r="G655" s="352">
        <v>5</v>
      </c>
      <c r="H655" s="296">
        <f t="shared" si="128"/>
        <v>63500</v>
      </c>
      <c r="I655" s="122">
        <f t="shared" si="129"/>
        <v>72500</v>
      </c>
      <c r="J655" s="331">
        <f t="shared" si="130"/>
        <v>9000</v>
      </c>
      <c r="K655" s="292">
        <f>'09-RESUMEN'!$F$43/1375</f>
        <v>81431.961035221175</v>
      </c>
      <c r="L655" s="122">
        <f>('ESTADO RESULTADOS'!$C$36+'ESTADO RESULTADOS'!$C$71)/1375</f>
        <v>24762.287272727273</v>
      </c>
      <c r="M655" s="122">
        <v>0</v>
      </c>
      <c r="N655" s="122">
        <f t="shared" si="126"/>
        <v>169694.24830794844</v>
      </c>
      <c r="O655" s="122">
        <f t="shared" si="127"/>
        <v>33938.849661589687</v>
      </c>
      <c r="P655" s="336">
        <f t="shared" si="131"/>
        <v>-97194.248307948437</v>
      </c>
      <c r="Q655" s="336">
        <f t="shared" si="132"/>
        <v>21238.849661589687</v>
      </c>
      <c r="R655" s="303">
        <f t="shared" si="133"/>
        <v>1.6723503670543061</v>
      </c>
    </row>
    <row r="656" spans="1:18" x14ac:dyDescent="0.3">
      <c r="A656" s="2">
        <v>1386</v>
      </c>
      <c r="B656" s="41" t="s">
        <v>550</v>
      </c>
      <c r="C656" s="2">
        <v>2</v>
      </c>
      <c r="D656" s="2" t="s">
        <v>5</v>
      </c>
      <c r="E656" s="294">
        <v>3203.55</v>
      </c>
      <c r="F656" s="296">
        <v>3683.3333333333335</v>
      </c>
      <c r="G656" s="352">
        <v>137</v>
      </c>
      <c r="H656" s="296">
        <f t="shared" si="128"/>
        <v>438886.35000000003</v>
      </c>
      <c r="I656" s="122">
        <f t="shared" si="129"/>
        <v>504616.66666666669</v>
      </c>
      <c r="J656" s="331">
        <f t="shared" si="130"/>
        <v>65730.316666666651</v>
      </c>
      <c r="K656" s="292">
        <f>'09-RESUMEN'!$F$43/1375</f>
        <v>81431.961035221175</v>
      </c>
      <c r="L656" s="122">
        <f>('ESTADO RESULTADOS'!$C$36+'ESTADO RESULTADOS'!$C$71)/1375</f>
        <v>24762.287272727273</v>
      </c>
      <c r="M656" s="122">
        <v>0</v>
      </c>
      <c r="N656" s="122">
        <f t="shared" si="126"/>
        <v>545080.59830794844</v>
      </c>
      <c r="O656" s="122">
        <f t="shared" si="127"/>
        <v>3978.6904985981637</v>
      </c>
      <c r="P656" s="336">
        <f t="shared" si="131"/>
        <v>-40463.931641281757</v>
      </c>
      <c r="Q656" s="336">
        <f t="shared" si="132"/>
        <v>775.1404985981635</v>
      </c>
      <c r="R656" s="303">
        <f t="shared" si="133"/>
        <v>0.24196297813305973</v>
      </c>
    </row>
    <row r="657" spans="1:18" x14ac:dyDescent="0.3">
      <c r="A657" s="2">
        <v>1389</v>
      </c>
      <c r="B657" s="41" t="s">
        <v>1741</v>
      </c>
      <c r="C657" s="2">
        <v>2</v>
      </c>
      <c r="D657" s="2" t="s">
        <v>5</v>
      </c>
      <c r="E657" s="294">
        <v>86397.15</v>
      </c>
      <c r="F657" s="296">
        <v>97250</v>
      </c>
      <c r="G657" s="352">
        <v>2</v>
      </c>
      <c r="H657" s="296">
        <f t="shared" si="128"/>
        <v>172794.3</v>
      </c>
      <c r="I657" s="122">
        <f t="shared" si="129"/>
        <v>194500</v>
      </c>
      <c r="J657" s="331">
        <f t="shared" si="130"/>
        <v>21705.700000000012</v>
      </c>
      <c r="K657" s="292">
        <f>'09-RESUMEN'!$F$43/1375</f>
        <v>81431.961035221175</v>
      </c>
      <c r="L657" s="122">
        <f>('ESTADO RESULTADOS'!$C$36+'ESTADO RESULTADOS'!$C$71)/1375</f>
        <v>24762.287272727273</v>
      </c>
      <c r="M657" s="122">
        <v>0</v>
      </c>
      <c r="N657" s="122">
        <f t="shared" si="126"/>
        <v>278988.54830794845</v>
      </c>
      <c r="O657" s="122">
        <f t="shared" si="127"/>
        <v>139494.27415397423</v>
      </c>
      <c r="P657" s="336">
        <f t="shared" si="131"/>
        <v>-84488.548307948455</v>
      </c>
      <c r="Q657" s="336">
        <f t="shared" si="132"/>
        <v>53097.124153974233</v>
      </c>
      <c r="R657" s="303">
        <f t="shared" si="133"/>
        <v>0.61457032036327863</v>
      </c>
    </row>
    <row r="658" spans="1:18" x14ac:dyDescent="0.3">
      <c r="A658" s="2">
        <v>1390</v>
      </c>
      <c r="B658" s="41" t="s">
        <v>551</v>
      </c>
      <c r="C658" s="2">
        <v>2</v>
      </c>
      <c r="D658" s="2" t="s">
        <v>243</v>
      </c>
      <c r="E658" s="294">
        <v>85600</v>
      </c>
      <c r="F658" s="296">
        <v>93333.333333333328</v>
      </c>
      <c r="G658" s="352">
        <v>39</v>
      </c>
      <c r="H658" s="296">
        <f t="shared" si="128"/>
        <v>3338400</v>
      </c>
      <c r="I658" s="122">
        <f t="shared" si="129"/>
        <v>3640000</v>
      </c>
      <c r="J658" s="331">
        <f t="shared" si="130"/>
        <v>301600</v>
      </c>
      <c r="K658" s="292">
        <f>'09-RESUMEN'!$F$43/1375</f>
        <v>81431.961035221175</v>
      </c>
      <c r="L658" s="122">
        <f>('ESTADO RESULTADOS'!$C$36+'ESTADO RESULTADOS'!$C$71)/1375</f>
        <v>24762.287272727273</v>
      </c>
      <c r="M658" s="122">
        <v>0</v>
      </c>
      <c r="N658" s="122">
        <f t="shared" si="126"/>
        <v>3444594.2483079485</v>
      </c>
      <c r="O658" s="122">
        <f t="shared" si="127"/>
        <v>88322.929443793546</v>
      </c>
      <c r="P658" s="336">
        <f t="shared" si="131"/>
        <v>195405.75169205153</v>
      </c>
      <c r="Q658" s="336">
        <f t="shared" si="132"/>
        <v>2722.9294437935459</v>
      </c>
      <c r="R658" s="303">
        <f t="shared" si="133"/>
        <v>3.1809923408803106E-2</v>
      </c>
    </row>
    <row r="659" spans="1:18" x14ac:dyDescent="0.3">
      <c r="A659" s="2">
        <v>1393</v>
      </c>
      <c r="B659" s="41" t="s">
        <v>1742</v>
      </c>
      <c r="C659" s="2">
        <v>9</v>
      </c>
      <c r="D659" s="2" t="s">
        <v>12</v>
      </c>
      <c r="E659" s="294">
        <v>16594.704000000002</v>
      </c>
      <c r="F659" s="296">
        <v>19500</v>
      </c>
      <c r="G659" s="352">
        <v>1</v>
      </c>
      <c r="H659" s="296">
        <f t="shared" si="128"/>
        <v>16594.704000000002</v>
      </c>
      <c r="I659" s="122">
        <f t="shared" si="129"/>
        <v>19500</v>
      </c>
      <c r="J659" s="331">
        <f t="shared" si="130"/>
        <v>2905.2959999999985</v>
      </c>
      <c r="K659" s="292">
        <f>'09-RESUMEN'!$F$43/1375</f>
        <v>81431.961035221175</v>
      </c>
      <c r="L659" s="122">
        <f>('ESTADO RESULTADOS'!$C$36+'ESTADO RESULTADOS'!$C$71)/1375</f>
        <v>24762.287272727273</v>
      </c>
      <c r="M659" s="122">
        <v>0</v>
      </c>
      <c r="N659" s="122">
        <f t="shared" si="126"/>
        <v>122788.95230794845</v>
      </c>
      <c r="O659" s="122">
        <f t="shared" si="127"/>
        <v>122788.95230794845</v>
      </c>
      <c r="P659" s="336">
        <f t="shared" si="131"/>
        <v>-103288.95230794845</v>
      </c>
      <c r="Q659" s="336">
        <f t="shared" si="132"/>
        <v>106194.24830794845</v>
      </c>
      <c r="R659" s="303">
        <f t="shared" si="133"/>
        <v>6.3992854773395438</v>
      </c>
    </row>
    <row r="660" spans="1:18" x14ac:dyDescent="0.3">
      <c r="A660" s="2">
        <v>1396</v>
      </c>
      <c r="B660" s="41" t="s">
        <v>1743</v>
      </c>
      <c r="C660" s="2">
        <v>2</v>
      </c>
      <c r="D660" s="2" t="s">
        <v>10</v>
      </c>
      <c r="E660" s="294">
        <v>90000</v>
      </c>
      <c r="F660" s="296">
        <v>101800</v>
      </c>
      <c r="G660" s="352">
        <v>0</v>
      </c>
      <c r="H660" s="296">
        <f t="shared" si="128"/>
        <v>0</v>
      </c>
      <c r="I660" s="122">
        <f t="shared" si="129"/>
        <v>0</v>
      </c>
      <c r="J660" s="331">
        <f t="shared" si="130"/>
        <v>0</v>
      </c>
      <c r="K660" s="292">
        <f>'09-RESUMEN'!$F$43/1375</f>
        <v>81431.961035221175</v>
      </c>
      <c r="L660" s="122">
        <f>('ESTADO RESULTADOS'!$C$36+'ESTADO RESULTADOS'!$C$71)/1375</f>
        <v>24762.287272727273</v>
      </c>
      <c r="M660" s="122">
        <v>0</v>
      </c>
      <c r="N660" s="122">
        <f>SUM(E660+K660+L660+M660)</f>
        <v>196194.24830794844</v>
      </c>
      <c r="O660" s="122">
        <f>N660</f>
        <v>196194.24830794844</v>
      </c>
      <c r="P660" s="336">
        <f t="shared" si="131"/>
        <v>-196194.24830794844</v>
      </c>
      <c r="Q660" s="336">
        <f t="shared" si="132"/>
        <v>106194.24830794844</v>
      </c>
      <c r="R660" s="303">
        <f t="shared" si="133"/>
        <v>1.1799360923105382</v>
      </c>
    </row>
    <row r="661" spans="1:18" x14ac:dyDescent="0.3">
      <c r="A661" s="2">
        <v>1404</v>
      </c>
      <c r="B661" s="41" t="s">
        <v>552</v>
      </c>
      <c r="C661" s="2">
        <v>14</v>
      </c>
      <c r="D661" s="2" t="s">
        <v>12</v>
      </c>
      <c r="E661" s="294">
        <v>65559</v>
      </c>
      <c r="F661" s="296">
        <v>80400</v>
      </c>
      <c r="G661" s="352">
        <v>1</v>
      </c>
      <c r="H661" s="296">
        <f t="shared" si="128"/>
        <v>65559</v>
      </c>
      <c r="I661" s="122">
        <f t="shared" si="129"/>
        <v>80400</v>
      </c>
      <c r="J661" s="331">
        <f t="shared" si="130"/>
        <v>14841</v>
      </c>
      <c r="K661" s="292">
        <f>'09-RESUMEN'!$F$43/1375</f>
        <v>81431.961035221175</v>
      </c>
      <c r="L661" s="122">
        <f>('ESTADO RESULTADOS'!$C$36+'ESTADO RESULTADOS'!$C$71)/1375</f>
        <v>24762.287272727273</v>
      </c>
      <c r="M661" s="122">
        <v>0</v>
      </c>
      <c r="N661" s="122">
        <f>SUM(H661+K661+L661+M661)</f>
        <v>171753.24830794844</v>
      </c>
      <c r="O661" s="122">
        <f>N661/G661</f>
        <v>171753.24830794844</v>
      </c>
      <c r="P661" s="336">
        <f t="shared" si="131"/>
        <v>-91353.248307948437</v>
      </c>
      <c r="Q661" s="336">
        <f t="shared" si="132"/>
        <v>106194.24830794844</v>
      </c>
      <c r="R661" s="303">
        <f t="shared" si="133"/>
        <v>1.6198271527623733</v>
      </c>
    </row>
    <row r="662" spans="1:18" x14ac:dyDescent="0.3">
      <c r="A662" s="2">
        <v>1409</v>
      </c>
      <c r="B662" s="41" t="s">
        <v>553</v>
      </c>
      <c r="C662" s="2">
        <v>14</v>
      </c>
      <c r="D662" s="2" t="s">
        <v>12</v>
      </c>
      <c r="E662" s="294">
        <v>23669</v>
      </c>
      <c r="F662" s="296">
        <v>27916.666666666668</v>
      </c>
      <c r="G662" s="352">
        <v>3</v>
      </c>
      <c r="H662" s="296">
        <f t="shared" si="128"/>
        <v>71007</v>
      </c>
      <c r="I662" s="122">
        <f t="shared" si="129"/>
        <v>83750</v>
      </c>
      <c r="J662" s="331">
        <f t="shared" si="130"/>
        <v>12743</v>
      </c>
      <c r="K662" s="292">
        <f>'09-RESUMEN'!$F$43/1375</f>
        <v>81431.961035221175</v>
      </c>
      <c r="L662" s="122">
        <f>('ESTADO RESULTADOS'!$C$36+'ESTADO RESULTADOS'!$C$71)/1375</f>
        <v>24762.287272727273</v>
      </c>
      <c r="M662" s="122">
        <v>0</v>
      </c>
      <c r="N662" s="122">
        <f>SUM(H662+K662+L662+M662)</f>
        <v>177201.24830794844</v>
      </c>
      <c r="O662" s="122">
        <f>N662/G662</f>
        <v>59067.082769316148</v>
      </c>
      <c r="P662" s="336">
        <f t="shared" si="131"/>
        <v>-93451.248307948437</v>
      </c>
      <c r="Q662" s="336">
        <f t="shared" si="132"/>
        <v>35398.082769316148</v>
      </c>
      <c r="R662" s="303">
        <f t="shared" si="133"/>
        <v>1.4955461899242108</v>
      </c>
    </row>
    <row r="663" spans="1:18" x14ac:dyDescent="0.3">
      <c r="A663" s="2">
        <v>1411</v>
      </c>
      <c r="B663" s="41" t="s">
        <v>1744</v>
      </c>
      <c r="C663" s="2">
        <v>6</v>
      </c>
      <c r="D663" s="2" t="s">
        <v>16</v>
      </c>
      <c r="E663" s="294">
        <v>42200</v>
      </c>
      <c r="F663" s="296">
        <v>51533.333333333336</v>
      </c>
      <c r="G663" s="352">
        <v>0</v>
      </c>
      <c r="H663" s="296">
        <f t="shared" si="128"/>
        <v>0</v>
      </c>
      <c r="I663" s="122">
        <f t="shared" si="129"/>
        <v>0</v>
      </c>
      <c r="J663" s="331">
        <f t="shared" si="130"/>
        <v>0</v>
      </c>
      <c r="K663" s="292">
        <f>'09-RESUMEN'!$F$43/1375</f>
        <v>81431.961035221175</v>
      </c>
      <c r="L663" s="122">
        <f>('ESTADO RESULTADOS'!$C$36+'ESTADO RESULTADOS'!$C$71)/1375</f>
        <v>24762.287272727273</v>
      </c>
      <c r="M663" s="122">
        <v>0</v>
      </c>
      <c r="N663" s="122">
        <f>SUM(E663+K663+L663+M663)</f>
        <v>148394.24830794844</v>
      </c>
      <c r="O663" s="122">
        <f>N663</f>
        <v>148394.24830794844</v>
      </c>
      <c r="P663" s="336">
        <f t="shared" si="131"/>
        <v>-148394.24830794844</v>
      </c>
      <c r="Q663" s="336">
        <f t="shared" si="132"/>
        <v>106194.24830794844</v>
      </c>
      <c r="R663" s="303">
        <f t="shared" si="133"/>
        <v>2.5164513817049392</v>
      </c>
    </row>
    <row r="664" spans="1:18" x14ac:dyDescent="0.3">
      <c r="A664" s="2">
        <v>1412</v>
      </c>
      <c r="B664" s="41" t="s">
        <v>555</v>
      </c>
      <c r="C664" s="2">
        <v>12</v>
      </c>
      <c r="D664" s="2" t="s">
        <v>12</v>
      </c>
      <c r="E664" s="294">
        <v>6545</v>
      </c>
      <c r="F664" s="296">
        <v>8000</v>
      </c>
      <c r="G664" s="352">
        <v>18</v>
      </c>
      <c r="H664" s="296">
        <f t="shared" si="128"/>
        <v>117810</v>
      </c>
      <c r="I664" s="122">
        <f t="shared" si="129"/>
        <v>144000</v>
      </c>
      <c r="J664" s="331">
        <f t="shared" si="130"/>
        <v>26190</v>
      </c>
      <c r="K664" s="292">
        <f>'09-RESUMEN'!$F$43/1375</f>
        <v>81431.961035221175</v>
      </c>
      <c r="L664" s="122">
        <f>('ESTADO RESULTADOS'!$C$36+'ESTADO RESULTADOS'!$C$71)/1375</f>
        <v>24762.287272727273</v>
      </c>
      <c r="M664" s="122">
        <v>0</v>
      </c>
      <c r="N664" s="122">
        <f>SUM(H664+K664+L664+M664)</f>
        <v>224004.24830794844</v>
      </c>
      <c r="O664" s="122">
        <f>N664/G664</f>
        <v>12444.680461552691</v>
      </c>
      <c r="P664" s="336">
        <f t="shared" si="131"/>
        <v>-80004.248307948437</v>
      </c>
      <c r="Q664" s="336">
        <f t="shared" si="132"/>
        <v>5899.6804615526908</v>
      </c>
      <c r="R664" s="303">
        <f t="shared" si="133"/>
        <v>0.90140266792248902</v>
      </c>
    </row>
    <row r="665" spans="1:18" x14ac:dyDescent="0.3">
      <c r="A665" s="2">
        <v>1420</v>
      </c>
      <c r="B665" s="41" t="s">
        <v>1745</v>
      </c>
      <c r="C665" s="2">
        <v>2</v>
      </c>
      <c r="D665" s="2" t="s">
        <v>243</v>
      </c>
      <c r="E665" s="294">
        <v>91428.75</v>
      </c>
      <c r="F665" s="296">
        <v>104083.33333333333</v>
      </c>
      <c r="G665" s="352">
        <v>0</v>
      </c>
      <c r="H665" s="296">
        <f t="shared" si="128"/>
        <v>0</v>
      </c>
      <c r="I665" s="122">
        <f t="shared" si="129"/>
        <v>0</v>
      </c>
      <c r="J665" s="331">
        <f t="shared" si="130"/>
        <v>0</v>
      </c>
      <c r="K665" s="292">
        <f>'09-RESUMEN'!$F$43/1375</f>
        <v>81431.961035221175</v>
      </c>
      <c r="L665" s="122">
        <f>('ESTADO RESULTADOS'!$C$36+'ESTADO RESULTADOS'!$C$71)/1375</f>
        <v>24762.287272727273</v>
      </c>
      <c r="M665" s="122">
        <v>0</v>
      </c>
      <c r="N665" s="122">
        <f>SUM(E665+K665+L665+M665)</f>
        <v>197622.99830794844</v>
      </c>
      <c r="O665" s="122">
        <f>N665</f>
        <v>197622.99830794844</v>
      </c>
      <c r="P665" s="336">
        <f t="shared" si="131"/>
        <v>-197622.99830794844</v>
      </c>
      <c r="Q665" s="336">
        <f t="shared" si="132"/>
        <v>106194.24830794844</v>
      </c>
      <c r="R665" s="303">
        <f t="shared" si="133"/>
        <v>1.1614973223187284</v>
      </c>
    </row>
    <row r="666" spans="1:18" x14ac:dyDescent="0.3">
      <c r="A666" s="2">
        <v>1422</v>
      </c>
      <c r="B666" s="41" t="s">
        <v>557</v>
      </c>
      <c r="C666" s="2">
        <v>5</v>
      </c>
      <c r="D666" s="2" t="s">
        <v>41</v>
      </c>
      <c r="E666" s="294">
        <v>46000</v>
      </c>
      <c r="F666" s="296">
        <v>75666.666666666672</v>
      </c>
      <c r="G666" s="352">
        <v>33</v>
      </c>
      <c r="H666" s="296">
        <f t="shared" si="128"/>
        <v>1518000</v>
      </c>
      <c r="I666" s="122">
        <f t="shared" si="129"/>
        <v>2497000</v>
      </c>
      <c r="J666" s="331">
        <f t="shared" si="130"/>
        <v>979000</v>
      </c>
      <c r="K666" s="292">
        <f>'09-RESUMEN'!$F$43/1375</f>
        <v>81431.961035221175</v>
      </c>
      <c r="L666" s="122">
        <f>('ESTADO RESULTADOS'!$C$36+'ESTADO RESULTADOS'!$C$71)/1375</f>
        <v>24762.287272727273</v>
      </c>
      <c r="M666" s="122">
        <v>0</v>
      </c>
      <c r="N666" s="122">
        <f>SUM(H666+K666+L666+M666)</f>
        <v>1624194.2483079485</v>
      </c>
      <c r="O666" s="122">
        <f>N666/G666</f>
        <v>49218.007524483284</v>
      </c>
      <c r="P666" s="336">
        <f t="shared" si="131"/>
        <v>872805.75169205153</v>
      </c>
      <c r="Q666" s="336">
        <f t="shared" si="132"/>
        <v>3218.0075244832842</v>
      </c>
      <c r="R666" s="303">
        <f t="shared" si="133"/>
        <v>6.9956685314854009E-2</v>
      </c>
    </row>
    <row r="667" spans="1:18" x14ac:dyDescent="0.3">
      <c r="A667" s="2">
        <v>1427</v>
      </c>
      <c r="B667" s="41" t="s">
        <v>558</v>
      </c>
      <c r="C667" s="2">
        <v>2</v>
      </c>
      <c r="D667" s="2" t="s">
        <v>543</v>
      </c>
      <c r="E667" s="294">
        <v>3599.99</v>
      </c>
      <c r="F667" s="296">
        <v>4600</v>
      </c>
      <c r="G667" s="352">
        <v>9</v>
      </c>
      <c r="H667" s="296">
        <f t="shared" si="128"/>
        <v>32399.909999999996</v>
      </c>
      <c r="I667" s="122">
        <f t="shared" si="129"/>
        <v>41400</v>
      </c>
      <c r="J667" s="331">
        <f t="shared" si="130"/>
        <v>9000.0900000000038</v>
      </c>
      <c r="K667" s="292">
        <f>'09-RESUMEN'!$F$43/1375</f>
        <v>81431.961035221175</v>
      </c>
      <c r="L667" s="122">
        <f>('ESTADO RESULTADOS'!$C$36+'ESTADO RESULTADOS'!$C$71)/1375</f>
        <v>24762.287272727273</v>
      </c>
      <c r="M667" s="122">
        <v>0</v>
      </c>
      <c r="N667" s="122">
        <f>SUM(H667+K667+L667+M667)</f>
        <v>138594.15830794844</v>
      </c>
      <c r="O667" s="122">
        <f>N667/G667</f>
        <v>15399.350923105383</v>
      </c>
      <c r="P667" s="336">
        <f t="shared" si="131"/>
        <v>-97194.158307948441</v>
      </c>
      <c r="Q667" s="336">
        <f t="shared" si="132"/>
        <v>11799.360923105383</v>
      </c>
      <c r="R667" s="303">
        <f t="shared" si="133"/>
        <v>3.2776093608886092</v>
      </c>
    </row>
    <row r="668" spans="1:18" x14ac:dyDescent="0.3">
      <c r="A668" s="2">
        <v>1435</v>
      </c>
      <c r="B668" s="41" t="s">
        <v>559</v>
      </c>
      <c r="C668" s="2">
        <v>7</v>
      </c>
      <c r="D668" s="2" t="s">
        <v>21</v>
      </c>
      <c r="E668" s="294">
        <v>1890</v>
      </c>
      <c r="F668" s="296">
        <v>2200</v>
      </c>
      <c r="G668" s="352">
        <v>9</v>
      </c>
      <c r="H668" s="296">
        <f t="shared" si="128"/>
        <v>17010</v>
      </c>
      <c r="I668" s="122">
        <f t="shared" si="129"/>
        <v>19800</v>
      </c>
      <c r="J668" s="331">
        <f t="shared" si="130"/>
        <v>2790</v>
      </c>
      <c r="K668" s="292">
        <f>'09-RESUMEN'!$F$43/1375</f>
        <v>81431.961035221175</v>
      </c>
      <c r="L668" s="122">
        <f>('ESTADO RESULTADOS'!$C$36+'ESTADO RESULTADOS'!$C$71)/1375</f>
        <v>24762.287272727273</v>
      </c>
      <c r="M668" s="122">
        <v>0</v>
      </c>
      <c r="N668" s="122">
        <f>SUM(H668+K668+L668+M668)</f>
        <v>123204.24830794845</v>
      </c>
      <c r="O668" s="122">
        <f>N668/G668</f>
        <v>13689.360923105383</v>
      </c>
      <c r="P668" s="336">
        <f t="shared" si="131"/>
        <v>-103404.24830794845</v>
      </c>
      <c r="Q668" s="336">
        <f t="shared" si="132"/>
        <v>11799.360923105383</v>
      </c>
      <c r="R668" s="303">
        <f t="shared" si="133"/>
        <v>6.2430481074631654</v>
      </c>
    </row>
    <row r="669" spans="1:18" x14ac:dyDescent="0.3">
      <c r="A669" s="2">
        <v>1436</v>
      </c>
      <c r="B669" s="41" t="s">
        <v>1746</v>
      </c>
      <c r="C669" s="2">
        <v>5</v>
      </c>
      <c r="D669" s="2" t="s">
        <v>27</v>
      </c>
      <c r="E669" s="294">
        <v>153000</v>
      </c>
      <c r="F669" s="296">
        <v>172000</v>
      </c>
      <c r="G669" s="352">
        <v>0</v>
      </c>
      <c r="H669" s="296">
        <f t="shared" si="128"/>
        <v>0</v>
      </c>
      <c r="I669" s="122">
        <f t="shared" si="129"/>
        <v>0</v>
      </c>
      <c r="J669" s="331">
        <f t="shared" si="130"/>
        <v>0</v>
      </c>
      <c r="K669" s="292">
        <f>'09-RESUMEN'!$F$43/1375</f>
        <v>81431.961035221175</v>
      </c>
      <c r="L669" s="122">
        <f>('ESTADO RESULTADOS'!$C$36+'ESTADO RESULTADOS'!$C$71)/1375</f>
        <v>24762.287272727273</v>
      </c>
      <c r="M669" s="122">
        <v>0</v>
      </c>
      <c r="N669" s="122">
        <f>SUM(E669+K669+L669+M669)</f>
        <v>259194.24830794844</v>
      </c>
      <c r="O669" s="122">
        <f>N669</f>
        <v>259194.24830794844</v>
      </c>
      <c r="P669" s="336">
        <f t="shared" si="131"/>
        <v>-259194.24830794844</v>
      </c>
      <c r="Q669" s="336">
        <f t="shared" si="132"/>
        <v>106194.24830794844</v>
      </c>
      <c r="R669" s="303">
        <f t="shared" si="133"/>
        <v>0.69408005430031661</v>
      </c>
    </row>
    <row r="670" spans="1:18" x14ac:dyDescent="0.3">
      <c r="A670" s="2">
        <v>1439</v>
      </c>
      <c r="B670" s="41" t="s">
        <v>560</v>
      </c>
      <c r="C670" s="2">
        <v>5</v>
      </c>
      <c r="D670" s="2" t="s">
        <v>23</v>
      </c>
      <c r="E670" s="294">
        <v>39000</v>
      </c>
      <c r="F670" s="296">
        <v>46000</v>
      </c>
      <c r="G670" s="352">
        <v>2</v>
      </c>
      <c r="H670" s="296">
        <f t="shared" si="128"/>
        <v>78000</v>
      </c>
      <c r="I670" s="122">
        <f t="shared" si="129"/>
        <v>92000</v>
      </c>
      <c r="J670" s="331">
        <f t="shared" si="130"/>
        <v>14000</v>
      </c>
      <c r="K670" s="292">
        <f>'09-RESUMEN'!$F$43/1375</f>
        <v>81431.961035221175</v>
      </c>
      <c r="L670" s="122">
        <f>('ESTADO RESULTADOS'!$C$36+'ESTADO RESULTADOS'!$C$71)/1375</f>
        <v>24762.287272727273</v>
      </c>
      <c r="M670" s="122">
        <v>0</v>
      </c>
      <c r="N670" s="122">
        <f>SUM(H670+K670+L670+M670)</f>
        <v>184194.24830794844</v>
      </c>
      <c r="O670" s="122">
        <f>N670/G670</f>
        <v>92097.124153974219</v>
      </c>
      <c r="P670" s="336">
        <f t="shared" si="131"/>
        <v>-92194.248307948437</v>
      </c>
      <c r="Q670" s="336">
        <f t="shared" si="132"/>
        <v>53097.124153974219</v>
      </c>
      <c r="R670" s="303">
        <f t="shared" si="133"/>
        <v>1.3614647218967748</v>
      </c>
    </row>
    <row r="671" spans="1:18" x14ac:dyDescent="0.3">
      <c r="A671" s="2">
        <v>1444</v>
      </c>
      <c r="B671" s="41" t="s">
        <v>561</v>
      </c>
      <c r="C671" s="2">
        <v>2</v>
      </c>
      <c r="D671" s="2" t="s">
        <v>5</v>
      </c>
      <c r="E671" s="294">
        <v>38799.999000000003</v>
      </c>
      <c r="F671" s="296">
        <v>42600</v>
      </c>
      <c r="G671" s="352">
        <v>3</v>
      </c>
      <c r="H671" s="296">
        <f t="shared" si="128"/>
        <v>116399.997</v>
      </c>
      <c r="I671" s="122">
        <f t="shared" si="129"/>
        <v>127800</v>
      </c>
      <c r="J671" s="331">
        <f t="shared" si="130"/>
        <v>11400.002999999997</v>
      </c>
      <c r="K671" s="292">
        <f>'09-RESUMEN'!$F$43/1375</f>
        <v>81431.961035221175</v>
      </c>
      <c r="L671" s="122">
        <f>('ESTADO RESULTADOS'!$C$36+'ESTADO RESULTADOS'!$C$71)/1375</f>
        <v>24762.287272727273</v>
      </c>
      <c r="M671" s="122">
        <v>0</v>
      </c>
      <c r="N671" s="122">
        <f>SUM(H671+K671+L671+M671)</f>
        <v>222594.24530794844</v>
      </c>
      <c r="O671" s="122">
        <f>N671/G671</f>
        <v>74198.081769316152</v>
      </c>
      <c r="P671" s="336">
        <f t="shared" si="131"/>
        <v>-94794.24530794844</v>
      </c>
      <c r="Q671" s="336">
        <f t="shared" si="132"/>
        <v>35398.082769316148</v>
      </c>
      <c r="R671" s="303">
        <f t="shared" si="133"/>
        <v>0.91232174437211055</v>
      </c>
    </row>
    <row r="672" spans="1:18" x14ac:dyDescent="0.3">
      <c r="A672" s="2">
        <v>1454</v>
      </c>
      <c r="B672" s="41" t="s">
        <v>1747</v>
      </c>
      <c r="C672" s="2">
        <v>1</v>
      </c>
      <c r="D672" s="2" t="s">
        <v>237</v>
      </c>
      <c r="E672" s="294">
        <v>65930</v>
      </c>
      <c r="F672" s="296">
        <v>90000</v>
      </c>
      <c r="G672" s="352">
        <v>4</v>
      </c>
      <c r="H672" s="296">
        <f t="shared" si="128"/>
        <v>263720</v>
      </c>
      <c r="I672" s="122">
        <f t="shared" si="129"/>
        <v>360000</v>
      </c>
      <c r="J672" s="331">
        <f t="shared" si="130"/>
        <v>96280</v>
      </c>
      <c r="K672" s="292">
        <f>'09-RESUMEN'!$F$43/1375</f>
        <v>81431.961035221175</v>
      </c>
      <c r="L672" s="122">
        <f>('ESTADO RESULTADOS'!$C$36+'ESTADO RESULTADOS'!$C$71)/1375</f>
        <v>24762.287272727273</v>
      </c>
      <c r="M672" s="122">
        <v>0</v>
      </c>
      <c r="N672" s="122">
        <f>SUM(H672+K672+L672+M672)</f>
        <v>369914.24830794847</v>
      </c>
      <c r="O672" s="122">
        <f>N672/G672</f>
        <v>92478.562076987117</v>
      </c>
      <c r="P672" s="336">
        <f t="shared" si="131"/>
        <v>-9914.2483079484664</v>
      </c>
      <c r="Q672" s="336">
        <f t="shared" si="132"/>
        <v>26548.562076987117</v>
      </c>
      <c r="R672" s="303">
        <f t="shared" si="133"/>
        <v>0.40267802331240887</v>
      </c>
    </row>
    <row r="673" spans="1:18" x14ac:dyDescent="0.3">
      <c r="A673" s="2">
        <v>1456</v>
      </c>
      <c r="B673" s="41" t="s">
        <v>1748</v>
      </c>
      <c r="C673" s="2">
        <v>1</v>
      </c>
      <c r="D673" s="2" t="s">
        <v>5</v>
      </c>
      <c r="E673" s="294">
        <v>6238.4444000000003</v>
      </c>
      <c r="F673" s="296">
        <v>9800</v>
      </c>
      <c r="G673" s="352">
        <v>0</v>
      </c>
      <c r="H673" s="296">
        <f t="shared" si="128"/>
        <v>0</v>
      </c>
      <c r="I673" s="122">
        <f t="shared" si="129"/>
        <v>0</v>
      </c>
      <c r="J673" s="331">
        <f t="shared" si="130"/>
        <v>0</v>
      </c>
      <c r="K673" s="292">
        <f>'09-RESUMEN'!$F$43/1375</f>
        <v>81431.961035221175</v>
      </c>
      <c r="L673" s="122">
        <f>('ESTADO RESULTADOS'!$C$36+'ESTADO RESULTADOS'!$C$71)/1375</f>
        <v>24762.287272727273</v>
      </c>
      <c r="M673" s="122">
        <v>0</v>
      </c>
      <c r="N673" s="122">
        <f>SUM(E673+K673+L673+M673)</f>
        <v>112432.69270794846</v>
      </c>
      <c r="O673" s="122">
        <f>N673</f>
        <v>112432.69270794846</v>
      </c>
      <c r="P673" s="336">
        <f t="shared" si="131"/>
        <v>-112432.69270794846</v>
      </c>
      <c r="Q673" s="336">
        <f t="shared" si="132"/>
        <v>106194.24830794847</v>
      </c>
      <c r="R673" s="303">
        <f t="shared" si="133"/>
        <v>17.022552658792385</v>
      </c>
    </row>
    <row r="674" spans="1:18" x14ac:dyDescent="0.3">
      <c r="A674" s="2">
        <v>1462</v>
      </c>
      <c r="B674" s="41" t="s">
        <v>562</v>
      </c>
      <c r="C674" s="2">
        <v>12</v>
      </c>
      <c r="D674" s="2" t="s">
        <v>12</v>
      </c>
      <c r="E674" s="294">
        <v>8500.17</v>
      </c>
      <c r="F674" s="296">
        <v>11000</v>
      </c>
      <c r="G674" s="352">
        <v>1</v>
      </c>
      <c r="H674" s="296">
        <f t="shared" si="128"/>
        <v>8500.17</v>
      </c>
      <c r="I674" s="122">
        <f t="shared" si="129"/>
        <v>11000</v>
      </c>
      <c r="J674" s="331">
        <f t="shared" si="130"/>
        <v>2499.83</v>
      </c>
      <c r="K674" s="292">
        <f>'09-RESUMEN'!$F$43/1375</f>
        <v>81431.961035221175</v>
      </c>
      <c r="L674" s="122">
        <f>('ESTADO RESULTADOS'!$C$36+'ESTADO RESULTADOS'!$C$71)/1375</f>
        <v>24762.287272727273</v>
      </c>
      <c r="M674" s="122">
        <v>0</v>
      </c>
      <c r="N674" s="122">
        <f>SUM(H674+K674+L674+M674)</f>
        <v>114694.41830794845</v>
      </c>
      <c r="O674" s="122">
        <f>N674/G674</f>
        <v>114694.41830794845</v>
      </c>
      <c r="P674" s="336">
        <f t="shared" si="131"/>
        <v>-103694.41830794845</v>
      </c>
      <c r="Q674" s="336">
        <f t="shared" si="132"/>
        <v>106194.24830794845</v>
      </c>
      <c r="R674" s="303">
        <f t="shared" si="133"/>
        <v>12.493191113583428</v>
      </c>
    </row>
    <row r="675" spans="1:18" x14ac:dyDescent="0.3">
      <c r="A675" s="2">
        <v>1463</v>
      </c>
      <c r="B675" s="41" t="s">
        <v>1749</v>
      </c>
      <c r="C675" s="2">
        <v>12</v>
      </c>
      <c r="D675" s="2" t="s">
        <v>12</v>
      </c>
      <c r="E675" s="294">
        <v>10710</v>
      </c>
      <c r="F675" s="296">
        <v>14500</v>
      </c>
      <c r="G675" s="352">
        <v>2</v>
      </c>
      <c r="H675" s="296">
        <f t="shared" si="128"/>
        <v>21420</v>
      </c>
      <c r="I675" s="122">
        <f t="shared" si="129"/>
        <v>29000</v>
      </c>
      <c r="J675" s="331">
        <f t="shared" si="130"/>
        <v>7580</v>
      </c>
      <c r="K675" s="292">
        <f>'09-RESUMEN'!$F$43/1375</f>
        <v>81431.961035221175</v>
      </c>
      <c r="L675" s="122">
        <f>('ESTADO RESULTADOS'!$C$36+'ESTADO RESULTADOS'!$C$71)/1375</f>
        <v>24762.287272727273</v>
      </c>
      <c r="M675" s="122">
        <v>0</v>
      </c>
      <c r="N675" s="122">
        <f>SUM(H675+K675+L675+M675)</f>
        <v>127614.24830794845</v>
      </c>
      <c r="O675" s="122">
        <f>N675/G675</f>
        <v>63807.124153974226</v>
      </c>
      <c r="P675" s="336">
        <f t="shared" si="131"/>
        <v>-98614.248307948452</v>
      </c>
      <c r="Q675" s="336">
        <f t="shared" si="132"/>
        <v>53097.124153974226</v>
      </c>
      <c r="R675" s="303">
        <f t="shared" si="133"/>
        <v>4.9577146735736903</v>
      </c>
    </row>
    <row r="676" spans="1:18" x14ac:dyDescent="0.3">
      <c r="A676" s="2">
        <v>1464</v>
      </c>
      <c r="B676" s="41" t="s">
        <v>563</v>
      </c>
      <c r="C676" s="2">
        <v>12</v>
      </c>
      <c r="D676" s="2" t="s">
        <v>12</v>
      </c>
      <c r="E676" s="294">
        <v>952</v>
      </c>
      <c r="F676" s="296">
        <v>1200</v>
      </c>
      <c r="G676" s="352">
        <v>3</v>
      </c>
      <c r="H676" s="296">
        <f t="shared" si="128"/>
        <v>2856</v>
      </c>
      <c r="I676" s="122">
        <f t="shared" si="129"/>
        <v>3600</v>
      </c>
      <c r="J676" s="331">
        <f t="shared" si="130"/>
        <v>744</v>
      </c>
      <c r="K676" s="292">
        <f>'09-RESUMEN'!$F$43/1375</f>
        <v>81431.961035221175</v>
      </c>
      <c r="L676" s="122">
        <f>('ESTADO RESULTADOS'!$C$36+'ESTADO RESULTADOS'!$C$71)/1375</f>
        <v>24762.287272727273</v>
      </c>
      <c r="M676" s="122">
        <v>0</v>
      </c>
      <c r="N676" s="122">
        <f>SUM(H676+K676+L676+M676)</f>
        <v>109050.24830794845</v>
      </c>
      <c r="O676" s="122">
        <f>N676/G676</f>
        <v>36350.082769316148</v>
      </c>
      <c r="P676" s="336">
        <f t="shared" si="131"/>
        <v>-105450.24830794845</v>
      </c>
      <c r="Q676" s="336">
        <f t="shared" si="132"/>
        <v>35398.082769316148</v>
      </c>
      <c r="R676" s="303">
        <f t="shared" si="133"/>
        <v>37.182860051802678</v>
      </c>
    </row>
    <row r="677" spans="1:18" x14ac:dyDescent="0.3">
      <c r="A677" s="2">
        <v>1465</v>
      </c>
      <c r="B677" s="41" t="s">
        <v>564</v>
      </c>
      <c r="C677" s="2">
        <v>8</v>
      </c>
      <c r="D677" s="2" t="s">
        <v>16</v>
      </c>
      <c r="E677" s="294">
        <v>44931</v>
      </c>
      <c r="F677" s="296">
        <v>52400</v>
      </c>
      <c r="G677" s="352">
        <v>20</v>
      </c>
      <c r="H677" s="296">
        <f t="shared" si="128"/>
        <v>898620</v>
      </c>
      <c r="I677" s="122">
        <f t="shared" si="129"/>
        <v>1048000</v>
      </c>
      <c r="J677" s="331">
        <f t="shared" si="130"/>
        <v>149380</v>
      </c>
      <c r="K677" s="292">
        <f>'09-RESUMEN'!$F$43/1375</f>
        <v>81431.961035221175</v>
      </c>
      <c r="L677" s="122">
        <f>('ESTADO RESULTADOS'!$C$36+'ESTADO RESULTADOS'!$C$71)/1375</f>
        <v>24762.287272727273</v>
      </c>
      <c r="M677" s="122">
        <v>0</v>
      </c>
      <c r="N677" s="122">
        <f>SUM(H677+K677+L677+M677)</f>
        <v>1004814.2483079483</v>
      </c>
      <c r="O677" s="122">
        <f>N677/G677</f>
        <v>50240.712415397415</v>
      </c>
      <c r="P677" s="336">
        <f t="shared" si="131"/>
        <v>43185.75169205165</v>
      </c>
      <c r="Q677" s="336">
        <f t="shared" si="132"/>
        <v>5309.7124153974146</v>
      </c>
      <c r="R677" s="303">
        <f t="shared" si="133"/>
        <v>0.11817481060731821</v>
      </c>
    </row>
    <row r="678" spans="1:18" x14ac:dyDescent="0.3">
      <c r="A678" s="2">
        <v>1467</v>
      </c>
      <c r="B678" s="41" t="s">
        <v>565</v>
      </c>
      <c r="C678" s="2">
        <v>14</v>
      </c>
      <c r="D678" s="2" t="s">
        <v>32</v>
      </c>
      <c r="E678" s="294">
        <v>15383</v>
      </c>
      <c r="F678" s="296">
        <v>19000</v>
      </c>
      <c r="G678" s="352">
        <v>0</v>
      </c>
      <c r="H678" s="296">
        <f t="shared" si="128"/>
        <v>0</v>
      </c>
      <c r="I678" s="122">
        <f t="shared" si="129"/>
        <v>0</v>
      </c>
      <c r="J678" s="331">
        <f t="shared" si="130"/>
        <v>0</v>
      </c>
      <c r="K678" s="292">
        <f>'09-RESUMEN'!$F$43/1375</f>
        <v>81431.961035221175</v>
      </c>
      <c r="L678" s="122">
        <f>('ESTADO RESULTADOS'!$C$36+'ESTADO RESULTADOS'!$C$71)/1375</f>
        <v>24762.287272727273</v>
      </c>
      <c r="M678" s="122">
        <v>0</v>
      </c>
      <c r="N678" s="122">
        <f>SUM(E678+K678+L678+M678)</f>
        <v>121577.24830794845</v>
      </c>
      <c r="O678" s="122">
        <f>N678</f>
        <v>121577.24830794845</v>
      </c>
      <c r="P678" s="336">
        <f t="shared" si="131"/>
        <v>-121577.24830794845</v>
      </c>
      <c r="Q678" s="336">
        <f t="shared" si="132"/>
        <v>106194.24830794845</v>
      </c>
      <c r="R678" s="303">
        <f t="shared" si="133"/>
        <v>6.9033509918707958</v>
      </c>
    </row>
    <row r="679" spans="1:18" x14ac:dyDescent="0.3">
      <c r="A679" s="2">
        <v>1468</v>
      </c>
      <c r="B679" s="41" t="s">
        <v>566</v>
      </c>
      <c r="C679" s="2">
        <v>7</v>
      </c>
      <c r="D679" s="2" t="s">
        <v>160</v>
      </c>
      <c r="E679" s="294">
        <v>1190</v>
      </c>
      <c r="F679" s="296">
        <v>1550</v>
      </c>
      <c r="G679" s="352">
        <v>29</v>
      </c>
      <c r="H679" s="296">
        <f t="shared" si="128"/>
        <v>34510</v>
      </c>
      <c r="I679" s="122">
        <f t="shared" si="129"/>
        <v>44950</v>
      </c>
      <c r="J679" s="331">
        <f t="shared" si="130"/>
        <v>10440</v>
      </c>
      <c r="K679" s="292">
        <f>'09-RESUMEN'!$F$43/1375</f>
        <v>81431.961035221175</v>
      </c>
      <c r="L679" s="122">
        <f>('ESTADO RESULTADOS'!$C$36+'ESTADO RESULTADOS'!$C$71)/1375</f>
        <v>24762.287272727273</v>
      </c>
      <c r="M679" s="122">
        <v>0</v>
      </c>
      <c r="N679" s="122">
        <f>SUM(H679+K679+L679+M679)</f>
        <v>140704.24830794844</v>
      </c>
      <c r="O679" s="122">
        <f>N679/G679</f>
        <v>4851.8706313085668</v>
      </c>
      <c r="P679" s="336">
        <f t="shared" si="131"/>
        <v>-95754.248307948437</v>
      </c>
      <c r="Q679" s="336">
        <f t="shared" si="132"/>
        <v>3661.8706313085668</v>
      </c>
      <c r="R679" s="303">
        <f t="shared" si="133"/>
        <v>3.0772022111836694</v>
      </c>
    </row>
    <row r="680" spans="1:18" x14ac:dyDescent="0.3">
      <c r="A680" s="2">
        <v>1470</v>
      </c>
      <c r="B680" s="41" t="s">
        <v>1750</v>
      </c>
      <c r="C680" s="2">
        <v>7</v>
      </c>
      <c r="D680" s="2" t="s">
        <v>12</v>
      </c>
      <c r="E680" s="294">
        <v>1200</v>
      </c>
      <c r="F680" s="296">
        <v>1900</v>
      </c>
      <c r="G680" s="352">
        <v>0</v>
      </c>
      <c r="H680" s="296">
        <f t="shared" si="128"/>
        <v>0</v>
      </c>
      <c r="I680" s="122">
        <f t="shared" si="129"/>
        <v>0</v>
      </c>
      <c r="J680" s="331">
        <f t="shared" si="130"/>
        <v>0</v>
      </c>
      <c r="K680" s="292">
        <f>'09-RESUMEN'!$F$43/1375</f>
        <v>81431.961035221175</v>
      </c>
      <c r="L680" s="122">
        <f>('ESTADO RESULTADOS'!$C$36+'ESTADO RESULTADOS'!$C$71)/1375</f>
        <v>24762.287272727273</v>
      </c>
      <c r="M680" s="122">
        <v>0</v>
      </c>
      <c r="N680" s="122">
        <f>SUM(E680+K680+L680+M680)</f>
        <v>107394.24830794845</v>
      </c>
      <c r="O680" s="122">
        <f>N680</f>
        <v>107394.24830794845</v>
      </c>
      <c r="P680" s="336">
        <f t="shared" si="131"/>
        <v>-107394.24830794845</v>
      </c>
      <c r="Q680" s="336">
        <f t="shared" si="132"/>
        <v>106194.24830794845</v>
      </c>
      <c r="R680" s="303">
        <f t="shared" si="133"/>
        <v>88.495206923290382</v>
      </c>
    </row>
    <row r="681" spans="1:18" x14ac:dyDescent="0.3">
      <c r="A681" s="2">
        <v>1473</v>
      </c>
      <c r="B681" s="41" t="s">
        <v>567</v>
      </c>
      <c r="C681" s="2">
        <v>2</v>
      </c>
      <c r="D681" s="2" t="s">
        <v>5</v>
      </c>
      <c r="E681" s="294">
        <v>38225.25</v>
      </c>
      <c r="F681" s="296">
        <v>44467</v>
      </c>
      <c r="G681" s="352">
        <v>22</v>
      </c>
      <c r="H681" s="296">
        <f t="shared" si="128"/>
        <v>840955.5</v>
      </c>
      <c r="I681" s="122">
        <f t="shared" si="129"/>
        <v>978274</v>
      </c>
      <c r="J681" s="331">
        <f t="shared" si="130"/>
        <v>137318.5</v>
      </c>
      <c r="K681" s="292">
        <f>'09-RESUMEN'!$F$43/1375</f>
        <v>81431.961035221175</v>
      </c>
      <c r="L681" s="122">
        <f>('ESTADO RESULTADOS'!$C$36+'ESTADO RESULTADOS'!$C$71)/1375</f>
        <v>24762.287272727273</v>
      </c>
      <c r="M681" s="122">
        <v>0</v>
      </c>
      <c r="N681" s="122">
        <f>SUM(H681+K681+L681+M681)</f>
        <v>947149.74830794835</v>
      </c>
      <c r="O681" s="122">
        <f>N681/G681</f>
        <v>43052.261286724926</v>
      </c>
      <c r="P681" s="336">
        <f t="shared" si="131"/>
        <v>31124.25169205165</v>
      </c>
      <c r="Q681" s="336">
        <f t="shared" si="132"/>
        <v>4827.0112867249263</v>
      </c>
      <c r="R681" s="303">
        <f t="shared" si="133"/>
        <v>0.12627808285687933</v>
      </c>
    </row>
    <row r="682" spans="1:18" x14ac:dyDescent="0.3">
      <c r="A682" s="2">
        <v>1474</v>
      </c>
      <c r="B682" s="41" t="s">
        <v>568</v>
      </c>
      <c r="C682" s="2">
        <v>2</v>
      </c>
      <c r="D682" s="2" t="s">
        <v>554</v>
      </c>
      <c r="E682" s="294">
        <v>94244</v>
      </c>
      <c r="F682" s="296">
        <v>105433</v>
      </c>
      <c r="G682" s="352">
        <v>445</v>
      </c>
      <c r="H682" s="296">
        <f t="shared" si="128"/>
        <v>41938580</v>
      </c>
      <c r="I682" s="122">
        <f t="shared" si="129"/>
        <v>46917685</v>
      </c>
      <c r="J682" s="331">
        <f t="shared" si="130"/>
        <v>4979105</v>
      </c>
      <c r="K682" s="292">
        <f>'09-RESUMEN'!$F$43/1375</f>
        <v>81431.961035221175</v>
      </c>
      <c r="L682" s="122">
        <f>('ESTADO RESULTADOS'!$C$36+'ESTADO RESULTADOS'!$C$71)/1375</f>
        <v>24762.287272727273</v>
      </c>
      <c r="M682" s="122">
        <v>0</v>
      </c>
      <c r="N682" s="122">
        <f>SUM(H682+K682+L682+M682)</f>
        <v>42044774.248307951</v>
      </c>
      <c r="O682" s="122">
        <f>N682/G682</f>
        <v>94482.638760242582</v>
      </c>
      <c r="P682" s="336">
        <f t="shared" si="131"/>
        <v>4872910.7516920492</v>
      </c>
      <c r="Q682" s="336">
        <f t="shared" si="132"/>
        <v>238.63876024258207</v>
      </c>
      <c r="R682" s="303">
        <f t="shared" si="133"/>
        <v>2.532137433073533E-3</v>
      </c>
    </row>
    <row r="683" spans="1:18" x14ac:dyDescent="0.3">
      <c r="A683" s="2">
        <v>1477</v>
      </c>
      <c r="B683" s="41" t="s">
        <v>1751</v>
      </c>
      <c r="C683" s="2">
        <v>9</v>
      </c>
      <c r="D683" s="2" t="s">
        <v>12</v>
      </c>
      <c r="E683" s="294">
        <v>59.5</v>
      </c>
      <c r="F683" s="296">
        <v>100</v>
      </c>
      <c r="G683" s="352">
        <v>0</v>
      </c>
      <c r="H683" s="296">
        <f t="shared" si="128"/>
        <v>0</v>
      </c>
      <c r="I683" s="122">
        <f t="shared" si="129"/>
        <v>0</v>
      </c>
      <c r="J683" s="331">
        <f t="shared" si="130"/>
        <v>0</v>
      </c>
      <c r="K683" s="292">
        <f>'09-RESUMEN'!$F$43/1375</f>
        <v>81431.961035221175</v>
      </c>
      <c r="L683" s="122">
        <f>('ESTADO RESULTADOS'!$C$36+'ESTADO RESULTADOS'!$C$71)/1375</f>
        <v>24762.287272727273</v>
      </c>
      <c r="M683" s="122">
        <v>0</v>
      </c>
      <c r="N683" s="122">
        <f>SUM(E683+K683+L683+M683)</f>
        <v>106253.74830794845</v>
      </c>
      <c r="O683" s="122">
        <f>N683</f>
        <v>106253.74830794845</v>
      </c>
      <c r="P683" s="336">
        <f t="shared" si="131"/>
        <v>-106253.74830794845</v>
      </c>
      <c r="Q683" s="336">
        <f t="shared" si="132"/>
        <v>106194.24830794845</v>
      </c>
      <c r="R683" s="303">
        <f t="shared" si="133"/>
        <v>1784.7772824865285</v>
      </c>
    </row>
    <row r="684" spans="1:18" x14ac:dyDescent="0.3">
      <c r="A684" s="2">
        <v>1478</v>
      </c>
      <c r="B684" s="41" t="s">
        <v>1752</v>
      </c>
      <c r="C684" s="2">
        <v>2</v>
      </c>
      <c r="D684" s="2" t="s">
        <v>237</v>
      </c>
      <c r="E684" s="294">
        <v>61652.85</v>
      </c>
      <c r="F684" s="296">
        <v>74733.333333333328</v>
      </c>
      <c r="G684" s="352">
        <v>5</v>
      </c>
      <c r="H684" s="296">
        <f t="shared" si="128"/>
        <v>308264.25</v>
      </c>
      <c r="I684" s="122">
        <f t="shared" si="129"/>
        <v>373666.66666666663</v>
      </c>
      <c r="J684" s="331">
        <f t="shared" si="130"/>
        <v>65402.416666666628</v>
      </c>
      <c r="K684" s="292">
        <f>'09-RESUMEN'!$F$43/1375</f>
        <v>81431.961035221175</v>
      </c>
      <c r="L684" s="122">
        <f>('ESTADO RESULTADOS'!$C$36+'ESTADO RESULTADOS'!$C$71)/1375</f>
        <v>24762.287272727273</v>
      </c>
      <c r="M684" s="122">
        <v>0</v>
      </c>
      <c r="N684" s="122">
        <f>SUM(H684+K684+L684+M684)</f>
        <v>414458.49830794847</v>
      </c>
      <c r="O684" s="122">
        <f>N684/G684</f>
        <v>82891.699661589693</v>
      </c>
      <c r="P684" s="336">
        <f t="shared" si="131"/>
        <v>-40791.831641281839</v>
      </c>
      <c r="Q684" s="336">
        <f t="shared" si="132"/>
        <v>21238.849661589695</v>
      </c>
      <c r="R684" s="303">
        <f t="shared" si="133"/>
        <v>0.34449096289287023</v>
      </c>
    </row>
    <row r="685" spans="1:18" x14ac:dyDescent="0.3">
      <c r="A685" s="2">
        <v>1485</v>
      </c>
      <c r="B685" s="41" t="s">
        <v>1753</v>
      </c>
      <c r="C685" s="2">
        <v>2</v>
      </c>
      <c r="D685" s="2" t="s">
        <v>5</v>
      </c>
      <c r="E685" s="294">
        <v>37701.300000000003</v>
      </c>
      <c r="F685" s="296">
        <v>46400</v>
      </c>
      <c r="G685" s="352">
        <v>0</v>
      </c>
      <c r="H685" s="296">
        <f t="shared" si="128"/>
        <v>0</v>
      </c>
      <c r="I685" s="122">
        <f t="shared" si="129"/>
        <v>0</v>
      </c>
      <c r="J685" s="331">
        <f t="shared" si="130"/>
        <v>0</v>
      </c>
      <c r="K685" s="292">
        <f>'09-RESUMEN'!$F$43/1375</f>
        <v>81431.961035221175</v>
      </c>
      <c r="L685" s="122">
        <f>('ESTADO RESULTADOS'!$C$36+'ESTADO RESULTADOS'!$C$71)/1375</f>
        <v>24762.287272727273</v>
      </c>
      <c r="M685" s="122">
        <v>0</v>
      </c>
      <c r="N685" s="122">
        <f>SUM(E685+K685+L685+M685)</f>
        <v>143895.54830794845</v>
      </c>
      <c r="O685" s="122">
        <f>N685</f>
        <v>143895.54830794845</v>
      </c>
      <c r="P685" s="336">
        <f t="shared" si="131"/>
        <v>-143895.54830794845</v>
      </c>
      <c r="Q685" s="336">
        <f t="shared" si="132"/>
        <v>106194.24830794845</v>
      </c>
      <c r="R685" s="303">
        <f t="shared" si="133"/>
        <v>2.8167264340473257</v>
      </c>
    </row>
    <row r="686" spans="1:18" x14ac:dyDescent="0.3">
      <c r="A686" s="2">
        <v>1492</v>
      </c>
      <c r="B686" s="41" t="s">
        <v>569</v>
      </c>
      <c r="C686" s="2">
        <v>2</v>
      </c>
      <c r="D686" s="2" t="s">
        <v>556</v>
      </c>
      <c r="E686" s="294">
        <v>132352.92000000001</v>
      </c>
      <c r="F686" s="296">
        <v>146666.66666666666</v>
      </c>
      <c r="G686" s="352">
        <v>6</v>
      </c>
      <c r="H686" s="296">
        <f t="shared" si="128"/>
        <v>794117.52</v>
      </c>
      <c r="I686" s="122">
        <f t="shared" si="129"/>
        <v>880000</v>
      </c>
      <c r="J686" s="331">
        <f t="shared" si="130"/>
        <v>85882.479999999981</v>
      </c>
      <c r="K686" s="292">
        <f>'09-RESUMEN'!$F$43/1375</f>
        <v>81431.961035221175</v>
      </c>
      <c r="L686" s="122">
        <f>('ESTADO RESULTADOS'!$C$36+'ESTADO RESULTADOS'!$C$71)/1375</f>
        <v>24762.287272727273</v>
      </c>
      <c r="M686" s="122">
        <v>0</v>
      </c>
      <c r="N686" s="122">
        <f>SUM(H686+K686+L686+M686)</f>
        <v>900311.76830794837</v>
      </c>
      <c r="O686" s="122">
        <f>N686/G686</f>
        <v>150051.96138465806</v>
      </c>
      <c r="P686" s="336">
        <f t="shared" si="131"/>
        <v>-20311.768307948369</v>
      </c>
      <c r="Q686" s="336">
        <f t="shared" si="132"/>
        <v>17699.041384658049</v>
      </c>
      <c r="R686" s="303">
        <f t="shared" si="133"/>
        <v>0.1337261118580387</v>
      </c>
    </row>
    <row r="687" spans="1:18" x14ac:dyDescent="0.3">
      <c r="A687" s="2">
        <v>1494</v>
      </c>
      <c r="B687" s="41" t="s">
        <v>1754</v>
      </c>
      <c r="C687" s="2">
        <v>5</v>
      </c>
      <c r="D687" s="2" t="s">
        <v>913</v>
      </c>
      <c r="E687" s="294">
        <v>55325.58</v>
      </c>
      <c r="F687" s="296">
        <v>63000</v>
      </c>
      <c r="G687" s="352">
        <v>0</v>
      </c>
      <c r="H687" s="296">
        <f t="shared" si="128"/>
        <v>0</v>
      </c>
      <c r="I687" s="122">
        <f t="shared" si="129"/>
        <v>0</v>
      </c>
      <c r="J687" s="331">
        <f t="shared" si="130"/>
        <v>0</v>
      </c>
      <c r="K687" s="292">
        <f>'09-RESUMEN'!$F$43/1375</f>
        <v>81431.961035221175</v>
      </c>
      <c r="L687" s="122">
        <f>('ESTADO RESULTADOS'!$C$36+'ESTADO RESULTADOS'!$C$71)/1375</f>
        <v>24762.287272727273</v>
      </c>
      <c r="M687" s="122">
        <v>0</v>
      </c>
      <c r="N687" s="122">
        <f>SUM(E687+K687+L687+M687)</f>
        <v>161519.82830794845</v>
      </c>
      <c r="O687" s="122">
        <f>N687</f>
        <v>161519.82830794845</v>
      </c>
      <c r="P687" s="336">
        <f t="shared" si="131"/>
        <v>-161519.82830794845</v>
      </c>
      <c r="Q687" s="336">
        <f t="shared" si="132"/>
        <v>106194.24830794845</v>
      </c>
      <c r="R687" s="303">
        <f t="shared" si="133"/>
        <v>1.9194421153460741</v>
      </c>
    </row>
    <row r="688" spans="1:18" x14ac:dyDescent="0.3">
      <c r="A688" s="2">
        <v>1495</v>
      </c>
      <c r="B688" s="41" t="s">
        <v>570</v>
      </c>
      <c r="C688" s="2">
        <v>4</v>
      </c>
      <c r="D688" s="2" t="s">
        <v>81</v>
      </c>
      <c r="E688" s="294">
        <v>27968.76</v>
      </c>
      <c r="F688" s="296">
        <v>34133.333333333336</v>
      </c>
      <c r="G688" s="352">
        <v>9</v>
      </c>
      <c r="H688" s="296">
        <f t="shared" si="128"/>
        <v>251718.84</v>
      </c>
      <c r="I688" s="122">
        <f t="shared" si="129"/>
        <v>307200</v>
      </c>
      <c r="J688" s="331">
        <f t="shared" si="130"/>
        <v>55481.16</v>
      </c>
      <c r="K688" s="292">
        <f>'09-RESUMEN'!$F$43/1375</f>
        <v>81431.961035221175</v>
      </c>
      <c r="L688" s="122">
        <f>('ESTADO RESULTADOS'!$C$36+'ESTADO RESULTADOS'!$C$71)/1375</f>
        <v>24762.287272727273</v>
      </c>
      <c r="M688" s="122">
        <v>0</v>
      </c>
      <c r="N688" s="122">
        <f t="shared" ref="N688:N695" si="134">SUM(H688+K688+L688+M688)</f>
        <v>357913.08830794849</v>
      </c>
      <c r="O688" s="122">
        <f t="shared" ref="O688:O695" si="135">N688/G688</f>
        <v>39768.120923105387</v>
      </c>
      <c r="P688" s="336">
        <f t="shared" si="131"/>
        <v>-50713.088307948492</v>
      </c>
      <c r="Q688" s="336">
        <f t="shared" si="132"/>
        <v>11799.360923105389</v>
      </c>
      <c r="R688" s="303">
        <f t="shared" si="133"/>
        <v>0.42187644082559933</v>
      </c>
    </row>
    <row r="689" spans="1:18" x14ac:dyDescent="0.3">
      <c r="A689" s="2">
        <v>1496</v>
      </c>
      <c r="B689" s="41" t="s">
        <v>1755</v>
      </c>
      <c r="C689" s="2">
        <v>6</v>
      </c>
      <c r="D689" s="2" t="s">
        <v>81</v>
      </c>
      <c r="E689" s="294">
        <v>72393.16</v>
      </c>
      <c r="F689" s="296">
        <v>84000</v>
      </c>
      <c r="G689" s="352">
        <v>2</v>
      </c>
      <c r="H689" s="296">
        <f t="shared" si="128"/>
        <v>144786.32</v>
      </c>
      <c r="I689" s="122">
        <f t="shared" si="129"/>
        <v>168000</v>
      </c>
      <c r="J689" s="331">
        <f t="shared" si="130"/>
        <v>23213.679999999993</v>
      </c>
      <c r="K689" s="292">
        <f>'09-RESUMEN'!$F$43/1375</f>
        <v>81431.961035221175</v>
      </c>
      <c r="L689" s="122">
        <f>('ESTADO RESULTADOS'!$C$36+'ESTADO RESULTADOS'!$C$71)/1375</f>
        <v>24762.287272727273</v>
      </c>
      <c r="M689" s="122">
        <v>0</v>
      </c>
      <c r="N689" s="122">
        <f t="shared" si="134"/>
        <v>250980.56830794844</v>
      </c>
      <c r="O689" s="122">
        <f t="shared" si="135"/>
        <v>125490.28415397422</v>
      </c>
      <c r="P689" s="336">
        <f t="shared" si="131"/>
        <v>-82980.568307948444</v>
      </c>
      <c r="Q689" s="336">
        <f t="shared" si="132"/>
        <v>53097.124153974219</v>
      </c>
      <c r="R689" s="303">
        <f t="shared" si="133"/>
        <v>0.73345498599555836</v>
      </c>
    </row>
    <row r="690" spans="1:18" x14ac:dyDescent="0.3">
      <c r="A690" s="2">
        <v>1499</v>
      </c>
      <c r="B690" s="41" t="s">
        <v>571</v>
      </c>
      <c r="C690" s="2">
        <v>1</v>
      </c>
      <c r="D690" s="2" t="s">
        <v>10</v>
      </c>
      <c r="E690" s="294">
        <v>185000</v>
      </c>
      <c r="F690" s="296">
        <v>202500</v>
      </c>
      <c r="G690" s="352">
        <v>19</v>
      </c>
      <c r="H690" s="296">
        <f t="shared" si="128"/>
        <v>3515000</v>
      </c>
      <c r="I690" s="122">
        <f t="shared" si="129"/>
        <v>3847500</v>
      </c>
      <c r="J690" s="331">
        <f t="shared" si="130"/>
        <v>332500</v>
      </c>
      <c r="K690" s="292">
        <f>'09-RESUMEN'!$F$43/1375</f>
        <v>81431.961035221175</v>
      </c>
      <c r="L690" s="122">
        <f>('ESTADO RESULTADOS'!$C$36+'ESTADO RESULTADOS'!$C$71)/1375</f>
        <v>24762.287272727273</v>
      </c>
      <c r="M690" s="122">
        <v>0</v>
      </c>
      <c r="N690" s="122">
        <f t="shared" si="134"/>
        <v>3621194.2483079485</v>
      </c>
      <c r="O690" s="122">
        <f t="shared" si="135"/>
        <v>190589.17096357624</v>
      </c>
      <c r="P690" s="336">
        <f t="shared" si="131"/>
        <v>226305.75169205153</v>
      </c>
      <c r="Q690" s="336">
        <f t="shared" si="132"/>
        <v>5589.1709635762381</v>
      </c>
      <c r="R690" s="303">
        <f t="shared" si="133"/>
        <v>3.0211734938249937E-2</v>
      </c>
    </row>
    <row r="691" spans="1:18" x14ac:dyDescent="0.3">
      <c r="A691" s="2">
        <v>1501</v>
      </c>
      <c r="B691" s="41" t="s">
        <v>572</v>
      </c>
      <c r="C691" s="2">
        <v>14</v>
      </c>
      <c r="D691" s="2" t="s">
        <v>41</v>
      </c>
      <c r="E691" s="294">
        <v>64777</v>
      </c>
      <c r="F691" s="296">
        <v>72600</v>
      </c>
      <c r="G691" s="352">
        <v>3</v>
      </c>
      <c r="H691" s="296">
        <f t="shared" si="128"/>
        <v>194331</v>
      </c>
      <c r="I691" s="122">
        <f t="shared" si="129"/>
        <v>217800</v>
      </c>
      <c r="J691" s="331">
        <f t="shared" si="130"/>
        <v>23469</v>
      </c>
      <c r="K691" s="292">
        <f>'09-RESUMEN'!$F$43/1375</f>
        <v>81431.961035221175</v>
      </c>
      <c r="L691" s="122">
        <f>('ESTADO RESULTADOS'!$C$36+'ESTADO RESULTADOS'!$C$71)/1375</f>
        <v>24762.287272727273</v>
      </c>
      <c r="M691" s="122">
        <v>0</v>
      </c>
      <c r="N691" s="122">
        <f t="shared" si="134"/>
        <v>300525.24830794847</v>
      </c>
      <c r="O691" s="122">
        <f t="shared" si="135"/>
        <v>100175.08276931616</v>
      </c>
      <c r="P691" s="336">
        <f t="shared" si="131"/>
        <v>-82725.248307948466</v>
      </c>
      <c r="Q691" s="336">
        <f t="shared" si="132"/>
        <v>35398.082769316155</v>
      </c>
      <c r="R691" s="303">
        <f t="shared" si="133"/>
        <v>0.54646066920845604</v>
      </c>
    </row>
    <row r="692" spans="1:18" x14ac:dyDescent="0.3">
      <c r="A692" s="2">
        <v>1502</v>
      </c>
      <c r="B692" s="41" t="s">
        <v>573</v>
      </c>
      <c r="C692" s="2">
        <v>9</v>
      </c>
      <c r="D692" s="2" t="s">
        <v>227</v>
      </c>
      <c r="E692" s="294">
        <v>66944.639999999999</v>
      </c>
      <c r="F692" s="296">
        <v>89500</v>
      </c>
      <c r="G692" s="352">
        <v>3</v>
      </c>
      <c r="H692" s="296">
        <f t="shared" si="128"/>
        <v>200833.91999999998</v>
      </c>
      <c r="I692" s="122">
        <f t="shared" si="129"/>
        <v>268500</v>
      </c>
      <c r="J692" s="331">
        <f t="shared" si="130"/>
        <v>67666.080000000016</v>
      </c>
      <c r="K692" s="292">
        <f>'09-RESUMEN'!$F$43/1375</f>
        <v>81431.961035221175</v>
      </c>
      <c r="L692" s="122">
        <f>('ESTADO RESULTADOS'!$C$36+'ESTADO RESULTADOS'!$C$71)/1375</f>
        <v>24762.287272727273</v>
      </c>
      <c r="M692" s="122">
        <v>0</v>
      </c>
      <c r="N692" s="122">
        <f t="shared" si="134"/>
        <v>307028.16830794845</v>
      </c>
      <c r="O692" s="122">
        <f t="shared" si="135"/>
        <v>102342.72276931615</v>
      </c>
      <c r="P692" s="336">
        <f t="shared" si="131"/>
        <v>-38528.16830794845</v>
      </c>
      <c r="Q692" s="336">
        <f t="shared" si="132"/>
        <v>35398.082769316155</v>
      </c>
      <c r="R692" s="303">
        <f t="shared" si="133"/>
        <v>0.52876649675487319</v>
      </c>
    </row>
    <row r="693" spans="1:18" x14ac:dyDescent="0.3">
      <c r="A693" s="2">
        <v>1503</v>
      </c>
      <c r="B693" s="41" t="s">
        <v>1756</v>
      </c>
      <c r="C693" s="2">
        <v>2</v>
      </c>
      <c r="D693" s="2" t="s">
        <v>5</v>
      </c>
      <c r="E693" s="294">
        <v>92949.57</v>
      </c>
      <c r="F693" s="296">
        <v>103733.33333333333</v>
      </c>
      <c r="G693" s="352">
        <v>6</v>
      </c>
      <c r="H693" s="296">
        <f t="shared" si="128"/>
        <v>557697.42000000004</v>
      </c>
      <c r="I693" s="122">
        <f t="shared" si="129"/>
        <v>622400</v>
      </c>
      <c r="J693" s="331">
        <f t="shared" si="130"/>
        <v>64702.579999999958</v>
      </c>
      <c r="K693" s="292">
        <f>'09-RESUMEN'!$F$43/1375</f>
        <v>81431.961035221175</v>
      </c>
      <c r="L693" s="122">
        <f>('ESTADO RESULTADOS'!$C$36+'ESTADO RESULTADOS'!$C$71)/1375</f>
        <v>24762.287272727273</v>
      </c>
      <c r="M693" s="122">
        <v>0</v>
      </c>
      <c r="N693" s="122">
        <f t="shared" si="134"/>
        <v>663891.66830794851</v>
      </c>
      <c r="O693" s="122">
        <f t="shared" si="135"/>
        <v>110648.61138465808</v>
      </c>
      <c r="P693" s="336">
        <f t="shared" si="131"/>
        <v>-41491.668307948508</v>
      </c>
      <c r="Q693" s="336">
        <f t="shared" si="132"/>
        <v>17699.041384658078</v>
      </c>
      <c r="R693" s="303">
        <f t="shared" si="133"/>
        <v>0.19041552730860484</v>
      </c>
    </row>
    <row r="694" spans="1:18" x14ac:dyDescent="0.3">
      <c r="A694" s="2">
        <v>1505</v>
      </c>
      <c r="B694" s="41" t="s">
        <v>574</v>
      </c>
      <c r="C694" s="2">
        <v>5</v>
      </c>
      <c r="D694" s="2" t="s">
        <v>5</v>
      </c>
      <c r="E694" s="294">
        <v>116500</v>
      </c>
      <c r="F694" s="296">
        <v>132600</v>
      </c>
      <c r="G694" s="352">
        <v>2</v>
      </c>
      <c r="H694" s="296">
        <f t="shared" si="128"/>
        <v>233000</v>
      </c>
      <c r="I694" s="122">
        <f t="shared" si="129"/>
        <v>265200</v>
      </c>
      <c r="J694" s="331">
        <f t="shared" si="130"/>
        <v>32200</v>
      </c>
      <c r="K694" s="292">
        <f>'09-RESUMEN'!$F$43/1375</f>
        <v>81431.961035221175</v>
      </c>
      <c r="L694" s="122">
        <f>('ESTADO RESULTADOS'!$C$36+'ESTADO RESULTADOS'!$C$71)/1375</f>
        <v>24762.287272727273</v>
      </c>
      <c r="M694" s="122">
        <v>0</v>
      </c>
      <c r="N694" s="122">
        <f t="shared" si="134"/>
        <v>339194.24830794847</v>
      </c>
      <c r="O694" s="122">
        <f t="shared" si="135"/>
        <v>169597.12415397423</v>
      </c>
      <c r="P694" s="336">
        <f t="shared" si="131"/>
        <v>-73994.248307948466</v>
      </c>
      <c r="Q694" s="336">
        <f t="shared" si="132"/>
        <v>53097.124153974233</v>
      </c>
      <c r="R694" s="303">
        <f t="shared" si="133"/>
        <v>0.45576930604269728</v>
      </c>
    </row>
    <row r="695" spans="1:18" x14ac:dyDescent="0.3">
      <c r="A695" s="2">
        <v>1508</v>
      </c>
      <c r="B695" s="41" t="s">
        <v>575</v>
      </c>
      <c r="C695" s="2">
        <v>5</v>
      </c>
      <c r="D695" s="2" t="s">
        <v>41</v>
      </c>
      <c r="E695" s="294">
        <v>100900</v>
      </c>
      <c r="F695" s="296">
        <v>116500</v>
      </c>
      <c r="G695" s="352">
        <v>12</v>
      </c>
      <c r="H695" s="296">
        <f t="shared" si="128"/>
        <v>1210800</v>
      </c>
      <c r="I695" s="122">
        <f t="shared" si="129"/>
        <v>1398000</v>
      </c>
      <c r="J695" s="331">
        <f t="shared" si="130"/>
        <v>187200</v>
      </c>
      <c r="K695" s="292">
        <f>'09-RESUMEN'!$F$43/1375</f>
        <v>81431.961035221175</v>
      </c>
      <c r="L695" s="122">
        <f>('ESTADO RESULTADOS'!$C$36+'ESTADO RESULTADOS'!$C$71)/1375</f>
        <v>24762.287272727273</v>
      </c>
      <c r="M695" s="122">
        <v>0</v>
      </c>
      <c r="N695" s="122">
        <f t="shared" si="134"/>
        <v>1316994.2483079485</v>
      </c>
      <c r="O695" s="122">
        <f t="shared" si="135"/>
        <v>109749.52069232904</v>
      </c>
      <c r="P695" s="336">
        <f t="shared" si="131"/>
        <v>81005.751692051534</v>
      </c>
      <c r="Q695" s="336">
        <f t="shared" si="132"/>
        <v>8849.5206923290389</v>
      </c>
      <c r="R695" s="303">
        <f t="shared" si="133"/>
        <v>8.7705854235173825E-2</v>
      </c>
    </row>
    <row r="696" spans="1:18" x14ac:dyDescent="0.3">
      <c r="A696" s="2">
        <v>1513</v>
      </c>
      <c r="B696" s="41" t="s">
        <v>1757</v>
      </c>
      <c r="C696" s="2">
        <v>11</v>
      </c>
      <c r="D696" s="2" t="s">
        <v>12</v>
      </c>
      <c r="E696" s="294">
        <v>2000</v>
      </c>
      <c r="F696" s="296">
        <v>2150</v>
      </c>
      <c r="G696" s="352">
        <v>0</v>
      </c>
      <c r="H696" s="296">
        <f t="shared" si="128"/>
        <v>0</v>
      </c>
      <c r="I696" s="122">
        <f t="shared" si="129"/>
        <v>0</v>
      </c>
      <c r="J696" s="331">
        <f t="shared" si="130"/>
        <v>0</v>
      </c>
      <c r="K696" s="292">
        <f>'09-RESUMEN'!$F$43/1375</f>
        <v>81431.961035221175</v>
      </c>
      <c r="L696" s="122">
        <f>('ESTADO RESULTADOS'!$C$36+'ESTADO RESULTADOS'!$C$71)/1375</f>
        <v>24762.287272727273</v>
      </c>
      <c r="M696" s="122">
        <v>0</v>
      </c>
      <c r="N696" s="122">
        <f>SUM(E696+K696+L696+M696)</f>
        <v>108194.24830794845</v>
      </c>
      <c r="O696" s="122">
        <f>N696</f>
        <v>108194.24830794845</v>
      </c>
      <c r="P696" s="336">
        <f t="shared" si="131"/>
        <v>-108194.24830794845</v>
      </c>
      <c r="Q696" s="336">
        <f t="shared" si="132"/>
        <v>106194.24830794845</v>
      </c>
      <c r="R696" s="303">
        <f t="shared" si="133"/>
        <v>53.097124153974228</v>
      </c>
    </row>
    <row r="697" spans="1:18" x14ac:dyDescent="0.3">
      <c r="A697" s="2">
        <v>1516</v>
      </c>
      <c r="B697" s="41" t="s">
        <v>576</v>
      </c>
      <c r="C697" s="2">
        <v>10</v>
      </c>
      <c r="D697" s="2" t="s">
        <v>12</v>
      </c>
      <c r="E697" s="294">
        <v>6567</v>
      </c>
      <c r="F697" s="296">
        <v>7600</v>
      </c>
      <c r="G697" s="352">
        <v>18</v>
      </c>
      <c r="H697" s="296">
        <f t="shared" si="128"/>
        <v>118206</v>
      </c>
      <c r="I697" s="122">
        <f t="shared" si="129"/>
        <v>136800</v>
      </c>
      <c r="J697" s="331">
        <f t="shared" si="130"/>
        <v>18594</v>
      </c>
      <c r="K697" s="292">
        <f>'09-RESUMEN'!$F$43/1375</f>
        <v>81431.961035221175</v>
      </c>
      <c r="L697" s="122">
        <f>('ESTADO RESULTADOS'!$C$36+'ESTADO RESULTADOS'!$C$71)/1375</f>
        <v>24762.287272727273</v>
      </c>
      <c r="M697" s="122">
        <v>0</v>
      </c>
      <c r="N697" s="122">
        <f>SUM(H697+K697+L697+M697)</f>
        <v>224400.24830794844</v>
      </c>
      <c r="O697" s="122">
        <f>N697/G697</f>
        <v>12466.680461552691</v>
      </c>
      <c r="P697" s="336">
        <f t="shared" si="131"/>
        <v>-87600.248307948437</v>
      </c>
      <c r="Q697" s="336">
        <f t="shared" si="132"/>
        <v>5899.6804615526908</v>
      </c>
      <c r="R697" s="303">
        <f t="shared" si="133"/>
        <v>0.89838289349058786</v>
      </c>
    </row>
    <row r="698" spans="1:18" x14ac:dyDescent="0.3">
      <c r="A698" s="2">
        <v>1518</v>
      </c>
      <c r="B698" s="41" t="s">
        <v>577</v>
      </c>
      <c r="C698" s="2">
        <v>14</v>
      </c>
      <c r="D698" s="2" t="s">
        <v>81</v>
      </c>
      <c r="E698" s="294">
        <v>6692.2308000000003</v>
      </c>
      <c r="F698" s="296">
        <v>8900</v>
      </c>
      <c r="G698" s="352">
        <v>0</v>
      </c>
      <c r="H698" s="296">
        <f t="shared" si="128"/>
        <v>0</v>
      </c>
      <c r="I698" s="122">
        <f t="shared" si="129"/>
        <v>0</v>
      </c>
      <c r="J698" s="331">
        <f t="shared" si="130"/>
        <v>0</v>
      </c>
      <c r="K698" s="292">
        <f>'09-RESUMEN'!$F$43/1375</f>
        <v>81431.961035221175</v>
      </c>
      <c r="L698" s="122">
        <f>('ESTADO RESULTADOS'!$C$36+'ESTADO RESULTADOS'!$C$71)/1375</f>
        <v>24762.287272727273</v>
      </c>
      <c r="M698" s="122">
        <v>0</v>
      </c>
      <c r="N698" s="122">
        <f>SUM(E698+K698+L698+M698)</f>
        <v>112886.47910794846</v>
      </c>
      <c r="O698" s="122">
        <f>N698</f>
        <v>112886.47910794846</v>
      </c>
      <c r="P698" s="336">
        <f t="shared" si="131"/>
        <v>-112886.47910794846</v>
      </c>
      <c r="Q698" s="336">
        <f t="shared" si="132"/>
        <v>106194.24830794845</v>
      </c>
      <c r="R698" s="303">
        <f t="shared" si="133"/>
        <v>15.868288390165571</v>
      </c>
    </row>
    <row r="699" spans="1:18" x14ac:dyDescent="0.3">
      <c r="A699" s="2">
        <v>1519</v>
      </c>
      <c r="B699" s="41" t="s">
        <v>578</v>
      </c>
      <c r="C699" s="2">
        <v>14</v>
      </c>
      <c r="D699" s="2" t="s">
        <v>81</v>
      </c>
      <c r="E699" s="294">
        <v>11106.5</v>
      </c>
      <c r="F699" s="296">
        <v>14500</v>
      </c>
      <c r="G699" s="352">
        <v>6</v>
      </c>
      <c r="H699" s="296">
        <f t="shared" si="128"/>
        <v>66639</v>
      </c>
      <c r="I699" s="122">
        <f t="shared" si="129"/>
        <v>87000</v>
      </c>
      <c r="J699" s="331">
        <f t="shared" si="130"/>
        <v>20361</v>
      </c>
      <c r="K699" s="292">
        <f>'09-RESUMEN'!$F$43/1375</f>
        <v>81431.961035221175</v>
      </c>
      <c r="L699" s="122">
        <f>('ESTADO RESULTADOS'!$C$36+'ESTADO RESULTADOS'!$C$71)/1375</f>
        <v>24762.287272727273</v>
      </c>
      <c r="M699" s="122">
        <v>0</v>
      </c>
      <c r="N699" s="122">
        <f>SUM(H699+K699+L699+M699)</f>
        <v>172833.24830794844</v>
      </c>
      <c r="O699" s="122">
        <f>N699/G699</f>
        <v>28805.541384658074</v>
      </c>
      <c r="P699" s="336">
        <f t="shared" si="131"/>
        <v>-85833.248307948437</v>
      </c>
      <c r="Q699" s="336">
        <f t="shared" si="132"/>
        <v>17699.041384658074</v>
      </c>
      <c r="R699" s="303">
        <f t="shared" si="133"/>
        <v>1.5935750582684081</v>
      </c>
    </row>
    <row r="700" spans="1:18" x14ac:dyDescent="0.3">
      <c r="A700" s="2">
        <v>1520</v>
      </c>
      <c r="B700" s="41" t="s">
        <v>1758</v>
      </c>
      <c r="C700" s="2">
        <v>5</v>
      </c>
      <c r="D700" s="2" t="s">
        <v>5</v>
      </c>
      <c r="E700" s="294">
        <v>2125</v>
      </c>
      <c r="F700" s="296">
        <v>2500</v>
      </c>
      <c r="G700" s="352">
        <v>0</v>
      </c>
      <c r="H700" s="296">
        <f t="shared" si="128"/>
        <v>0</v>
      </c>
      <c r="I700" s="122">
        <f t="shared" si="129"/>
        <v>0</v>
      </c>
      <c r="J700" s="331">
        <f t="shared" si="130"/>
        <v>0</v>
      </c>
      <c r="K700" s="292">
        <f>'09-RESUMEN'!$F$43/1375</f>
        <v>81431.961035221175</v>
      </c>
      <c r="L700" s="122">
        <f>('ESTADO RESULTADOS'!$C$36+'ESTADO RESULTADOS'!$C$71)/1375</f>
        <v>24762.287272727273</v>
      </c>
      <c r="M700" s="122">
        <v>0</v>
      </c>
      <c r="N700" s="122">
        <f>SUM(E700+K700+L700+M700)</f>
        <v>108319.24830794845</v>
      </c>
      <c r="O700" s="122">
        <f>N700</f>
        <v>108319.24830794845</v>
      </c>
      <c r="P700" s="336">
        <f t="shared" si="131"/>
        <v>-108319.24830794845</v>
      </c>
      <c r="Q700" s="336">
        <f t="shared" si="132"/>
        <v>106194.24830794845</v>
      </c>
      <c r="R700" s="303">
        <f t="shared" si="133"/>
        <v>49.973763909622804</v>
      </c>
    </row>
    <row r="701" spans="1:18" x14ac:dyDescent="0.3">
      <c r="A701" s="163">
        <v>1521</v>
      </c>
      <c r="B701" s="329" t="s">
        <v>579</v>
      </c>
      <c r="C701" s="163">
        <v>2</v>
      </c>
      <c r="D701" s="163" t="s">
        <v>5</v>
      </c>
      <c r="E701" s="297">
        <v>3440.8</v>
      </c>
      <c r="F701" s="299">
        <v>4000</v>
      </c>
      <c r="G701" s="354">
        <v>16</v>
      </c>
      <c r="H701" s="296">
        <f t="shared" si="128"/>
        <v>55052.800000000003</v>
      </c>
      <c r="I701" s="122">
        <f t="shared" si="129"/>
        <v>64000</v>
      </c>
      <c r="J701" s="331">
        <f t="shared" si="130"/>
        <v>8947.1999999999971</v>
      </c>
      <c r="K701" s="293">
        <f>'09-RESUMEN'!$F$43/1375+('09-RESUMEN'!$F$42/17)</f>
        <v>283519.42464527232</v>
      </c>
      <c r="L701" s="256">
        <f>('ESTADO RESULTADOS'!$C$36+'ESTADO RESULTADOS'!$C$71)/1375</f>
        <v>24762.287272727273</v>
      </c>
      <c r="M701" s="256">
        <f>'ESTADO RESULTADOS'!$C$37/17</f>
        <v>106174.11764705883</v>
      </c>
      <c r="N701" s="122">
        <f t="shared" ref="N701:N706" si="136">SUM(H701+K701+L701+M701)</f>
        <v>469508.62956505839</v>
      </c>
      <c r="O701" s="122">
        <f t="shared" ref="O701:O706" si="137">N701/G701</f>
        <v>29344.28934781615</v>
      </c>
      <c r="P701" s="336">
        <f t="shared" si="131"/>
        <v>-405508.62956505839</v>
      </c>
      <c r="Q701" s="336">
        <f t="shared" si="132"/>
        <v>25903.48934781615</v>
      </c>
      <c r="R701" s="303">
        <f t="shared" si="133"/>
        <v>7.5283333375424757</v>
      </c>
    </row>
    <row r="702" spans="1:18" x14ac:dyDescent="0.3">
      <c r="A702" s="2">
        <v>1522</v>
      </c>
      <c r="B702" s="41" t="s">
        <v>580</v>
      </c>
      <c r="C702" s="2">
        <v>2</v>
      </c>
      <c r="D702" s="2" t="s">
        <v>243</v>
      </c>
      <c r="E702" s="294">
        <v>132500</v>
      </c>
      <c r="F702" s="296">
        <v>143266.66666666666</v>
      </c>
      <c r="G702" s="352">
        <v>2.5</v>
      </c>
      <c r="H702" s="296">
        <f t="shared" si="128"/>
        <v>331250</v>
      </c>
      <c r="I702" s="122">
        <f t="shared" si="129"/>
        <v>358166.66666666663</v>
      </c>
      <c r="J702" s="331">
        <f t="shared" si="130"/>
        <v>26916.666666666628</v>
      </c>
      <c r="K702" s="292">
        <f>'09-RESUMEN'!$F$43/1375</f>
        <v>81431.961035221175</v>
      </c>
      <c r="L702" s="122">
        <f>('ESTADO RESULTADOS'!$C$36+'ESTADO RESULTADOS'!$C$71)/1375</f>
        <v>24762.287272727273</v>
      </c>
      <c r="M702" s="122">
        <v>0</v>
      </c>
      <c r="N702" s="122">
        <f t="shared" si="136"/>
        <v>437444.24830794847</v>
      </c>
      <c r="O702" s="122">
        <f t="shared" si="137"/>
        <v>174977.69932317937</v>
      </c>
      <c r="P702" s="336">
        <f t="shared" si="131"/>
        <v>-79277.581641281839</v>
      </c>
      <c r="Q702" s="336">
        <f t="shared" si="132"/>
        <v>42477.699323179375</v>
      </c>
      <c r="R702" s="303">
        <f t="shared" si="133"/>
        <v>0.32058640998625942</v>
      </c>
    </row>
    <row r="703" spans="1:18" x14ac:dyDescent="0.3">
      <c r="A703" s="2">
        <v>1523</v>
      </c>
      <c r="B703" s="41" t="s">
        <v>581</v>
      </c>
      <c r="C703" s="2">
        <v>2</v>
      </c>
      <c r="D703" s="2" t="s">
        <v>5</v>
      </c>
      <c r="E703" s="294">
        <v>92949.57</v>
      </c>
      <c r="F703" s="296">
        <v>103733.33333333333</v>
      </c>
      <c r="G703" s="352">
        <v>5</v>
      </c>
      <c r="H703" s="296">
        <f t="shared" si="128"/>
        <v>464747.85000000003</v>
      </c>
      <c r="I703" s="122">
        <f t="shared" si="129"/>
        <v>518666.66666666663</v>
      </c>
      <c r="J703" s="331">
        <f t="shared" si="130"/>
        <v>53918.816666666593</v>
      </c>
      <c r="K703" s="292">
        <f>'09-RESUMEN'!$F$43/1375</f>
        <v>81431.961035221175</v>
      </c>
      <c r="L703" s="122">
        <f>('ESTADO RESULTADOS'!$C$36+'ESTADO RESULTADOS'!$C$71)/1375</f>
        <v>24762.287272727273</v>
      </c>
      <c r="M703" s="122">
        <v>0</v>
      </c>
      <c r="N703" s="122">
        <f t="shared" si="136"/>
        <v>570942.09830794844</v>
      </c>
      <c r="O703" s="122">
        <f t="shared" si="137"/>
        <v>114188.41966158969</v>
      </c>
      <c r="P703" s="336">
        <f t="shared" si="131"/>
        <v>-52275.431641281815</v>
      </c>
      <c r="Q703" s="336">
        <f t="shared" si="132"/>
        <v>21238.849661589687</v>
      </c>
      <c r="R703" s="303">
        <f t="shared" si="133"/>
        <v>0.22849863277032573</v>
      </c>
    </row>
    <row r="704" spans="1:18" x14ac:dyDescent="0.3">
      <c r="A704" s="163">
        <v>1524</v>
      </c>
      <c r="B704" s="329" t="s">
        <v>582</v>
      </c>
      <c r="C704" s="163">
        <v>2</v>
      </c>
      <c r="D704" s="163" t="s">
        <v>12</v>
      </c>
      <c r="E704" s="297">
        <v>3312.5</v>
      </c>
      <c r="F704" s="299">
        <v>3750</v>
      </c>
      <c r="G704" s="354">
        <v>425</v>
      </c>
      <c r="H704" s="296">
        <f t="shared" si="128"/>
        <v>1407812.5</v>
      </c>
      <c r="I704" s="122">
        <f t="shared" si="129"/>
        <v>1593750</v>
      </c>
      <c r="J704" s="331">
        <f t="shared" si="130"/>
        <v>185937.5</v>
      </c>
      <c r="K704" s="293">
        <f>'09-RESUMEN'!$F$43/1375+('09-RESUMEN'!$F$42/17)</f>
        <v>283519.42464527232</v>
      </c>
      <c r="L704" s="256">
        <f>('ESTADO RESULTADOS'!$C$36+'ESTADO RESULTADOS'!$C$71)/1375</f>
        <v>24762.287272727273</v>
      </c>
      <c r="M704" s="256">
        <f>'ESTADO RESULTADOS'!$C$37/17</f>
        <v>106174.11764705883</v>
      </c>
      <c r="N704" s="122">
        <f t="shared" si="136"/>
        <v>1822268.3295650585</v>
      </c>
      <c r="O704" s="122">
        <f t="shared" si="137"/>
        <v>4287.6901872119024</v>
      </c>
      <c r="P704" s="336">
        <f t="shared" si="131"/>
        <v>-228518.32956505846</v>
      </c>
      <c r="Q704" s="336">
        <f t="shared" si="132"/>
        <v>975.19018721190241</v>
      </c>
      <c r="R704" s="303">
        <f t="shared" si="133"/>
        <v>0.2943970376488762</v>
      </c>
    </row>
    <row r="705" spans="1:18" x14ac:dyDescent="0.3">
      <c r="A705" s="2">
        <v>1528</v>
      </c>
      <c r="B705" s="41" t="s">
        <v>583</v>
      </c>
      <c r="C705" s="2">
        <v>14</v>
      </c>
      <c r="D705" s="2" t="s">
        <v>81</v>
      </c>
      <c r="E705" s="294">
        <v>9201</v>
      </c>
      <c r="F705" s="296">
        <v>12000</v>
      </c>
      <c r="G705" s="352">
        <v>8</v>
      </c>
      <c r="H705" s="296">
        <f t="shared" si="128"/>
        <v>73608</v>
      </c>
      <c r="I705" s="122">
        <f t="shared" si="129"/>
        <v>96000</v>
      </c>
      <c r="J705" s="331">
        <f t="shared" si="130"/>
        <v>22392</v>
      </c>
      <c r="K705" s="292">
        <f>'09-RESUMEN'!$F$43/1375</f>
        <v>81431.961035221175</v>
      </c>
      <c r="L705" s="122">
        <f>('ESTADO RESULTADOS'!$C$36+'ESTADO RESULTADOS'!$C$71)/1375</f>
        <v>24762.287272727273</v>
      </c>
      <c r="M705" s="122">
        <v>0</v>
      </c>
      <c r="N705" s="122">
        <f t="shared" si="136"/>
        <v>179802.24830794844</v>
      </c>
      <c r="O705" s="122">
        <f t="shared" si="137"/>
        <v>22475.281038493555</v>
      </c>
      <c r="P705" s="336">
        <f t="shared" si="131"/>
        <v>-83802.248307948437</v>
      </c>
      <c r="Q705" s="336">
        <f t="shared" si="132"/>
        <v>13274.281038493555</v>
      </c>
      <c r="R705" s="303">
        <f t="shared" si="133"/>
        <v>1.4426998194211014</v>
      </c>
    </row>
    <row r="706" spans="1:18" x14ac:dyDescent="0.3">
      <c r="A706" s="2">
        <v>1531</v>
      </c>
      <c r="B706" s="41" t="s">
        <v>584</v>
      </c>
      <c r="C706" s="2">
        <v>14</v>
      </c>
      <c r="D706" s="2" t="s">
        <v>81</v>
      </c>
      <c r="E706" s="294">
        <v>49416</v>
      </c>
      <c r="F706" s="296">
        <v>49616.666666666664</v>
      </c>
      <c r="G706" s="352">
        <v>3</v>
      </c>
      <c r="H706" s="296">
        <f t="shared" si="128"/>
        <v>148248</v>
      </c>
      <c r="I706" s="122">
        <f t="shared" si="129"/>
        <v>148850</v>
      </c>
      <c r="J706" s="331">
        <f t="shared" si="130"/>
        <v>602</v>
      </c>
      <c r="K706" s="292">
        <f>'09-RESUMEN'!$F$43/1375</f>
        <v>81431.961035221175</v>
      </c>
      <c r="L706" s="122">
        <f>('ESTADO RESULTADOS'!$C$36+'ESTADO RESULTADOS'!$C$71)/1375</f>
        <v>24762.287272727273</v>
      </c>
      <c r="M706" s="122">
        <v>0</v>
      </c>
      <c r="N706" s="122">
        <f t="shared" si="136"/>
        <v>254442.24830794844</v>
      </c>
      <c r="O706" s="122">
        <f t="shared" si="137"/>
        <v>84814.082769316141</v>
      </c>
      <c r="P706" s="336">
        <f t="shared" si="131"/>
        <v>-105592.24830794844</v>
      </c>
      <c r="Q706" s="336">
        <f t="shared" si="132"/>
        <v>35398.082769316141</v>
      </c>
      <c r="R706" s="303">
        <f t="shared" si="133"/>
        <v>0.71632837075676181</v>
      </c>
    </row>
    <row r="707" spans="1:18" x14ac:dyDescent="0.3">
      <c r="A707" s="2">
        <v>1532</v>
      </c>
      <c r="B707" s="41" t="s">
        <v>585</v>
      </c>
      <c r="C707" s="2">
        <v>14</v>
      </c>
      <c r="D707" s="2" t="s">
        <v>81</v>
      </c>
      <c r="E707" s="294">
        <v>92307</v>
      </c>
      <c r="F707" s="296">
        <v>101300</v>
      </c>
      <c r="G707" s="352">
        <v>0</v>
      </c>
      <c r="H707" s="296">
        <f t="shared" si="128"/>
        <v>0</v>
      </c>
      <c r="I707" s="122">
        <f t="shared" si="129"/>
        <v>0</v>
      </c>
      <c r="J707" s="331">
        <f t="shared" si="130"/>
        <v>0</v>
      </c>
      <c r="K707" s="292">
        <f>'09-RESUMEN'!$F$43/1375</f>
        <v>81431.961035221175</v>
      </c>
      <c r="L707" s="122">
        <f>('ESTADO RESULTADOS'!$C$36+'ESTADO RESULTADOS'!$C$71)/1375</f>
        <v>24762.287272727273</v>
      </c>
      <c r="M707" s="122">
        <v>0</v>
      </c>
      <c r="N707" s="122">
        <f>SUM(E707+K707+L707+M707)</f>
        <v>198501.24830794844</v>
      </c>
      <c r="O707" s="122">
        <f>N707</f>
        <v>198501.24830794844</v>
      </c>
      <c r="P707" s="336">
        <f t="shared" si="131"/>
        <v>-198501.24830794844</v>
      </c>
      <c r="Q707" s="336">
        <f t="shared" si="132"/>
        <v>106194.24830794844</v>
      </c>
      <c r="R707" s="303">
        <f t="shared" si="133"/>
        <v>1.1504463183501623</v>
      </c>
    </row>
    <row r="708" spans="1:18" x14ac:dyDescent="0.3">
      <c r="A708" s="2">
        <v>1534</v>
      </c>
      <c r="B708" s="41" t="s">
        <v>586</v>
      </c>
      <c r="C708" s="2">
        <v>2</v>
      </c>
      <c r="D708" s="2" t="s">
        <v>243</v>
      </c>
      <c r="E708" s="294">
        <v>86231.25</v>
      </c>
      <c r="F708" s="296">
        <v>100700</v>
      </c>
      <c r="G708" s="352">
        <v>170</v>
      </c>
      <c r="H708" s="296">
        <f t="shared" ref="H708:H771" si="138">E708*G708</f>
        <v>14659312.5</v>
      </c>
      <c r="I708" s="122">
        <f t="shared" ref="I708:I771" si="139">F708*G708</f>
        <v>17119000</v>
      </c>
      <c r="J708" s="331">
        <f t="shared" ref="J708:J771" si="140">I708-H708</f>
        <v>2459687.5</v>
      </c>
      <c r="K708" s="292">
        <f>'09-RESUMEN'!$F$43/1375</f>
        <v>81431.961035221175</v>
      </c>
      <c r="L708" s="122">
        <f>('ESTADO RESULTADOS'!$C$36+'ESTADO RESULTADOS'!$C$71)/1375</f>
        <v>24762.287272727273</v>
      </c>
      <c r="M708" s="122">
        <v>0</v>
      </c>
      <c r="N708" s="122">
        <f>SUM(H708+K708+L708+M708)</f>
        <v>14765506.748307949</v>
      </c>
      <c r="O708" s="122">
        <f>N708/G708</f>
        <v>86855.922048870285</v>
      </c>
      <c r="P708" s="336">
        <f t="shared" si="131"/>
        <v>2353493.2516920511</v>
      </c>
      <c r="Q708" s="336">
        <f t="shared" si="132"/>
        <v>624.67204887028493</v>
      </c>
      <c r="R708" s="303">
        <f t="shared" si="133"/>
        <v>7.2441492947195466E-3</v>
      </c>
    </row>
    <row r="709" spans="1:18" x14ac:dyDescent="0.3">
      <c r="A709" s="2">
        <v>1535</v>
      </c>
      <c r="B709" s="41" t="s">
        <v>587</v>
      </c>
      <c r="C709" s="2">
        <v>2</v>
      </c>
      <c r="D709" s="2" t="s">
        <v>237</v>
      </c>
      <c r="E709" s="294">
        <v>74075.399999999994</v>
      </c>
      <c r="F709" s="296">
        <v>87566.666666666672</v>
      </c>
      <c r="G709" s="352">
        <v>111.5</v>
      </c>
      <c r="H709" s="296">
        <f t="shared" si="138"/>
        <v>8259407.0999999996</v>
      </c>
      <c r="I709" s="122">
        <f t="shared" si="139"/>
        <v>9763683.333333334</v>
      </c>
      <c r="J709" s="331">
        <f t="shared" si="140"/>
        <v>1504276.2333333343</v>
      </c>
      <c r="K709" s="292">
        <f>'09-RESUMEN'!$F$43/1375</f>
        <v>81431.961035221175</v>
      </c>
      <c r="L709" s="122">
        <f>('ESTADO RESULTADOS'!$C$36+'ESTADO RESULTADOS'!$C$71)/1375</f>
        <v>24762.287272727273</v>
      </c>
      <c r="M709" s="122">
        <v>0</v>
      </c>
      <c r="N709" s="122">
        <f>SUM(H709+K709+L709+M709)</f>
        <v>8365601.3483079476</v>
      </c>
      <c r="O709" s="122">
        <f>N709/G709</f>
        <v>75027.814783030917</v>
      </c>
      <c r="P709" s="336">
        <f t="shared" ref="P709:P772" si="141">I709-N709</f>
        <v>1398081.9850253863</v>
      </c>
      <c r="Q709" s="336">
        <f t="shared" ref="Q709:Q772" si="142">O709-E709</f>
        <v>952.41478303092299</v>
      </c>
      <c r="R709" s="303">
        <f t="shared" ref="R709:R772" si="143">Q709/E709</f>
        <v>1.2857369424004771E-2</v>
      </c>
    </row>
    <row r="710" spans="1:18" x14ac:dyDescent="0.3">
      <c r="A710" s="2">
        <v>1542</v>
      </c>
      <c r="B710" s="41" t="s">
        <v>588</v>
      </c>
      <c r="C710" s="2">
        <v>12</v>
      </c>
      <c r="D710" s="2" t="s">
        <v>12</v>
      </c>
      <c r="E710" s="294">
        <v>2618</v>
      </c>
      <c r="F710" s="296">
        <v>5800</v>
      </c>
      <c r="G710" s="352">
        <v>2</v>
      </c>
      <c r="H710" s="296">
        <f t="shared" si="138"/>
        <v>5236</v>
      </c>
      <c r="I710" s="122">
        <f t="shared" si="139"/>
        <v>11600</v>
      </c>
      <c r="J710" s="331">
        <f t="shared" si="140"/>
        <v>6364</v>
      </c>
      <c r="K710" s="292">
        <f>'09-RESUMEN'!$F$43/1375</f>
        <v>81431.961035221175</v>
      </c>
      <c r="L710" s="122">
        <f>('ESTADO RESULTADOS'!$C$36+'ESTADO RESULTADOS'!$C$71)/1375</f>
        <v>24762.287272727273</v>
      </c>
      <c r="M710" s="122">
        <v>0</v>
      </c>
      <c r="N710" s="122">
        <f>SUM(H710+K710+L710+M710)</f>
        <v>111430.24830794845</v>
      </c>
      <c r="O710" s="122">
        <f>N710/G710</f>
        <v>55715.124153974226</v>
      </c>
      <c r="P710" s="336">
        <f t="shared" si="141"/>
        <v>-99830.248307948452</v>
      </c>
      <c r="Q710" s="336">
        <f t="shared" si="142"/>
        <v>53097.124153974226</v>
      </c>
      <c r="R710" s="303">
        <f t="shared" si="143"/>
        <v>20.281560028256006</v>
      </c>
    </row>
    <row r="711" spans="1:18" x14ac:dyDescent="0.3">
      <c r="A711" s="2">
        <v>1543</v>
      </c>
      <c r="B711" s="41" t="s">
        <v>1759</v>
      </c>
      <c r="C711" s="2">
        <v>12</v>
      </c>
      <c r="D711" s="2" t="s">
        <v>12</v>
      </c>
      <c r="E711" s="294">
        <v>8600</v>
      </c>
      <c r="F711" s="296">
        <v>15400</v>
      </c>
      <c r="G711" s="352">
        <v>0</v>
      </c>
      <c r="H711" s="296">
        <f t="shared" si="138"/>
        <v>0</v>
      </c>
      <c r="I711" s="122">
        <f t="shared" si="139"/>
        <v>0</v>
      </c>
      <c r="J711" s="331">
        <f t="shared" si="140"/>
        <v>0</v>
      </c>
      <c r="K711" s="292">
        <f>'09-RESUMEN'!$F$43/1375</f>
        <v>81431.961035221175</v>
      </c>
      <c r="L711" s="122">
        <f>('ESTADO RESULTADOS'!$C$36+'ESTADO RESULTADOS'!$C$71)/1375</f>
        <v>24762.287272727273</v>
      </c>
      <c r="M711" s="122">
        <v>0</v>
      </c>
      <c r="N711" s="122">
        <f>SUM(E711+K711+L711+M711)</f>
        <v>114794.24830794845</v>
      </c>
      <c r="O711" s="122">
        <f>N711</f>
        <v>114794.24830794845</v>
      </c>
      <c r="P711" s="336">
        <f t="shared" si="141"/>
        <v>-114794.24830794845</v>
      </c>
      <c r="Q711" s="336">
        <f t="shared" si="142"/>
        <v>106194.24830794845</v>
      </c>
      <c r="R711" s="303">
        <f t="shared" si="143"/>
        <v>12.348168407900983</v>
      </c>
    </row>
    <row r="712" spans="1:18" x14ac:dyDescent="0.3">
      <c r="A712" s="2">
        <v>1545</v>
      </c>
      <c r="B712" s="41" t="s">
        <v>589</v>
      </c>
      <c r="C712" s="2">
        <v>14</v>
      </c>
      <c r="D712" s="2" t="s">
        <v>81</v>
      </c>
      <c r="E712" s="294">
        <v>19109</v>
      </c>
      <c r="F712" s="296">
        <v>25766.666666666668</v>
      </c>
      <c r="G712" s="352">
        <v>11</v>
      </c>
      <c r="H712" s="296">
        <f t="shared" si="138"/>
        <v>210199</v>
      </c>
      <c r="I712" s="122">
        <f t="shared" si="139"/>
        <v>283433.33333333337</v>
      </c>
      <c r="J712" s="331">
        <f t="shared" si="140"/>
        <v>73234.333333333372</v>
      </c>
      <c r="K712" s="292">
        <f>'09-RESUMEN'!$F$43/1375</f>
        <v>81431.961035221175</v>
      </c>
      <c r="L712" s="122">
        <f>('ESTADO RESULTADOS'!$C$36+'ESTADO RESULTADOS'!$C$71)/1375</f>
        <v>24762.287272727273</v>
      </c>
      <c r="M712" s="122">
        <v>0</v>
      </c>
      <c r="N712" s="122">
        <f>SUM(H712+K712+L712+M712)</f>
        <v>316393.24830794847</v>
      </c>
      <c r="O712" s="122">
        <f>N712/G712</f>
        <v>28763.02257344986</v>
      </c>
      <c r="P712" s="336">
        <f t="shared" si="141"/>
        <v>-32959.914974615094</v>
      </c>
      <c r="Q712" s="336">
        <f t="shared" si="142"/>
        <v>9654.0225734498599</v>
      </c>
      <c r="R712" s="303">
        <f t="shared" si="143"/>
        <v>0.50520815183682344</v>
      </c>
    </row>
    <row r="713" spans="1:18" x14ac:dyDescent="0.3">
      <c r="A713" s="2">
        <v>1563</v>
      </c>
      <c r="B713" s="41" t="s">
        <v>590</v>
      </c>
      <c r="C713" s="2">
        <v>12</v>
      </c>
      <c r="D713" s="2" t="s">
        <v>12</v>
      </c>
      <c r="E713" s="294">
        <v>209000</v>
      </c>
      <c r="F713" s="296">
        <v>230000</v>
      </c>
      <c r="G713" s="352">
        <v>4</v>
      </c>
      <c r="H713" s="296">
        <f t="shared" si="138"/>
        <v>836000</v>
      </c>
      <c r="I713" s="122">
        <f t="shared" si="139"/>
        <v>920000</v>
      </c>
      <c r="J713" s="331">
        <f t="shared" si="140"/>
        <v>84000</v>
      </c>
      <c r="K713" s="292">
        <f>'09-RESUMEN'!$F$43/1375</f>
        <v>81431.961035221175</v>
      </c>
      <c r="L713" s="122">
        <f>('ESTADO RESULTADOS'!$C$36+'ESTADO RESULTADOS'!$C$71)/1375</f>
        <v>24762.287272727273</v>
      </c>
      <c r="M713" s="122">
        <v>0</v>
      </c>
      <c r="N713" s="122">
        <f>SUM(H713+K713+L713+M713)</f>
        <v>942194.24830794835</v>
      </c>
      <c r="O713" s="122">
        <f>N713/G713</f>
        <v>235548.56207698709</v>
      </c>
      <c r="P713" s="336">
        <f t="shared" si="141"/>
        <v>-22194.24830794835</v>
      </c>
      <c r="Q713" s="336">
        <f t="shared" si="142"/>
        <v>26548.562076987087</v>
      </c>
      <c r="R713" s="303">
        <f t="shared" si="143"/>
        <v>0.12702661280855065</v>
      </c>
    </row>
    <row r="714" spans="1:18" x14ac:dyDescent="0.3">
      <c r="A714" s="2">
        <v>1564</v>
      </c>
      <c r="B714" s="41" t="s">
        <v>1760</v>
      </c>
      <c r="C714" s="2">
        <v>14</v>
      </c>
      <c r="D714" s="2" t="s">
        <v>81</v>
      </c>
      <c r="E714" s="294">
        <v>15734</v>
      </c>
      <c r="F714" s="296">
        <v>20000</v>
      </c>
      <c r="G714" s="352">
        <v>0</v>
      </c>
      <c r="H714" s="296">
        <f t="shared" si="138"/>
        <v>0</v>
      </c>
      <c r="I714" s="122">
        <f t="shared" si="139"/>
        <v>0</v>
      </c>
      <c r="J714" s="331">
        <f t="shared" si="140"/>
        <v>0</v>
      </c>
      <c r="K714" s="292">
        <f>'09-RESUMEN'!$F$43/1375</f>
        <v>81431.961035221175</v>
      </c>
      <c r="L714" s="122">
        <f>('ESTADO RESULTADOS'!$C$36+'ESTADO RESULTADOS'!$C$71)/1375</f>
        <v>24762.287272727273</v>
      </c>
      <c r="M714" s="122">
        <v>0</v>
      </c>
      <c r="N714" s="122">
        <f>SUM(E714+K714+L714+M714)</f>
        <v>121928.24830794845</v>
      </c>
      <c r="O714" s="122">
        <f>N714</f>
        <v>121928.24830794845</v>
      </c>
      <c r="P714" s="336">
        <f t="shared" si="141"/>
        <v>-121928.24830794845</v>
      </c>
      <c r="Q714" s="336">
        <f t="shared" si="142"/>
        <v>106194.24830794845</v>
      </c>
      <c r="R714" s="303">
        <f t="shared" si="143"/>
        <v>6.7493484370121042</v>
      </c>
    </row>
    <row r="715" spans="1:18" x14ac:dyDescent="0.3">
      <c r="A715" s="2">
        <v>1566</v>
      </c>
      <c r="B715" s="41" t="s">
        <v>1761</v>
      </c>
      <c r="C715" s="2">
        <v>2</v>
      </c>
      <c r="D715" s="2" t="s">
        <v>5</v>
      </c>
      <c r="E715" s="294">
        <v>2850</v>
      </c>
      <c r="F715" s="296">
        <v>3300</v>
      </c>
      <c r="G715" s="352">
        <v>0</v>
      </c>
      <c r="H715" s="296">
        <f t="shared" si="138"/>
        <v>0</v>
      </c>
      <c r="I715" s="122">
        <f t="shared" si="139"/>
        <v>0</v>
      </c>
      <c r="J715" s="331">
        <f t="shared" si="140"/>
        <v>0</v>
      </c>
      <c r="K715" s="292">
        <f>'09-RESUMEN'!$F$43/1375</f>
        <v>81431.961035221175</v>
      </c>
      <c r="L715" s="122">
        <f>('ESTADO RESULTADOS'!$C$36+'ESTADO RESULTADOS'!$C$71)/1375</f>
        <v>24762.287272727273</v>
      </c>
      <c r="M715" s="122">
        <v>0</v>
      </c>
      <c r="N715" s="122">
        <f>SUM(E715+K715+L715+M715)</f>
        <v>109044.24830794845</v>
      </c>
      <c r="O715" s="122">
        <f>N715</f>
        <v>109044.24830794845</v>
      </c>
      <c r="P715" s="336">
        <f t="shared" si="141"/>
        <v>-109044.24830794845</v>
      </c>
      <c r="Q715" s="336">
        <f t="shared" si="142"/>
        <v>106194.24830794845</v>
      </c>
      <c r="R715" s="303">
        <f t="shared" si="143"/>
        <v>37.261139757174895</v>
      </c>
    </row>
    <row r="716" spans="1:18" x14ac:dyDescent="0.3">
      <c r="A716" s="2">
        <v>1570</v>
      </c>
      <c r="B716" s="41" t="s">
        <v>591</v>
      </c>
      <c r="C716" s="2">
        <v>10</v>
      </c>
      <c r="D716" s="2" t="s">
        <v>12</v>
      </c>
      <c r="E716" s="294">
        <v>15340.29</v>
      </c>
      <c r="F716" s="296">
        <v>19600</v>
      </c>
      <c r="G716" s="352">
        <v>3</v>
      </c>
      <c r="H716" s="296">
        <f t="shared" si="138"/>
        <v>46020.87</v>
      </c>
      <c r="I716" s="122">
        <f t="shared" si="139"/>
        <v>58800</v>
      </c>
      <c r="J716" s="331">
        <f t="shared" si="140"/>
        <v>12779.129999999997</v>
      </c>
      <c r="K716" s="292">
        <f>'09-RESUMEN'!$F$43/1375</f>
        <v>81431.961035221175</v>
      </c>
      <c r="L716" s="122">
        <f>('ESTADO RESULTADOS'!$C$36+'ESTADO RESULTADOS'!$C$71)/1375</f>
        <v>24762.287272727273</v>
      </c>
      <c r="M716" s="122">
        <v>0</v>
      </c>
      <c r="N716" s="122">
        <f>SUM(H716+K716+L716+M716)</f>
        <v>152215.11830794843</v>
      </c>
      <c r="O716" s="122">
        <f>N716/G716</f>
        <v>50738.372769316142</v>
      </c>
      <c r="P716" s="336">
        <f t="shared" si="141"/>
        <v>-93415.118307948433</v>
      </c>
      <c r="Q716" s="336">
        <f t="shared" si="142"/>
        <v>35398.082769316141</v>
      </c>
      <c r="R716" s="303">
        <f t="shared" si="143"/>
        <v>2.307523701919334</v>
      </c>
    </row>
    <row r="717" spans="1:18" x14ac:dyDescent="0.3">
      <c r="A717" s="2">
        <v>1571</v>
      </c>
      <c r="B717" s="41" t="s">
        <v>1762</v>
      </c>
      <c r="C717" s="2">
        <v>1</v>
      </c>
      <c r="D717" s="2" t="s">
        <v>237</v>
      </c>
      <c r="E717" s="294">
        <v>215000</v>
      </c>
      <c r="F717" s="296">
        <v>218833.33333333334</v>
      </c>
      <c r="G717" s="352">
        <v>23.5</v>
      </c>
      <c r="H717" s="296">
        <f t="shared" si="138"/>
        <v>5052500</v>
      </c>
      <c r="I717" s="122">
        <f t="shared" si="139"/>
        <v>5142583.333333334</v>
      </c>
      <c r="J717" s="331">
        <f t="shared" si="140"/>
        <v>90083.333333333954</v>
      </c>
      <c r="K717" s="292">
        <f>'09-RESUMEN'!$F$43/1375</f>
        <v>81431.961035221175</v>
      </c>
      <c r="L717" s="122">
        <f>('ESTADO RESULTADOS'!$C$36+'ESTADO RESULTADOS'!$C$71)/1375</f>
        <v>24762.287272727273</v>
      </c>
      <c r="M717" s="122">
        <v>0</v>
      </c>
      <c r="N717" s="122">
        <f>SUM(H717+K717+L717+M717)</f>
        <v>5158694.248307948</v>
      </c>
      <c r="O717" s="122">
        <f>N717/G717</f>
        <v>219518.90418331695</v>
      </c>
      <c r="P717" s="336">
        <f t="shared" si="141"/>
        <v>-16110.914974614047</v>
      </c>
      <c r="Q717" s="336">
        <f t="shared" si="142"/>
        <v>4518.9041833169467</v>
      </c>
      <c r="R717" s="303">
        <f t="shared" si="143"/>
        <v>2.1018158992171847E-2</v>
      </c>
    </row>
    <row r="718" spans="1:18" x14ac:dyDescent="0.3">
      <c r="A718" s="2">
        <v>1575</v>
      </c>
      <c r="B718" s="41" t="s">
        <v>1763</v>
      </c>
      <c r="C718" s="2">
        <v>2</v>
      </c>
      <c r="D718" s="2" t="s">
        <v>350</v>
      </c>
      <c r="E718" s="294">
        <v>119263.2</v>
      </c>
      <c r="F718" s="296">
        <v>80416.666666666672</v>
      </c>
      <c r="G718" s="352">
        <v>0</v>
      </c>
      <c r="H718" s="296">
        <f t="shared" si="138"/>
        <v>0</v>
      </c>
      <c r="I718" s="122">
        <f t="shared" si="139"/>
        <v>0</v>
      </c>
      <c r="J718" s="331">
        <f t="shared" si="140"/>
        <v>0</v>
      </c>
      <c r="K718" s="292">
        <f>'09-RESUMEN'!$F$43/1375</f>
        <v>81431.961035221175</v>
      </c>
      <c r="L718" s="122">
        <f>('ESTADO RESULTADOS'!$C$36+'ESTADO RESULTADOS'!$C$71)/1375</f>
        <v>24762.287272727273</v>
      </c>
      <c r="M718" s="122">
        <v>0</v>
      </c>
      <c r="N718" s="122">
        <f>SUM(E718+K718+L718+M718)</f>
        <v>225457.44830794845</v>
      </c>
      <c r="O718" s="122">
        <f>N718</f>
        <v>225457.44830794845</v>
      </c>
      <c r="P718" s="336">
        <f t="shared" si="141"/>
        <v>-225457.44830794845</v>
      </c>
      <c r="Q718" s="336">
        <f t="shared" si="142"/>
        <v>106194.24830794845</v>
      </c>
      <c r="R718" s="303">
        <f t="shared" si="143"/>
        <v>0.89041924338730183</v>
      </c>
    </row>
    <row r="719" spans="1:18" x14ac:dyDescent="0.3">
      <c r="A719" s="2">
        <v>1576</v>
      </c>
      <c r="B719" s="41" t="s">
        <v>592</v>
      </c>
      <c r="C719" s="2">
        <v>2</v>
      </c>
      <c r="D719" s="2" t="s">
        <v>243</v>
      </c>
      <c r="E719" s="294">
        <v>128233.35</v>
      </c>
      <c r="F719" s="296">
        <v>147700</v>
      </c>
      <c r="G719" s="352">
        <v>28</v>
      </c>
      <c r="H719" s="296">
        <f t="shared" si="138"/>
        <v>3590533.8000000003</v>
      </c>
      <c r="I719" s="122">
        <f t="shared" si="139"/>
        <v>4135600</v>
      </c>
      <c r="J719" s="331">
        <f t="shared" si="140"/>
        <v>545066.19999999972</v>
      </c>
      <c r="K719" s="292">
        <f>'09-RESUMEN'!$F$43/1375</f>
        <v>81431.961035221175</v>
      </c>
      <c r="L719" s="122">
        <f>('ESTADO RESULTADOS'!$C$36+'ESTADO RESULTADOS'!$C$71)/1375</f>
        <v>24762.287272727273</v>
      </c>
      <c r="M719" s="122">
        <v>0</v>
      </c>
      <c r="N719" s="122">
        <f t="shared" ref="N719:N734" si="144">SUM(H719+K719+L719+M719)</f>
        <v>3696728.0483079487</v>
      </c>
      <c r="O719" s="122">
        <f t="shared" ref="O719:O734" si="145">N719/G719</f>
        <v>132026.00172528389</v>
      </c>
      <c r="P719" s="336">
        <f t="shared" si="141"/>
        <v>438871.95169205125</v>
      </c>
      <c r="Q719" s="336">
        <f t="shared" si="142"/>
        <v>3792.6517252838821</v>
      </c>
      <c r="R719" s="303">
        <f t="shared" si="143"/>
        <v>2.9576172854283867E-2</v>
      </c>
    </row>
    <row r="720" spans="1:18" x14ac:dyDescent="0.3">
      <c r="A720" s="2">
        <v>1577</v>
      </c>
      <c r="B720" s="41" t="s">
        <v>593</v>
      </c>
      <c r="C720" s="2">
        <v>6</v>
      </c>
      <c r="D720" s="2" t="s">
        <v>176</v>
      </c>
      <c r="E720" s="294">
        <v>19600</v>
      </c>
      <c r="F720" s="296">
        <v>22500</v>
      </c>
      <c r="G720" s="352">
        <v>14</v>
      </c>
      <c r="H720" s="296">
        <f t="shared" si="138"/>
        <v>274400</v>
      </c>
      <c r="I720" s="122">
        <f t="shared" si="139"/>
        <v>315000</v>
      </c>
      <c r="J720" s="331">
        <f t="shared" si="140"/>
        <v>40600</v>
      </c>
      <c r="K720" s="292">
        <f>'09-RESUMEN'!$F$43/1375</f>
        <v>81431.961035221175</v>
      </c>
      <c r="L720" s="122">
        <f>('ESTADO RESULTADOS'!$C$36+'ESTADO RESULTADOS'!$C$71)/1375</f>
        <v>24762.287272727273</v>
      </c>
      <c r="M720" s="122">
        <v>0</v>
      </c>
      <c r="N720" s="122">
        <f t="shared" si="144"/>
        <v>380594.24830794847</v>
      </c>
      <c r="O720" s="122">
        <f t="shared" si="145"/>
        <v>27185.303450567746</v>
      </c>
      <c r="P720" s="336">
        <f t="shared" si="141"/>
        <v>-65594.248307948466</v>
      </c>
      <c r="Q720" s="336">
        <f t="shared" si="142"/>
        <v>7585.303450567746</v>
      </c>
      <c r="R720" s="303">
        <f t="shared" si="143"/>
        <v>0.38700527809019114</v>
      </c>
    </row>
    <row r="721" spans="1:18" x14ac:dyDescent="0.3">
      <c r="A721" s="2">
        <v>1581</v>
      </c>
      <c r="B721" s="41" t="s">
        <v>594</v>
      </c>
      <c r="C721" s="2">
        <v>2</v>
      </c>
      <c r="D721" s="2" t="s">
        <v>350</v>
      </c>
      <c r="E721" s="294">
        <v>94200</v>
      </c>
      <c r="F721" s="296">
        <v>104200</v>
      </c>
      <c r="G721" s="352">
        <v>443</v>
      </c>
      <c r="H721" s="296">
        <f t="shared" si="138"/>
        <v>41730600</v>
      </c>
      <c r="I721" s="122">
        <f t="shared" si="139"/>
        <v>46160600</v>
      </c>
      <c r="J721" s="331">
        <f t="shared" si="140"/>
        <v>4430000</v>
      </c>
      <c r="K721" s="292">
        <f>'09-RESUMEN'!$F$43/1375</f>
        <v>81431.961035221175</v>
      </c>
      <c r="L721" s="122">
        <f>('ESTADO RESULTADOS'!$C$36+'ESTADO RESULTADOS'!$C$71)/1375</f>
        <v>24762.287272727273</v>
      </c>
      <c r="M721" s="122">
        <v>0</v>
      </c>
      <c r="N721" s="122">
        <f t="shared" si="144"/>
        <v>41836794.248307951</v>
      </c>
      <c r="O721" s="122">
        <f t="shared" si="145"/>
        <v>94439.716136135336</v>
      </c>
      <c r="P721" s="336">
        <f t="shared" si="141"/>
        <v>4323805.7516920492</v>
      </c>
      <c r="Q721" s="336">
        <f t="shared" si="142"/>
        <v>239.71613613533555</v>
      </c>
      <c r="R721" s="303">
        <f t="shared" si="143"/>
        <v>2.5447572838146024E-3</v>
      </c>
    </row>
    <row r="722" spans="1:18" x14ac:dyDescent="0.3">
      <c r="A722" s="2">
        <v>1582</v>
      </c>
      <c r="B722" s="41" t="s">
        <v>595</v>
      </c>
      <c r="C722" s="2">
        <v>7</v>
      </c>
      <c r="D722" s="2" t="s">
        <v>160</v>
      </c>
      <c r="E722" s="294">
        <v>2230</v>
      </c>
      <c r="F722" s="296">
        <v>2466.6666666666665</v>
      </c>
      <c r="G722" s="352">
        <v>12</v>
      </c>
      <c r="H722" s="296">
        <f t="shared" si="138"/>
        <v>26760</v>
      </c>
      <c r="I722" s="122">
        <f t="shared" si="139"/>
        <v>29600</v>
      </c>
      <c r="J722" s="331">
        <f t="shared" si="140"/>
        <v>2840</v>
      </c>
      <c r="K722" s="292">
        <f>'09-RESUMEN'!$F$43/1375</f>
        <v>81431.961035221175</v>
      </c>
      <c r="L722" s="122">
        <f>('ESTADO RESULTADOS'!$C$36+'ESTADO RESULTADOS'!$C$71)/1375</f>
        <v>24762.287272727273</v>
      </c>
      <c r="M722" s="122">
        <v>0</v>
      </c>
      <c r="N722" s="122">
        <f t="shared" si="144"/>
        <v>132954.24830794844</v>
      </c>
      <c r="O722" s="122">
        <f t="shared" si="145"/>
        <v>11079.520692329037</v>
      </c>
      <c r="P722" s="336">
        <f t="shared" si="141"/>
        <v>-103354.24830794844</v>
      </c>
      <c r="Q722" s="336">
        <f t="shared" si="142"/>
        <v>8849.520692329037</v>
      </c>
      <c r="R722" s="303">
        <f t="shared" si="143"/>
        <v>3.9683949292955325</v>
      </c>
    </row>
    <row r="723" spans="1:18" x14ac:dyDescent="0.3">
      <c r="A723" s="2">
        <v>1584</v>
      </c>
      <c r="B723" s="41" t="s">
        <v>596</v>
      </c>
      <c r="C723" s="2">
        <v>7</v>
      </c>
      <c r="D723" s="2" t="s">
        <v>12</v>
      </c>
      <c r="E723" s="294">
        <v>3500</v>
      </c>
      <c r="F723" s="296">
        <v>4200</v>
      </c>
      <c r="G723" s="352">
        <v>2</v>
      </c>
      <c r="H723" s="296">
        <f t="shared" si="138"/>
        <v>7000</v>
      </c>
      <c r="I723" s="122">
        <f t="shared" si="139"/>
        <v>8400</v>
      </c>
      <c r="J723" s="331">
        <f t="shared" si="140"/>
        <v>1400</v>
      </c>
      <c r="K723" s="292">
        <f>'09-RESUMEN'!$F$43/1375</f>
        <v>81431.961035221175</v>
      </c>
      <c r="L723" s="122">
        <f>('ESTADO RESULTADOS'!$C$36+'ESTADO RESULTADOS'!$C$71)/1375</f>
        <v>24762.287272727273</v>
      </c>
      <c r="M723" s="122">
        <v>0</v>
      </c>
      <c r="N723" s="122">
        <f t="shared" si="144"/>
        <v>113194.24830794845</v>
      </c>
      <c r="O723" s="122">
        <f t="shared" si="145"/>
        <v>56597.124153974226</v>
      </c>
      <c r="P723" s="336">
        <f t="shared" si="141"/>
        <v>-104794.24830794845</v>
      </c>
      <c r="Q723" s="336">
        <f t="shared" si="142"/>
        <v>53097.124153974226</v>
      </c>
      <c r="R723" s="303">
        <f t="shared" si="143"/>
        <v>15.170606901135493</v>
      </c>
    </row>
    <row r="724" spans="1:18" x14ac:dyDescent="0.3">
      <c r="A724" s="2">
        <v>1585</v>
      </c>
      <c r="B724" s="41" t="s">
        <v>1764</v>
      </c>
      <c r="C724" s="2">
        <v>7</v>
      </c>
      <c r="D724" s="2" t="s">
        <v>160</v>
      </c>
      <c r="E724" s="294">
        <v>600</v>
      </c>
      <c r="F724" s="296">
        <v>1416.6666666666667</v>
      </c>
      <c r="G724" s="352">
        <v>1</v>
      </c>
      <c r="H724" s="296">
        <f t="shared" si="138"/>
        <v>600</v>
      </c>
      <c r="I724" s="122">
        <f t="shared" si="139"/>
        <v>1416.6666666666667</v>
      </c>
      <c r="J724" s="331">
        <f t="shared" si="140"/>
        <v>816.66666666666674</v>
      </c>
      <c r="K724" s="292">
        <f>'09-RESUMEN'!$F$43/1375</f>
        <v>81431.961035221175</v>
      </c>
      <c r="L724" s="122">
        <f>('ESTADO RESULTADOS'!$C$36+'ESTADO RESULTADOS'!$C$71)/1375</f>
        <v>24762.287272727273</v>
      </c>
      <c r="M724" s="122">
        <v>0</v>
      </c>
      <c r="N724" s="122">
        <f t="shared" si="144"/>
        <v>106794.24830794845</v>
      </c>
      <c r="O724" s="122">
        <f t="shared" si="145"/>
        <v>106794.24830794845</v>
      </c>
      <c r="P724" s="336">
        <f t="shared" si="141"/>
        <v>-105377.58164128178</v>
      </c>
      <c r="Q724" s="336">
        <f t="shared" si="142"/>
        <v>106194.24830794845</v>
      </c>
      <c r="R724" s="303">
        <f t="shared" si="143"/>
        <v>176.99041384658076</v>
      </c>
    </row>
    <row r="725" spans="1:18" x14ac:dyDescent="0.3">
      <c r="A725" s="2">
        <v>1588</v>
      </c>
      <c r="B725" s="41" t="s">
        <v>597</v>
      </c>
      <c r="C725" s="2">
        <v>7</v>
      </c>
      <c r="D725" s="2" t="s">
        <v>12</v>
      </c>
      <c r="E725" s="294">
        <v>2230</v>
      </c>
      <c r="F725" s="296">
        <v>2783.3333333333335</v>
      </c>
      <c r="G725" s="352">
        <v>32</v>
      </c>
      <c r="H725" s="296">
        <f t="shared" si="138"/>
        <v>71360</v>
      </c>
      <c r="I725" s="122">
        <f t="shared" si="139"/>
        <v>89066.666666666672</v>
      </c>
      <c r="J725" s="331">
        <f t="shared" si="140"/>
        <v>17706.666666666672</v>
      </c>
      <c r="K725" s="292">
        <f>'09-RESUMEN'!$F$43/1375</f>
        <v>81431.961035221175</v>
      </c>
      <c r="L725" s="122">
        <f>('ESTADO RESULTADOS'!$C$36+'ESTADO RESULTADOS'!$C$71)/1375</f>
        <v>24762.287272727273</v>
      </c>
      <c r="M725" s="122">
        <v>0</v>
      </c>
      <c r="N725" s="122">
        <f t="shared" si="144"/>
        <v>177554.24830794844</v>
      </c>
      <c r="O725" s="122">
        <f t="shared" si="145"/>
        <v>5548.5702596233887</v>
      </c>
      <c r="P725" s="336">
        <f t="shared" si="141"/>
        <v>-88487.581641281766</v>
      </c>
      <c r="Q725" s="336">
        <f t="shared" si="142"/>
        <v>3318.5702596233887</v>
      </c>
      <c r="R725" s="303">
        <f t="shared" si="143"/>
        <v>1.4881480984858244</v>
      </c>
    </row>
    <row r="726" spans="1:18" x14ac:dyDescent="0.3">
      <c r="A726" s="2">
        <v>1589</v>
      </c>
      <c r="B726" s="41" t="s">
        <v>1765</v>
      </c>
      <c r="C726" s="2">
        <v>7</v>
      </c>
      <c r="D726" s="2" t="s">
        <v>12</v>
      </c>
      <c r="E726" s="294">
        <v>2300</v>
      </c>
      <c r="F726" s="296">
        <v>3266.6666666666665</v>
      </c>
      <c r="G726" s="352">
        <v>1</v>
      </c>
      <c r="H726" s="296">
        <f t="shared" si="138"/>
        <v>2300</v>
      </c>
      <c r="I726" s="122">
        <f t="shared" si="139"/>
        <v>3266.6666666666665</v>
      </c>
      <c r="J726" s="331">
        <f t="shared" si="140"/>
        <v>966.66666666666652</v>
      </c>
      <c r="K726" s="292">
        <f>'09-RESUMEN'!$F$43/1375</f>
        <v>81431.961035221175</v>
      </c>
      <c r="L726" s="122">
        <f>('ESTADO RESULTADOS'!$C$36+'ESTADO RESULTADOS'!$C$71)/1375</f>
        <v>24762.287272727273</v>
      </c>
      <c r="M726" s="122">
        <v>0</v>
      </c>
      <c r="N726" s="122">
        <f t="shared" si="144"/>
        <v>108494.24830794845</v>
      </c>
      <c r="O726" s="122">
        <f t="shared" si="145"/>
        <v>108494.24830794845</v>
      </c>
      <c r="P726" s="336">
        <f t="shared" si="141"/>
        <v>-105227.58164128178</v>
      </c>
      <c r="Q726" s="336">
        <f t="shared" si="142"/>
        <v>106194.24830794845</v>
      </c>
      <c r="R726" s="303">
        <f t="shared" si="143"/>
        <v>46.171412307803678</v>
      </c>
    </row>
    <row r="727" spans="1:18" x14ac:dyDescent="0.3">
      <c r="A727" s="2">
        <v>1592</v>
      </c>
      <c r="B727" s="41" t="s">
        <v>598</v>
      </c>
      <c r="C727" s="2">
        <v>2</v>
      </c>
      <c r="D727" s="2" t="s">
        <v>5</v>
      </c>
      <c r="E727" s="294">
        <v>240</v>
      </c>
      <c r="F727" s="296">
        <v>1000</v>
      </c>
      <c r="G727" s="352">
        <v>97</v>
      </c>
      <c r="H727" s="296">
        <f t="shared" si="138"/>
        <v>23280</v>
      </c>
      <c r="I727" s="122">
        <f t="shared" si="139"/>
        <v>97000</v>
      </c>
      <c r="J727" s="331">
        <f t="shared" si="140"/>
        <v>73720</v>
      </c>
      <c r="K727" s="292">
        <f>'09-RESUMEN'!$F$43/1375</f>
        <v>81431.961035221175</v>
      </c>
      <c r="L727" s="122">
        <f>('ESTADO RESULTADOS'!$C$36+'ESTADO RESULTADOS'!$C$71)/1375</f>
        <v>24762.287272727273</v>
      </c>
      <c r="M727" s="122">
        <v>0</v>
      </c>
      <c r="N727" s="122">
        <f t="shared" si="144"/>
        <v>129474.24830794845</v>
      </c>
      <c r="O727" s="122">
        <f t="shared" si="145"/>
        <v>1334.7860650303965</v>
      </c>
      <c r="P727" s="336">
        <f t="shared" si="141"/>
        <v>-32474.248307948452</v>
      </c>
      <c r="Q727" s="336">
        <f t="shared" si="142"/>
        <v>1094.7860650303965</v>
      </c>
      <c r="R727" s="303">
        <f t="shared" si="143"/>
        <v>4.5616086042933182</v>
      </c>
    </row>
    <row r="728" spans="1:18" x14ac:dyDescent="0.3">
      <c r="A728" s="2">
        <v>1594</v>
      </c>
      <c r="B728" s="41" t="s">
        <v>599</v>
      </c>
      <c r="C728" s="2">
        <v>14</v>
      </c>
      <c r="D728" s="2" t="s">
        <v>81</v>
      </c>
      <c r="E728" s="294">
        <v>14177</v>
      </c>
      <c r="F728" s="296">
        <v>18000</v>
      </c>
      <c r="G728" s="352">
        <v>9</v>
      </c>
      <c r="H728" s="296">
        <f t="shared" si="138"/>
        <v>127593</v>
      </c>
      <c r="I728" s="122">
        <f t="shared" si="139"/>
        <v>162000</v>
      </c>
      <c r="J728" s="331">
        <f t="shared" si="140"/>
        <v>34407</v>
      </c>
      <c r="K728" s="292">
        <f>'09-RESUMEN'!$F$43/1375</f>
        <v>81431.961035221175</v>
      </c>
      <c r="L728" s="122">
        <f>('ESTADO RESULTADOS'!$C$36+'ESTADO RESULTADOS'!$C$71)/1375</f>
        <v>24762.287272727273</v>
      </c>
      <c r="M728" s="122">
        <v>0</v>
      </c>
      <c r="N728" s="122">
        <f t="shared" si="144"/>
        <v>233787.24830794844</v>
      </c>
      <c r="O728" s="122">
        <f t="shared" si="145"/>
        <v>25976.360923105382</v>
      </c>
      <c r="P728" s="336">
        <f t="shared" si="141"/>
        <v>-71787.248307948437</v>
      </c>
      <c r="Q728" s="336">
        <f t="shared" si="142"/>
        <v>11799.360923105382</v>
      </c>
      <c r="R728" s="303">
        <f t="shared" si="143"/>
        <v>0.83228898378397276</v>
      </c>
    </row>
    <row r="729" spans="1:18" x14ac:dyDescent="0.3">
      <c r="A729" s="2">
        <v>1597</v>
      </c>
      <c r="B729" s="41" t="s">
        <v>600</v>
      </c>
      <c r="C729" s="2">
        <v>14</v>
      </c>
      <c r="D729" s="2" t="s">
        <v>81</v>
      </c>
      <c r="E729" s="294">
        <v>23817</v>
      </c>
      <c r="F729" s="296">
        <v>26800</v>
      </c>
      <c r="G729" s="352">
        <v>9</v>
      </c>
      <c r="H729" s="296">
        <f t="shared" si="138"/>
        <v>214353</v>
      </c>
      <c r="I729" s="122">
        <f t="shared" si="139"/>
        <v>241200</v>
      </c>
      <c r="J729" s="331">
        <f t="shared" si="140"/>
        <v>26847</v>
      </c>
      <c r="K729" s="292">
        <f>'09-RESUMEN'!$F$43/1375</f>
        <v>81431.961035221175</v>
      </c>
      <c r="L729" s="122">
        <f>('ESTADO RESULTADOS'!$C$36+'ESTADO RESULTADOS'!$C$71)/1375</f>
        <v>24762.287272727273</v>
      </c>
      <c r="M729" s="122">
        <v>0</v>
      </c>
      <c r="N729" s="122">
        <f t="shared" si="144"/>
        <v>320547.24830794847</v>
      </c>
      <c r="O729" s="122">
        <f t="shared" si="145"/>
        <v>35616.360923105385</v>
      </c>
      <c r="P729" s="336">
        <f t="shared" si="141"/>
        <v>-79347.248307948466</v>
      </c>
      <c r="Q729" s="336">
        <f t="shared" si="142"/>
        <v>11799.360923105385</v>
      </c>
      <c r="R729" s="303">
        <f t="shared" si="143"/>
        <v>0.49541759764476573</v>
      </c>
    </row>
    <row r="730" spans="1:18" x14ac:dyDescent="0.3">
      <c r="A730" s="2">
        <v>1599</v>
      </c>
      <c r="B730" s="41" t="s">
        <v>601</v>
      </c>
      <c r="C730" s="2">
        <v>6</v>
      </c>
      <c r="D730" s="2" t="s">
        <v>12</v>
      </c>
      <c r="E730" s="294">
        <v>16000</v>
      </c>
      <c r="F730" s="296">
        <v>22500</v>
      </c>
      <c r="G730" s="352">
        <v>2</v>
      </c>
      <c r="H730" s="296">
        <f t="shared" si="138"/>
        <v>32000</v>
      </c>
      <c r="I730" s="122">
        <f t="shared" si="139"/>
        <v>45000</v>
      </c>
      <c r="J730" s="331">
        <f t="shared" si="140"/>
        <v>13000</v>
      </c>
      <c r="K730" s="292">
        <f>'09-RESUMEN'!$F$43/1375</f>
        <v>81431.961035221175</v>
      </c>
      <c r="L730" s="122">
        <f>('ESTADO RESULTADOS'!$C$36+'ESTADO RESULTADOS'!$C$71)/1375</f>
        <v>24762.287272727273</v>
      </c>
      <c r="M730" s="122">
        <v>0</v>
      </c>
      <c r="N730" s="122">
        <f t="shared" si="144"/>
        <v>138194.24830794844</v>
      </c>
      <c r="O730" s="122">
        <f t="shared" si="145"/>
        <v>69097.124153974219</v>
      </c>
      <c r="P730" s="336">
        <f t="shared" si="141"/>
        <v>-93194.248307948437</v>
      </c>
      <c r="Q730" s="336">
        <f t="shared" si="142"/>
        <v>53097.124153974219</v>
      </c>
      <c r="R730" s="303">
        <f t="shared" si="143"/>
        <v>3.3185702596233888</v>
      </c>
    </row>
    <row r="731" spans="1:18" x14ac:dyDescent="0.3">
      <c r="A731" s="2">
        <v>1602</v>
      </c>
      <c r="B731" s="41" t="s">
        <v>602</v>
      </c>
      <c r="C731" s="2">
        <v>14</v>
      </c>
      <c r="D731" s="2" t="s">
        <v>12</v>
      </c>
      <c r="E731" s="294">
        <v>6067</v>
      </c>
      <c r="F731" s="296">
        <v>9000</v>
      </c>
      <c r="G731" s="352">
        <v>5</v>
      </c>
      <c r="H731" s="296">
        <f t="shared" si="138"/>
        <v>30335</v>
      </c>
      <c r="I731" s="122">
        <f t="shared" si="139"/>
        <v>45000</v>
      </c>
      <c r="J731" s="331">
        <f t="shared" si="140"/>
        <v>14665</v>
      </c>
      <c r="K731" s="292">
        <f>'09-RESUMEN'!$F$43/1375</f>
        <v>81431.961035221175</v>
      </c>
      <c r="L731" s="122">
        <f>('ESTADO RESULTADOS'!$C$36+'ESTADO RESULTADOS'!$C$71)/1375</f>
        <v>24762.287272727273</v>
      </c>
      <c r="M731" s="122">
        <v>0</v>
      </c>
      <c r="N731" s="122">
        <f t="shared" si="144"/>
        <v>136529.24830794844</v>
      </c>
      <c r="O731" s="122">
        <f t="shared" si="145"/>
        <v>27305.849661589687</v>
      </c>
      <c r="P731" s="336">
        <f t="shared" si="141"/>
        <v>-91529.248307948437</v>
      </c>
      <c r="Q731" s="336">
        <f t="shared" si="142"/>
        <v>21238.849661589687</v>
      </c>
      <c r="R731" s="303">
        <f t="shared" si="143"/>
        <v>3.500716937792927</v>
      </c>
    </row>
    <row r="732" spans="1:18" x14ac:dyDescent="0.3">
      <c r="A732" s="2">
        <v>1604</v>
      </c>
      <c r="B732" s="41" t="s">
        <v>1766</v>
      </c>
      <c r="C732" s="2">
        <v>2</v>
      </c>
      <c r="D732" s="2" t="s">
        <v>243</v>
      </c>
      <c r="E732" s="294">
        <v>79562.7</v>
      </c>
      <c r="F732" s="296">
        <v>91200</v>
      </c>
      <c r="G732" s="352">
        <v>297.5</v>
      </c>
      <c r="H732" s="296">
        <f t="shared" si="138"/>
        <v>23669903.25</v>
      </c>
      <c r="I732" s="122">
        <f t="shared" si="139"/>
        <v>27132000</v>
      </c>
      <c r="J732" s="331">
        <f t="shared" si="140"/>
        <v>3462096.75</v>
      </c>
      <c r="K732" s="292">
        <f>'09-RESUMEN'!$F$43/1375</f>
        <v>81431.961035221175</v>
      </c>
      <c r="L732" s="122">
        <f>('ESTADO RESULTADOS'!$C$36+'ESTADO RESULTADOS'!$C$71)/1375</f>
        <v>24762.287272727273</v>
      </c>
      <c r="M732" s="122">
        <v>0</v>
      </c>
      <c r="N732" s="122">
        <f t="shared" si="144"/>
        <v>23776097.498307951</v>
      </c>
      <c r="O732" s="122">
        <f t="shared" si="145"/>
        <v>79919.655456497319</v>
      </c>
      <c r="P732" s="336">
        <f t="shared" si="141"/>
        <v>3355902.5016920492</v>
      </c>
      <c r="Q732" s="336">
        <f t="shared" si="142"/>
        <v>356.9554564973223</v>
      </c>
      <c r="R732" s="303">
        <f t="shared" si="143"/>
        <v>4.4864673584144622E-3</v>
      </c>
    </row>
    <row r="733" spans="1:18" x14ac:dyDescent="0.3">
      <c r="A733" s="2">
        <v>1606</v>
      </c>
      <c r="B733" s="41" t="s">
        <v>603</v>
      </c>
      <c r="C733" s="2">
        <v>12</v>
      </c>
      <c r="D733" s="2" t="s">
        <v>12</v>
      </c>
      <c r="E733" s="294">
        <v>13779.01</v>
      </c>
      <c r="F733" s="296">
        <v>16800</v>
      </c>
      <c r="G733" s="352">
        <v>1</v>
      </c>
      <c r="H733" s="296">
        <f t="shared" si="138"/>
        <v>13779.01</v>
      </c>
      <c r="I733" s="122">
        <f t="shared" si="139"/>
        <v>16800</v>
      </c>
      <c r="J733" s="331">
        <f t="shared" si="140"/>
        <v>3020.99</v>
      </c>
      <c r="K733" s="292">
        <f>'09-RESUMEN'!$F$43/1375</f>
        <v>81431.961035221175</v>
      </c>
      <c r="L733" s="122">
        <f>('ESTADO RESULTADOS'!$C$36+'ESTADO RESULTADOS'!$C$71)/1375</f>
        <v>24762.287272727273</v>
      </c>
      <c r="M733" s="122">
        <v>0</v>
      </c>
      <c r="N733" s="122">
        <f t="shared" si="144"/>
        <v>119973.25830794845</v>
      </c>
      <c r="O733" s="122">
        <f t="shared" si="145"/>
        <v>119973.25830794845</v>
      </c>
      <c r="P733" s="336">
        <f t="shared" si="141"/>
        <v>-103173.25830794845</v>
      </c>
      <c r="Q733" s="336">
        <f t="shared" si="142"/>
        <v>106194.24830794845</v>
      </c>
      <c r="R733" s="303">
        <f t="shared" si="143"/>
        <v>7.706957779111014</v>
      </c>
    </row>
    <row r="734" spans="1:18" x14ac:dyDescent="0.3">
      <c r="A734" s="2">
        <v>1608</v>
      </c>
      <c r="B734" s="41" t="s">
        <v>605</v>
      </c>
      <c r="C734" s="2">
        <v>5</v>
      </c>
      <c r="D734" s="2" t="s">
        <v>5</v>
      </c>
      <c r="E734" s="294">
        <v>152900</v>
      </c>
      <c r="F734" s="296">
        <v>172000</v>
      </c>
      <c r="G734" s="352">
        <v>7</v>
      </c>
      <c r="H734" s="296">
        <f t="shared" si="138"/>
        <v>1070300</v>
      </c>
      <c r="I734" s="122">
        <f t="shared" si="139"/>
        <v>1204000</v>
      </c>
      <c r="J734" s="331">
        <f t="shared" si="140"/>
        <v>133700</v>
      </c>
      <c r="K734" s="292">
        <f>'09-RESUMEN'!$F$43/1375</f>
        <v>81431.961035221175</v>
      </c>
      <c r="L734" s="122">
        <f>('ESTADO RESULTADOS'!$C$36+'ESTADO RESULTADOS'!$C$71)/1375</f>
        <v>24762.287272727273</v>
      </c>
      <c r="M734" s="122">
        <v>0</v>
      </c>
      <c r="N734" s="122">
        <f t="shared" si="144"/>
        <v>1176494.2483079485</v>
      </c>
      <c r="O734" s="122">
        <f t="shared" si="145"/>
        <v>168070.6069011355</v>
      </c>
      <c r="P734" s="336">
        <f t="shared" si="141"/>
        <v>27505.751692051534</v>
      </c>
      <c r="Q734" s="336">
        <f t="shared" si="142"/>
        <v>15170.606901135499</v>
      </c>
      <c r="R734" s="303">
        <f t="shared" si="143"/>
        <v>9.9219142584274028E-2</v>
      </c>
    </row>
    <row r="735" spans="1:18" x14ac:dyDescent="0.3">
      <c r="A735" s="2">
        <v>1609</v>
      </c>
      <c r="B735" s="41" t="s">
        <v>606</v>
      </c>
      <c r="C735" s="2">
        <v>9</v>
      </c>
      <c r="D735" s="2" t="s">
        <v>12</v>
      </c>
      <c r="E735" s="294">
        <v>10128</v>
      </c>
      <c r="F735" s="296">
        <v>11800</v>
      </c>
      <c r="G735" s="352">
        <v>0</v>
      </c>
      <c r="H735" s="296">
        <f t="shared" si="138"/>
        <v>0</v>
      </c>
      <c r="I735" s="122">
        <f t="shared" si="139"/>
        <v>0</v>
      </c>
      <c r="J735" s="331">
        <f t="shared" si="140"/>
        <v>0</v>
      </c>
      <c r="K735" s="292">
        <f>'09-RESUMEN'!$F$43/1375</f>
        <v>81431.961035221175</v>
      </c>
      <c r="L735" s="122">
        <f>('ESTADO RESULTADOS'!$C$36+'ESTADO RESULTADOS'!$C$71)/1375</f>
        <v>24762.287272727273</v>
      </c>
      <c r="M735" s="122">
        <v>0</v>
      </c>
      <c r="N735" s="122">
        <f>SUM(E735+K735+L735+M735)</f>
        <v>116322.24830794845</v>
      </c>
      <c r="O735" s="122">
        <f>N735</f>
        <v>116322.24830794845</v>
      </c>
      <c r="P735" s="336">
        <f t="shared" si="141"/>
        <v>-116322.24830794845</v>
      </c>
      <c r="Q735" s="336">
        <f t="shared" si="142"/>
        <v>106194.24830794845</v>
      </c>
      <c r="R735" s="303">
        <f t="shared" si="143"/>
        <v>10.485214090437248</v>
      </c>
    </row>
    <row r="736" spans="1:18" x14ac:dyDescent="0.3">
      <c r="A736" s="2">
        <v>1610</v>
      </c>
      <c r="B736" s="41" t="s">
        <v>607</v>
      </c>
      <c r="C736" s="2">
        <v>5</v>
      </c>
      <c r="D736" s="2" t="s">
        <v>419</v>
      </c>
      <c r="E736" s="294">
        <v>103000</v>
      </c>
      <c r="F736" s="296">
        <v>116666.66666666667</v>
      </c>
      <c r="G736" s="352">
        <v>15</v>
      </c>
      <c r="H736" s="296">
        <f t="shared" si="138"/>
        <v>1545000</v>
      </c>
      <c r="I736" s="122">
        <f t="shared" si="139"/>
        <v>1750000</v>
      </c>
      <c r="J736" s="331">
        <f t="shared" si="140"/>
        <v>205000</v>
      </c>
      <c r="K736" s="292">
        <f>'09-RESUMEN'!$F$43/1375</f>
        <v>81431.961035221175</v>
      </c>
      <c r="L736" s="122">
        <f>('ESTADO RESULTADOS'!$C$36+'ESTADO RESULTADOS'!$C$71)/1375</f>
        <v>24762.287272727273</v>
      </c>
      <c r="M736" s="122">
        <v>0</v>
      </c>
      <c r="N736" s="122">
        <f t="shared" ref="N736:N752" si="146">SUM(H736+K736+L736+M736)</f>
        <v>1651194.2483079485</v>
      </c>
      <c r="O736" s="122">
        <f t="shared" ref="O736:O752" si="147">N736/G736</f>
        <v>110079.61655386323</v>
      </c>
      <c r="P736" s="336">
        <f t="shared" si="141"/>
        <v>98805.751692051534</v>
      </c>
      <c r="Q736" s="336">
        <f t="shared" si="142"/>
        <v>7079.616553863234</v>
      </c>
      <c r="R736" s="303">
        <f t="shared" si="143"/>
        <v>6.8734141299643045E-2</v>
      </c>
    </row>
    <row r="737" spans="1:18" x14ac:dyDescent="0.3">
      <c r="A737" s="2">
        <v>1611</v>
      </c>
      <c r="B737" s="41" t="s">
        <v>608</v>
      </c>
      <c r="C737" s="2">
        <v>2</v>
      </c>
      <c r="D737" s="2" t="s">
        <v>554</v>
      </c>
      <c r="E737" s="294">
        <v>56289</v>
      </c>
      <c r="F737" s="296">
        <v>64000</v>
      </c>
      <c r="G737" s="352">
        <v>646</v>
      </c>
      <c r="H737" s="296">
        <f t="shared" si="138"/>
        <v>36362694</v>
      </c>
      <c r="I737" s="122">
        <f t="shared" si="139"/>
        <v>41344000</v>
      </c>
      <c r="J737" s="331">
        <f t="shared" si="140"/>
        <v>4981306</v>
      </c>
      <c r="K737" s="292">
        <f>'09-RESUMEN'!$F$43/1375</f>
        <v>81431.961035221175</v>
      </c>
      <c r="L737" s="122">
        <f>('ESTADO RESULTADOS'!$C$36+'ESTADO RESULTADOS'!$C$71)/1375</f>
        <v>24762.287272727273</v>
      </c>
      <c r="M737" s="122">
        <v>0</v>
      </c>
      <c r="N737" s="122">
        <f t="shared" si="146"/>
        <v>36468888.248307951</v>
      </c>
      <c r="O737" s="122">
        <f t="shared" si="147"/>
        <v>56453.38738128166</v>
      </c>
      <c r="P737" s="336">
        <f t="shared" si="141"/>
        <v>4875111.7516920492</v>
      </c>
      <c r="Q737" s="336">
        <f t="shared" si="142"/>
        <v>164.38738128166005</v>
      </c>
      <c r="R737" s="303">
        <f t="shared" si="143"/>
        <v>2.9204175110884908E-3</v>
      </c>
    </row>
    <row r="738" spans="1:18" x14ac:dyDescent="0.3">
      <c r="A738" s="2">
        <v>1615</v>
      </c>
      <c r="B738" s="41" t="s">
        <v>609</v>
      </c>
      <c r="C738" s="2">
        <v>2</v>
      </c>
      <c r="D738" s="2" t="s">
        <v>5</v>
      </c>
      <c r="E738" s="294">
        <v>2982.0524999999998</v>
      </c>
      <c r="F738" s="296">
        <v>3500</v>
      </c>
      <c r="G738" s="352">
        <v>134</v>
      </c>
      <c r="H738" s="296">
        <f t="shared" si="138"/>
        <v>399595.03499999997</v>
      </c>
      <c r="I738" s="122">
        <f t="shared" si="139"/>
        <v>469000</v>
      </c>
      <c r="J738" s="331">
        <f t="shared" si="140"/>
        <v>69404.965000000026</v>
      </c>
      <c r="K738" s="292">
        <f>'09-RESUMEN'!$F$43/1375</f>
        <v>81431.961035221175</v>
      </c>
      <c r="L738" s="122">
        <f>('ESTADO RESULTADOS'!$C$36+'ESTADO RESULTADOS'!$C$71)/1375</f>
        <v>24762.287272727273</v>
      </c>
      <c r="M738" s="122">
        <v>0</v>
      </c>
      <c r="N738" s="122">
        <f t="shared" si="146"/>
        <v>505789.28330794844</v>
      </c>
      <c r="O738" s="122">
        <f t="shared" si="147"/>
        <v>3774.5468903578244</v>
      </c>
      <c r="P738" s="336">
        <f t="shared" si="141"/>
        <v>-36789.283307948441</v>
      </c>
      <c r="Q738" s="336">
        <f t="shared" si="142"/>
        <v>792.49439035782461</v>
      </c>
      <c r="R738" s="303">
        <f t="shared" si="143"/>
        <v>0.2657546741238877</v>
      </c>
    </row>
    <row r="739" spans="1:18" x14ac:dyDescent="0.3">
      <c r="A739" s="2">
        <v>1617</v>
      </c>
      <c r="B739" s="41" t="s">
        <v>1767</v>
      </c>
      <c r="C739" s="2">
        <v>9</v>
      </c>
      <c r="D739" s="2" t="s">
        <v>12</v>
      </c>
      <c r="E739" s="294">
        <v>13599.6</v>
      </c>
      <c r="F739" s="296">
        <v>16266.666666666666</v>
      </c>
      <c r="G739" s="352">
        <v>7</v>
      </c>
      <c r="H739" s="296">
        <f t="shared" si="138"/>
        <v>95197.2</v>
      </c>
      <c r="I739" s="122">
        <f t="shared" si="139"/>
        <v>113866.66666666666</v>
      </c>
      <c r="J739" s="331">
        <f t="shared" si="140"/>
        <v>18669.46666666666</v>
      </c>
      <c r="K739" s="292">
        <f>'09-RESUMEN'!$F$43/1375</f>
        <v>81431.961035221175</v>
      </c>
      <c r="L739" s="122">
        <f>('ESTADO RESULTADOS'!$C$36+'ESTADO RESULTADOS'!$C$71)/1375</f>
        <v>24762.287272727273</v>
      </c>
      <c r="M739" s="122">
        <v>0</v>
      </c>
      <c r="N739" s="122">
        <f t="shared" si="146"/>
        <v>201391.44830794845</v>
      </c>
      <c r="O739" s="122">
        <f t="shared" si="147"/>
        <v>28770.206901135494</v>
      </c>
      <c r="P739" s="336">
        <f t="shared" si="141"/>
        <v>-87524.781641281792</v>
      </c>
      <c r="Q739" s="336">
        <f t="shared" si="142"/>
        <v>15170.606901135494</v>
      </c>
      <c r="R739" s="303">
        <f t="shared" si="143"/>
        <v>1.1155186109249899</v>
      </c>
    </row>
    <row r="740" spans="1:18" x14ac:dyDescent="0.3">
      <c r="A740" s="2">
        <v>1618</v>
      </c>
      <c r="B740" s="41" t="s">
        <v>610</v>
      </c>
      <c r="C740" s="2">
        <v>2</v>
      </c>
      <c r="D740" s="2" t="s">
        <v>243</v>
      </c>
      <c r="E740" s="294">
        <v>162256.5</v>
      </c>
      <c r="F740" s="296">
        <v>169133.33333333334</v>
      </c>
      <c r="G740" s="352">
        <v>12</v>
      </c>
      <c r="H740" s="296">
        <f t="shared" si="138"/>
        <v>1947078</v>
      </c>
      <c r="I740" s="122">
        <f t="shared" si="139"/>
        <v>2029600</v>
      </c>
      <c r="J740" s="331">
        <f t="shared" si="140"/>
        <v>82522</v>
      </c>
      <c r="K740" s="292">
        <f>'09-RESUMEN'!$F$43/1375</f>
        <v>81431.961035221175</v>
      </c>
      <c r="L740" s="122">
        <f>('ESTADO RESULTADOS'!$C$36+'ESTADO RESULTADOS'!$C$71)/1375</f>
        <v>24762.287272727273</v>
      </c>
      <c r="M740" s="122">
        <v>0</v>
      </c>
      <c r="N740" s="122">
        <f t="shared" si="146"/>
        <v>2053272.2483079485</v>
      </c>
      <c r="O740" s="122">
        <f t="shared" si="147"/>
        <v>171106.02069232904</v>
      </c>
      <c r="P740" s="336">
        <f t="shared" si="141"/>
        <v>-23672.248307948466</v>
      </c>
      <c r="Q740" s="336">
        <f t="shared" si="142"/>
        <v>8849.5206923290389</v>
      </c>
      <c r="R740" s="303">
        <f t="shared" si="143"/>
        <v>5.4540315440854692E-2</v>
      </c>
    </row>
    <row r="741" spans="1:18" x14ac:dyDescent="0.3">
      <c r="A741" s="2">
        <v>1619</v>
      </c>
      <c r="B741" s="41" t="s">
        <v>611</v>
      </c>
      <c r="C741" s="2">
        <v>14</v>
      </c>
      <c r="D741" s="2" t="s">
        <v>81</v>
      </c>
      <c r="E741" s="294">
        <v>5908</v>
      </c>
      <c r="F741" s="296">
        <v>6800</v>
      </c>
      <c r="G741" s="352">
        <v>16</v>
      </c>
      <c r="H741" s="296">
        <f t="shared" si="138"/>
        <v>94528</v>
      </c>
      <c r="I741" s="122">
        <f t="shared" si="139"/>
        <v>108800</v>
      </c>
      <c r="J741" s="331">
        <f t="shared" si="140"/>
        <v>14272</v>
      </c>
      <c r="K741" s="292">
        <f>'09-RESUMEN'!$F$43/1375</f>
        <v>81431.961035221175</v>
      </c>
      <c r="L741" s="122">
        <f>('ESTADO RESULTADOS'!$C$36+'ESTADO RESULTADOS'!$C$71)/1375</f>
        <v>24762.287272727273</v>
      </c>
      <c r="M741" s="122">
        <v>0</v>
      </c>
      <c r="N741" s="122">
        <f t="shared" si="146"/>
        <v>200722.24830794844</v>
      </c>
      <c r="O741" s="122">
        <f t="shared" si="147"/>
        <v>12545.140519246777</v>
      </c>
      <c r="P741" s="336">
        <f t="shared" si="141"/>
        <v>-91922.248307948437</v>
      </c>
      <c r="Q741" s="336">
        <f t="shared" si="142"/>
        <v>6637.1405192467773</v>
      </c>
      <c r="R741" s="303">
        <f t="shared" si="143"/>
        <v>1.1234157954039907</v>
      </c>
    </row>
    <row r="742" spans="1:18" x14ac:dyDescent="0.3">
      <c r="A742" s="2">
        <v>1620</v>
      </c>
      <c r="B742" s="41" t="s">
        <v>612</v>
      </c>
      <c r="C742" s="2">
        <v>14</v>
      </c>
      <c r="D742" s="2" t="s">
        <v>81</v>
      </c>
      <c r="E742" s="294">
        <v>14984</v>
      </c>
      <c r="F742" s="296">
        <v>16800</v>
      </c>
      <c r="G742" s="352">
        <v>11</v>
      </c>
      <c r="H742" s="296">
        <f t="shared" si="138"/>
        <v>164824</v>
      </c>
      <c r="I742" s="122">
        <f t="shared" si="139"/>
        <v>184800</v>
      </c>
      <c r="J742" s="331">
        <f t="shared" si="140"/>
        <v>19976</v>
      </c>
      <c r="K742" s="292">
        <f>'09-RESUMEN'!$F$43/1375</f>
        <v>81431.961035221175</v>
      </c>
      <c r="L742" s="122">
        <f>('ESTADO RESULTADOS'!$C$36+'ESTADO RESULTADOS'!$C$71)/1375</f>
        <v>24762.287272727273</v>
      </c>
      <c r="M742" s="122">
        <v>0</v>
      </c>
      <c r="N742" s="122">
        <f t="shared" si="146"/>
        <v>271018.24830794847</v>
      </c>
      <c r="O742" s="122">
        <f t="shared" si="147"/>
        <v>24638.02257344986</v>
      </c>
      <c r="P742" s="336">
        <f t="shared" si="141"/>
        <v>-86218.248307948466</v>
      </c>
      <c r="Q742" s="336">
        <f t="shared" si="142"/>
        <v>9654.0225734498599</v>
      </c>
      <c r="R742" s="303">
        <f t="shared" si="143"/>
        <v>0.64428874622596499</v>
      </c>
    </row>
    <row r="743" spans="1:18" x14ac:dyDescent="0.3">
      <c r="A743" s="2">
        <v>1622</v>
      </c>
      <c r="B743" s="41" t="s">
        <v>613</v>
      </c>
      <c r="C743" s="2">
        <v>14</v>
      </c>
      <c r="D743" s="2" t="s">
        <v>81</v>
      </c>
      <c r="E743" s="294">
        <v>33253</v>
      </c>
      <c r="F743" s="296">
        <v>39500</v>
      </c>
      <c r="G743" s="352">
        <v>4</v>
      </c>
      <c r="H743" s="296">
        <f t="shared" si="138"/>
        <v>133012</v>
      </c>
      <c r="I743" s="122">
        <f t="shared" si="139"/>
        <v>158000</v>
      </c>
      <c r="J743" s="331">
        <f t="shared" si="140"/>
        <v>24988</v>
      </c>
      <c r="K743" s="292">
        <f>'09-RESUMEN'!$F$43/1375</f>
        <v>81431.961035221175</v>
      </c>
      <c r="L743" s="122">
        <f>('ESTADO RESULTADOS'!$C$36+'ESTADO RESULTADOS'!$C$71)/1375</f>
        <v>24762.287272727273</v>
      </c>
      <c r="M743" s="122">
        <v>0</v>
      </c>
      <c r="N743" s="122">
        <f t="shared" si="146"/>
        <v>239206.24830794844</v>
      </c>
      <c r="O743" s="122">
        <f t="shared" si="147"/>
        <v>59801.562076987109</v>
      </c>
      <c r="P743" s="336">
        <f t="shared" si="141"/>
        <v>-81206.248307948437</v>
      </c>
      <c r="Q743" s="336">
        <f t="shared" si="142"/>
        <v>26548.562076987109</v>
      </c>
      <c r="R743" s="303">
        <f t="shared" si="143"/>
        <v>0.79838096042423567</v>
      </c>
    </row>
    <row r="744" spans="1:18" x14ac:dyDescent="0.3">
      <c r="A744" s="2">
        <v>1625</v>
      </c>
      <c r="B744" s="41" t="s">
        <v>614</v>
      </c>
      <c r="C744" s="2">
        <v>14</v>
      </c>
      <c r="D744" s="2" t="s">
        <v>81</v>
      </c>
      <c r="E744" s="294">
        <v>5092.5</v>
      </c>
      <c r="F744" s="296">
        <v>6700</v>
      </c>
      <c r="G744" s="352">
        <v>10</v>
      </c>
      <c r="H744" s="296">
        <f t="shared" si="138"/>
        <v>50925</v>
      </c>
      <c r="I744" s="122">
        <f t="shared" si="139"/>
        <v>67000</v>
      </c>
      <c r="J744" s="331">
        <f t="shared" si="140"/>
        <v>16075</v>
      </c>
      <c r="K744" s="292">
        <f>'09-RESUMEN'!$F$43/1375</f>
        <v>81431.961035221175</v>
      </c>
      <c r="L744" s="122">
        <f>('ESTADO RESULTADOS'!$C$36+'ESTADO RESULTADOS'!$C$71)/1375</f>
        <v>24762.287272727273</v>
      </c>
      <c r="M744" s="122">
        <v>0</v>
      </c>
      <c r="N744" s="122">
        <f t="shared" si="146"/>
        <v>157119.24830794844</v>
      </c>
      <c r="O744" s="122">
        <f t="shared" si="147"/>
        <v>15711.924830794844</v>
      </c>
      <c r="P744" s="336">
        <f t="shared" si="141"/>
        <v>-90119.248307948437</v>
      </c>
      <c r="Q744" s="336">
        <f t="shared" si="142"/>
        <v>10619.424830794844</v>
      </c>
      <c r="R744" s="303">
        <f t="shared" si="143"/>
        <v>2.0853067905340881</v>
      </c>
    </row>
    <row r="745" spans="1:18" x14ac:dyDescent="0.3">
      <c r="A745" s="2">
        <v>1626</v>
      </c>
      <c r="B745" s="41" t="s">
        <v>1768</v>
      </c>
      <c r="C745" s="2">
        <v>2</v>
      </c>
      <c r="D745" s="2" t="s">
        <v>243</v>
      </c>
      <c r="E745" s="294">
        <v>129373.965</v>
      </c>
      <c r="F745" s="296">
        <v>143733.33333333334</v>
      </c>
      <c r="G745" s="352">
        <v>12</v>
      </c>
      <c r="H745" s="296">
        <f t="shared" si="138"/>
        <v>1552487.58</v>
      </c>
      <c r="I745" s="122">
        <f t="shared" si="139"/>
        <v>1724800</v>
      </c>
      <c r="J745" s="331">
        <f t="shared" si="140"/>
        <v>172312.41999999993</v>
      </c>
      <c r="K745" s="292">
        <f>'09-RESUMEN'!$F$43/1375</f>
        <v>81431.961035221175</v>
      </c>
      <c r="L745" s="122">
        <f>('ESTADO RESULTADOS'!$C$36+'ESTADO RESULTADOS'!$C$71)/1375</f>
        <v>24762.287272727273</v>
      </c>
      <c r="M745" s="122">
        <v>0</v>
      </c>
      <c r="N745" s="122">
        <f t="shared" si="146"/>
        <v>1658681.8283079485</v>
      </c>
      <c r="O745" s="122">
        <f t="shared" si="147"/>
        <v>138223.48569232904</v>
      </c>
      <c r="P745" s="336">
        <f t="shared" si="141"/>
        <v>66118.171692051459</v>
      </c>
      <c r="Q745" s="336">
        <f t="shared" si="142"/>
        <v>8849.5206923290389</v>
      </c>
      <c r="R745" s="303">
        <f t="shared" si="143"/>
        <v>6.8402639528973533E-2</v>
      </c>
    </row>
    <row r="746" spans="1:18" x14ac:dyDescent="0.3">
      <c r="A746" s="2">
        <v>1632</v>
      </c>
      <c r="B746" s="41" t="s">
        <v>615</v>
      </c>
      <c r="C746" s="2">
        <v>7</v>
      </c>
      <c r="D746" s="2" t="s">
        <v>21</v>
      </c>
      <c r="E746" s="294">
        <v>2230</v>
      </c>
      <c r="F746" s="296">
        <v>2866.6666666666665</v>
      </c>
      <c r="G746" s="352">
        <v>29</v>
      </c>
      <c r="H746" s="296">
        <f t="shared" si="138"/>
        <v>64670</v>
      </c>
      <c r="I746" s="122">
        <f t="shared" si="139"/>
        <v>83133.333333333328</v>
      </c>
      <c r="J746" s="331">
        <f t="shared" si="140"/>
        <v>18463.333333333328</v>
      </c>
      <c r="K746" s="292">
        <f>'09-RESUMEN'!$F$43/1375</f>
        <v>81431.961035221175</v>
      </c>
      <c r="L746" s="122">
        <f>('ESTADO RESULTADOS'!$C$36+'ESTADO RESULTADOS'!$C$71)/1375</f>
        <v>24762.287272727273</v>
      </c>
      <c r="M746" s="122">
        <v>0</v>
      </c>
      <c r="N746" s="122">
        <f t="shared" si="146"/>
        <v>170864.24830794844</v>
      </c>
      <c r="O746" s="122">
        <f t="shared" si="147"/>
        <v>5891.8706313085668</v>
      </c>
      <c r="P746" s="336">
        <f t="shared" si="141"/>
        <v>-87730.914974615109</v>
      </c>
      <c r="Q746" s="336">
        <f t="shared" si="142"/>
        <v>3661.8706313085668</v>
      </c>
      <c r="R746" s="303">
        <f t="shared" si="143"/>
        <v>1.6420944535015995</v>
      </c>
    </row>
    <row r="747" spans="1:18" x14ac:dyDescent="0.3">
      <c r="A747" s="2">
        <v>1635</v>
      </c>
      <c r="B747" s="41" t="s">
        <v>616</v>
      </c>
      <c r="C747" s="2">
        <v>7</v>
      </c>
      <c r="D747" s="2" t="s">
        <v>160</v>
      </c>
      <c r="E747" s="294">
        <v>1190</v>
      </c>
      <c r="F747" s="296">
        <v>1616.6666666666667</v>
      </c>
      <c r="G747" s="352">
        <v>11</v>
      </c>
      <c r="H747" s="296">
        <f t="shared" si="138"/>
        <v>13090</v>
      </c>
      <c r="I747" s="122">
        <f t="shared" si="139"/>
        <v>17783.333333333336</v>
      </c>
      <c r="J747" s="331">
        <f t="shared" si="140"/>
        <v>4693.3333333333358</v>
      </c>
      <c r="K747" s="292">
        <f>'09-RESUMEN'!$F$43/1375</f>
        <v>81431.961035221175</v>
      </c>
      <c r="L747" s="122">
        <f>('ESTADO RESULTADOS'!$C$36+'ESTADO RESULTADOS'!$C$71)/1375</f>
        <v>24762.287272727273</v>
      </c>
      <c r="M747" s="122">
        <v>0</v>
      </c>
      <c r="N747" s="122">
        <f t="shared" si="146"/>
        <v>119284.24830794845</v>
      </c>
      <c r="O747" s="122">
        <f t="shared" si="147"/>
        <v>10844.02257344986</v>
      </c>
      <c r="P747" s="336">
        <f t="shared" si="141"/>
        <v>-101500.91497461512</v>
      </c>
      <c r="Q747" s="336">
        <f t="shared" si="142"/>
        <v>9654.0225734498599</v>
      </c>
      <c r="R747" s="303">
        <f t="shared" si="143"/>
        <v>8.1126240113024028</v>
      </c>
    </row>
    <row r="748" spans="1:18" x14ac:dyDescent="0.3">
      <c r="A748" s="2">
        <v>1637</v>
      </c>
      <c r="B748" s="41" t="s">
        <v>1769</v>
      </c>
      <c r="C748" s="2">
        <v>14</v>
      </c>
      <c r="D748" s="2" t="s">
        <v>81</v>
      </c>
      <c r="E748" s="294">
        <v>23179</v>
      </c>
      <c r="F748" s="296">
        <v>33550</v>
      </c>
      <c r="G748" s="352">
        <v>4</v>
      </c>
      <c r="H748" s="296">
        <f t="shared" si="138"/>
        <v>92716</v>
      </c>
      <c r="I748" s="122">
        <f t="shared" si="139"/>
        <v>134200</v>
      </c>
      <c r="J748" s="331">
        <f t="shared" si="140"/>
        <v>41484</v>
      </c>
      <c r="K748" s="292">
        <f>'09-RESUMEN'!$F$43/1375</f>
        <v>81431.961035221175</v>
      </c>
      <c r="L748" s="122">
        <f>('ESTADO RESULTADOS'!$C$36+'ESTADO RESULTADOS'!$C$71)/1375</f>
        <v>24762.287272727273</v>
      </c>
      <c r="M748" s="122">
        <v>0</v>
      </c>
      <c r="N748" s="122">
        <f t="shared" si="146"/>
        <v>198910.24830794844</v>
      </c>
      <c r="O748" s="122">
        <f t="shared" si="147"/>
        <v>49727.562076987109</v>
      </c>
      <c r="P748" s="336">
        <f t="shared" si="141"/>
        <v>-64710.248307948437</v>
      </c>
      <c r="Q748" s="336">
        <f t="shared" si="142"/>
        <v>26548.562076987109</v>
      </c>
      <c r="R748" s="303">
        <f t="shared" si="143"/>
        <v>1.1453713308161313</v>
      </c>
    </row>
    <row r="749" spans="1:18" x14ac:dyDescent="0.3">
      <c r="A749" s="2">
        <v>1641</v>
      </c>
      <c r="B749" s="41" t="s">
        <v>1770</v>
      </c>
      <c r="C749" s="2">
        <v>14</v>
      </c>
      <c r="D749" s="2" t="s">
        <v>16</v>
      </c>
      <c r="E749" s="294">
        <v>22243</v>
      </c>
      <c r="F749" s="296">
        <v>30100</v>
      </c>
      <c r="G749" s="352">
        <v>2</v>
      </c>
      <c r="H749" s="296">
        <f t="shared" si="138"/>
        <v>44486</v>
      </c>
      <c r="I749" s="122">
        <f t="shared" si="139"/>
        <v>60200</v>
      </c>
      <c r="J749" s="331">
        <f t="shared" si="140"/>
        <v>15714</v>
      </c>
      <c r="K749" s="292">
        <f>'09-RESUMEN'!$F$43/1375</f>
        <v>81431.961035221175</v>
      </c>
      <c r="L749" s="122">
        <f>('ESTADO RESULTADOS'!$C$36+'ESTADO RESULTADOS'!$C$71)/1375</f>
        <v>24762.287272727273</v>
      </c>
      <c r="M749" s="122">
        <v>0</v>
      </c>
      <c r="N749" s="122">
        <f t="shared" si="146"/>
        <v>150680.24830794844</v>
      </c>
      <c r="O749" s="122">
        <f t="shared" si="147"/>
        <v>75340.124153974219</v>
      </c>
      <c r="P749" s="336">
        <f t="shared" si="141"/>
        <v>-90480.248307948437</v>
      </c>
      <c r="Q749" s="336">
        <f t="shared" si="142"/>
        <v>53097.124153974219</v>
      </c>
      <c r="R749" s="303">
        <f t="shared" si="143"/>
        <v>2.3871386123263147</v>
      </c>
    </row>
    <row r="750" spans="1:18" x14ac:dyDescent="0.3">
      <c r="A750" s="2">
        <v>1645</v>
      </c>
      <c r="B750" s="41" t="s">
        <v>617</v>
      </c>
      <c r="C750" s="2">
        <v>5</v>
      </c>
      <c r="D750" s="2" t="s">
        <v>5</v>
      </c>
      <c r="E750" s="294">
        <v>7200</v>
      </c>
      <c r="F750" s="296">
        <v>8583.3333333333339</v>
      </c>
      <c r="G750" s="352">
        <v>37</v>
      </c>
      <c r="H750" s="296">
        <f t="shared" si="138"/>
        <v>266400</v>
      </c>
      <c r="I750" s="122">
        <f t="shared" si="139"/>
        <v>317583.33333333337</v>
      </c>
      <c r="J750" s="331">
        <f t="shared" si="140"/>
        <v>51183.333333333372</v>
      </c>
      <c r="K750" s="292">
        <f>'09-RESUMEN'!$F$43/1375</f>
        <v>81431.961035221175</v>
      </c>
      <c r="L750" s="122">
        <f>('ESTADO RESULTADOS'!$C$36+'ESTADO RESULTADOS'!$C$71)/1375</f>
        <v>24762.287272727273</v>
      </c>
      <c r="M750" s="122">
        <v>0</v>
      </c>
      <c r="N750" s="122">
        <f t="shared" si="146"/>
        <v>372594.24830794847</v>
      </c>
      <c r="O750" s="122">
        <f t="shared" si="147"/>
        <v>10070.114819133742</v>
      </c>
      <c r="P750" s="336">
        <f t="shared" si="141"/>
        <v>-55010.914974615094</v>
      </c>
      <c r="Q750" s="336">
        <f t="shared" si="142"/>
        <v>2870.1148191337415</v>
      </c>
      <c r="R750" s="303">
        <f t="shared" si="143"/>
        <v>0.39862705821301964</v>
      </c>
    </row>
    <row r="751" spans="1:18" x14ac:dyDescent="0.3">
      <c r="A751" s="2">
        <v>1647</v>
      </c>
      <c r="B751" s="41" t="s">
        <v>1771</v>
      </c>
      <c r="C751" s="2">
        <v>5</v>
      </c>
      <c r="D751" s="2" t="s">
        <v>5</v>
      </c>
      <c r="E751" s="294">
        <v>112300</v>
      </c>
      <c r="F751" s="296">
        <v>130333.33333333333</v>
      </c>
      <c r="G751" s="352">
        <v>2</v>
      </c>
      <c r="H751" s="296">
        <f t="shared" si="138"/>
        <v>224600</v>
      </c>
      <c r="I751" s="122">
        <f t="shared" si="139"/>
        <v>260666.66666666666</v>
      </c>
      <c r="J751" s="331">
        <f t="shared" si="140"/>
        <v>36066.666666666657</v>
      </c>
      <c r="K751" s="292">
        <f>'09-RESUMEN'!$F$43/1375</f>
        <v>81431.961035221175</v>
      </c>
      <c r="L751" s="122">
        <f>('ESTADO RESULTADOS'!$C$36+'ESTADO RESULTADOS'!$C$71)/1375</f>
        <v>24762.287272727273</v>
      </c>
      <c r="M751" s="122">
        <v>0</v>
      </c>
      <c r="N751" s="122">
        <f t="shared" si="146"/>
        <v>330794.24830794847</v>
      </c>
      <c r="O751" s="122">
        <f t="shared" si="147"/>
        <v>165397.12415397423</v>
      </c>
      <c r="P751" s="336">
        <f t="shared" si="141"/>
        <v>-70127.581641281809</v>
      </c>
      <c r="Q751" s="336">
        <f t="shared" si="142"/>
        <v>53097.124153974233</v>
      </c>
      <c r="R751" s="303">
        <f t="shared" si="143"/>
        <v>0.47281499691873763</v>
      </c>
    </row>
    <row r="752" spans="1:18" x14ac:dyDescent="0.3">
      <c r="A752" s="2">
        <v>1652</v>
      </c>
      <c r="B752" s="41" t="s">
        <v>618</v>
      </c>
      <c r="C752" s="2">
        <v>14</v>
      </c>
      <c r="D752" s="2" t="s">
        <v>81</v>
      </c>
      <c r="E752" s="294">
        <v>76526</v>
      </c>
      <c r="F752" s="296">
        <v>90533.333333333328</v>
      </c>
      <c r="G752" s="352">
        <v>11</v>
      </c>
      <c r="H752" s="296">
        <f t="shared" si="138"/>
        <v>841786</v>
      </c>
      <c r="I752" s="122">
        <f t="shared" si="139"/>
        <v>995866.66666666663</v>
      </c>
      <c r="J752" s="331">
        <f t="shared" si="140"/>
        <v>154080.66666666663</v>
      </c>
      <c r="K752" s="292">
        <f>'09-RESUMEN'!$F$43/1375</f>
        <v>81431.961035221175</v>
      </c>
      <c r="L752" s="122">
        <f>('ESTADO RESULTADOS'!$C$36+'ESTADO RESULTADOS'!$C$71)/1375</f>
        <v>24762.287272727273</v>
      </c>
      <c r="M752" s="122">
        <v>0</v>
      </c>
      <c r="N752" s="122">
        <f t="shared" si="146"/>
        <v>947980.24830794835</v>
      </c>
      <c r="O752" s="122">
        <f t="shared" si="147"/>
        <v>86180.022573449853</v>
      </c>
      <c r="P752" s="336">
        <f t="shared" si="141"/>
        <v>47886.418358718278</v>
      </c>
      <c r="Q752" s="336">
        <f t="shared" si="142"/>
        <v>9654.0225734498526</v>
      </c>
      <c r="R752" s="303">
        <f t="shared" si="143"/>
        <v>0.12615349781054613</v>
      </c>
    </row>
    <row r="753" spans="1:18" x14ac:dyDescent="0.3">
      <c r="A753" s="2">
        <v>1657</v>
      </c>
      <c r="B753" s="41" t="s">
        <v>619</v>
      </c>
      <c r="C753" s="2">
        <v>2</v>
      </c>
      <c r="D753" s="2" t="s">
        <v>604</v>
      </c>
      <c r="E753" s="294">
        <v>146399.99849999999</v>
      </c>
      <c r="F753" s="296">
        <v>165000</v>
      </c>
      <c r="G753" s="352">
        <v>0</v>
      </c>
      <c r="H753" s="296">
        <f t="shared" si="138"/>
        <v>0</v>
      </c>
      <c r="I753" s="122">
        <f t="shared" si="139"/>
        <v>0</v>
      </c>
      <c r="J753" s="331">
        <f t="shared" si="140"/>
        <v>0</v>
      </c>
      <c r="K753" s="292">
        <f>'09-RESUMEN'!$F$43/1375</f>
        <v>81431.961035221175</v>
      </c>
      <c r="L753" s="122">
        <f>('ESTADO RESULTADOS'!$C$36+'ESTADO RESULTADOS'!$C$71)/1375</f>
        <v>24762.287272727273</v>
      </c>
      <c r="M753" s="122">
        <v>0</v>
      </c>
      <c r="N753" s="122">
        <f>SUM(E753+K753+L753+M753)</f>
        <v>252594.24680794842</v>
      </c>
      <c r="O753" s="122">
        <f>N753</f>
        <v>252594.24680794842</v>
      </c>
      <c r="P753" s="336">
        <f t="shared" si="141"/>
        <v>-252594.24680794842</v>
      </c>
      <c r="Q753" s="336">
        <f t="shared" si="142"/>
        <v>106194.24830794844</v>
      </c>
      <c r="R753" s="303">
        <f t="shared" si="143"/>
        <v>0.72537055598363576</v>
      </c>
    </row>
    <row r="754" spans="1:18" x14ac:dyDescent="0.3">
      <c r="A754" s="2">
        <v>1660</v>
      </c>
      <c r="B754" s="41" t="s">
        <v>620</v>
      </c>
      <c r="C754" s="2">
        <v>6</v>
      </c>
      <c r="D754" s="2" t="s">
        <v>16</v>
      </c>
      <c r="E754" s="294">
        <v>58500</v>
      </c>
      <c r="F754" s="296">
        <v>69083.333333333328</v>
      </c>
      <c r="G754" s="352">
        <v>16</v>
      </c>
      <c r="H754" s="296">
        <f t="shared" si="138"/>
        <v>936000</v>
      </c>
      <c r="I754" s="122">
        <f t="shared" si="139"/>
        <v>1105333.3333333333</v>
      </c>
      <c r="J754" s="331">
        <f t="shared" si="140"/>
        <v>169333.33333333326</v>
      </c>
      <c r="K754" s="292">
        <f>'09-RESUMEN'!$F$43/1375</f>
        <v>81431.961035221175</v>
      </c>
      <c r="L754" s="122">
        <f>('ESTADO RESULTADOS'!$C$36+'ESTADO RESULTADOS'!$C$71)/1375</f>
        <v>24762.287272727273</v>
      </c>
      <c r="M754" s="122">
        <v>0</v>
      </c>
      <c r="N754" s="122">
        <f>SUM(H754+K754+L754+M754)</f>
        <v>1042194.2483079483</v>
      </c>
      <c r="O754" s="122">
        <f>N754/G754</f>
        <v>65137.140519246772</v>
      </c>
      <c r="P754" s="336">
        <f t="shared" si="141"/>
        <v>63139.085025384906</v>
      </c>
      <c r="Q754" s="336">
        <f t="shared" si="142"/>
        <v>6637.1405192467719</v>
      </c>
      <c r="R754" s="303">
        <f t="shared" si="143"/>
        <v>0.11345539349139781</v>
      </c>
    </row>
    <row r="755" spans="1:18" x14ac:dyDescent="0.3">
      <c r="A755" s="2">
        <v>1664</v>
      </c>
      <c r="B755" s="41" t="s">
        <v>1772</v>
      </c>
      <c r="C755" s="2">
        <v>6</v>
      </c>
      <c r="D755" s="2" t="s">
        <v>23</v>
      </c>
      <c r="E755" s="294">
        <v>126000</v>
      </c>
      <c r="F755" s="296">
        <v>135833.33333333334</v>
      </c>
      <c r="G755" s="352">
        <v>2</v>
      </c>
      <c r="H755" s="296">
        <f t="shared" si="138"/>
        <v>252000</v>
      </c>
      <c r="I755" s="122">
        <f t="shared" si="139"/>
        <v>271666.66666666669</v>
      </c>
      <c r="J755" s="331">
        <f t="shared" si="140"/>
        <v>19666.666666666686</v>
      </c>
      <c r="K755" s="292">
        <f>'09-RESUMEN'!$F$43/1375</f>
        <v>81431.961035221175</v>
      </c>
      <c r="L755" s="122">
        <f>('ESTADO RESULTADOS'!$C$36+'ESTADO RESULTADOS'!$C$71)/1375</f>
        <v>24762.287272727273</v>
      </c>
      <c r="M755" s="122">
        <v>0</v>
      </c>
      <c r="N755" s="122">
        <f>SUM(H755+K755+L755+M755)</f>
        <v>358194.24830794847</v>
      </c>
      <c r="O755" s="122">
        <f>N755/G755</f>
        <v>179097.12415397423</v>
      </c>
      <c r="P755" s="336">
        <f t="shared" si="141"/>
        <v>-86527.58164128178</v>
      </c>
      <c r="Q755" s="336">
        <f t="shared" si="142"/>
        <v>53097.124153974233</v>
      </c>
      <c r="R755" s="303">
        <f t="shared" si="143"/>
        <v>0.42140574725376373</v>
      </c>
    </row>
    <row r="756" spans="1:18" x14ac:dyDescent="0.3">
      <c r="A756" s="2">
        <v>1667</v>
      </c>
      <c r="B756" s="41" t="s">
        <v>1773</v>
      </c>
      <c r="C756" s="2">
        <v>2</v>
      </c>
      <c r="D756" s="2" t="s">
        <v>243</v>
      </c>
      <c r="E756" s="294">
        <v>84800</v>
      </c>
      <c r="F756" s="296">
        <v>89800</v>
      </c>
      <c r="G756" s="352">
        <v>0</v>
      </c>
      <c r="H756" s="296">
        <f t="shared" si="138"/>
        <v>0</v>
      </c>
      <c r="I756" s="122">
        <f t="shared" si="139"/>
        <v>0</v>
      </c>
      <c r="J756" s="331">
        <f t="shared" si="140"/>
        <v>0</v>
      </c>
      <c r="K756" s="292">
        <f>'09-RESUMEN'!$F$43/1375</f>
        <v>81431.961035221175</v>
      </c>
      <c r="L756" s="122">
        <f>('ESTADO RESULTADOS'!$C$36+'ESTADO RESULTADOS'!$C$71)/1375</f>
        <v>24762.287272727273</v>
      </c>
      <c r="M756" s="122">
        <v>0</v>
      </c>
      <c r="N756" s="122">
        <f>SUM(E756+K756+L756+M756)</f>
        <v>190994.24830794844</v>
      </c>
      <c r="O756" s="122">
        <f>N756</f>
        <v>190994.24830794844</v>
      </c>
      <c r="P756" s="336">
        <f t="shared" si="141"/>
        <v>-190994.24830794844</v>
      </c>
      <c r="Q756" s="336">
        <f t="shared" si="142"/>
        <v>106194.24830794844</v>
      </c>
      <c r="R756" s="303">
        <f t="shared" si="143"/>
        <v>1.2522906640088258</v>
      </c>
    </row>
    <row r="757" spans="1:18" x14ac:dyDescent="0.3">
      <c r="A757" s="2">
        <v>1668</v>
      </c>
      <c r="B757" s="41" t="s">
        <v>621</v>
      </c>
      <c r="C757" s="2">
        <v>12</v>
      </c>
      <c r="D757" s="2" t="s">
        <v>12</v>
      </c>
      <c r="E757" s="294">
        <v>6600</v>
      </c>
      <c r="F757" s="296">
        <v>7500</v>
      </c>
      <c r="G757" s="352">
        <v>10</v>
      </c>
      <c r="H757" s="296">
        <f t="shared" si="138"/>
        <v>66000</v>
      </c>
      <c r="I757" s="122">
        <f t="shared" si="139"/>
        <v>75000</v>
      </c>
      <c r="J757" s="331">
        <f t="shared" si="140"/>
        <v>9000</v>
      </c>
      <c r="K757" s="292">
        <f>'09-RESUMEN'!$F$43/1375</f>
        <v>81431.961035221175</v>
      </c>
      <c r="L757" s="122">
        <f>('ESTADO RESULTADOS'!$C$36+'ESTADO RESULTADOS'!$C$71)/1375</f>
        <v>24762.287272727273</v>
      </c>
      <c r="M757" s="122">
        <v>0</v>
      </c>
      <c r="N757" s="122">
        <f t="shared" ref="N757:N772" si="148">SUM(H757+K757+L757+M757)</f>
        <v>172194.24830794844</v>
      </c>
      <c r="O757" s="122">
        <f t="shared" ref="O757:O772" si="149">N757/G757</f>
        <v>17219.424830794844</v>
      </c>
      <c r="P757" s="336">
        <f t="shared" si="141"/>
        <v>-97194.248307948437</v>
      </c>
      <c r="Q757" s="336">
        <f t="shared" si="142"/>
        <v>10619.424830794844</v>
      </c>
      <c r="R757" s="303">
        <f t="shared" si="143"/>
        <v>1.6090037622416431</v>
      </c>
    </row>
    <row r="758" spans="1:18" x14ac:dyDescent="0.3">
      <c r="A758" s="2">
        <v>1671</v>
      </c>
      <c r="B758" s="41" t="s">
        <v>623</v>
      </c>
      <c r="C758" s="2">
        <v>12</v>
      </c>
      <c r="D758" s="2" t="s">
        <v>12</v>
      </c>
      <c r="E758" s="294">
        <v>1175.72</v>
      </c>
      <c r="F758" s="296">
        <v>1800</v>
      </c>
      <c r="G758" s="352">
        <v>15</v>
      </c>
      <c r="H758" s="296">
        <f t="shared" si="138"/>
        <v>17635.8</v>
      </c>
      <c r="I758" s="122">
        <f t="shared" si="139"/>
        <v>27000</v>
      </c>
      <c r="J758" s="331">
        <f t="shared" si="140"/>
        <v>9364.2000000000007</v>
      </c>
      <c r="K758" s="292">
        <f>'09-RESUMEN'!$F$43/1375</f>
        <v>81431.961035221175</v>
      </c>
      <c r="L758" s="122">
        <f>('ESTADO RESULTADOS'!$C$36+'ESTADO RESULTADOS'!$C$71)/1375</f>
        <v>24762.287272727273</v>
      </c>
      <c r="M758" s="122">
        <v>0</v>
      </c>
      <c r="N758" s="122">
        <f t="shared" si="148"/>
        <v>123830.04830794845</v>
      </c>
      <c r="O758" s="122">
        <f t="shared" si="149"/>
        <v>8255.3365538632297</v>
      </c>
      <c r="P758" s="336">
        <f t="shared" si="141"/>
        <v>-96830.048307948455</v>
      </c>
      <c r="Q758" s="336">
        <f t="shared" si="142"/>
        <v>7079.6165538632295</v>
      </c>
      <c r="R758" s="303">
        <f t="shared" si="143"/>
        <v>6.0215157978627811</v>
      </c>
    </row>
    <row r="759" spans="1:18" x14ac:dyDescent="0.3">
      <c r="A759" s="2">
        <v>1672</v>
      </c>
      <c r="B759" s="41" t="s">
        <v>1774</v>
      </c>
      <c r="C759" s="2">
        <v>7</v>
      </c>
      <c r="D759" s="2" t="s">
        <v>12</v>
      </c>
      <c r="E759" s="294">
        <v>1675</v>
      </c>
      <c r="F759" s="296">
        <v>1866.6666666666667</v>
      </c>
      <c r="G759" s="352">
        <v>2</v>
      </c>
      <c r="H759" s="296">
        <f t="shared" si="138"/>
        <v>3350</v>
      </c>
      <c r="I759" s="122">
        <f t="shared" si="139"/>
        <v>3733.3333333333335</v>
      </c>
      <c r="J759" s="331">
        <f t="shared" si="140"/>
        <v>383.33333333333348</v>
      </c>
      <c r="K759" s="292">
        <f>'09-RESUMEN'!$F$43/1375</f>
        <v>81431.961035221175</v>
      </c>
      <c r="L759" s="122">
        <f>('ESTADO RESULTADOS'!$C$36+'ESTADO RESULTADOS'!$C$71)/1375</f>
        <v>24762.287272727273</v>
      </c>
      <c r="M759" s="122">
        <v>0</v>
      </c>
      <c r="N759" s="122">
        <f t="shared" si="148"/>
        <v>109544.24830794845</v>
      </c>
      <c r="O759" s="122">
        <f t="shared" si="149"/>
        <v>54772.124153974226</v>
      </c>
      <c r="P759" s="336">
        <f t="shared" si="141"/>
        <v>-105810.91497461512</v>
      </c>
      <c r="Q759" s="336">
        <f t="shared" si="142"/>
        <v>53097.124153974226</v>
      </c>
      <c r="R759" s="303">
        <f t="shared" si="143"/>
        <v>31.699775614312969</v>
      </c>
    </row>
    <row r="760" spans="1:18" x14ac:dyDescent="0.3">
      <c r="A760" s="2">
        <v>1673</v>
      </c>
      <c r="B760" s="41" t="s">
        <v>624</v>
      </c>
      <c r="C760" s="2">
        <v>6</v>
      </c>
      <c r="D760" s="2" t="s">
        <v>16</v>
      </c>
      <c r="E760" s="294">
        <v>42000</v>
      </c>
      <c r="F760" s="296">
        <v>50200</v>
      </c>
      <c r="G760" s="352">
        <v>12</v>
      </c>
      <c r="H760" s="296">
        <f t="shared" si="138"/>
        <v>504000</v>
      </c>
      <c r="I760" s="122">
        <f t="shared" si="139"/>
        <v>602400</v>
      </c>
      <c r="J760" s="331">
        <f t="shared" si="140"/>
        <v>98400</v>
      </c>
      <c r="K760" s="292">
        <f>'09-RESUMEN'!$F$43/1375</f>
        <v>81431.961035221175</v>
      </c>
      <c r="L760" s="122">
        <f>('ESTADO RESULTADOS'!$C$36+'ESTADO RESULTADOS'!$C$71)/1375</f>
        <v>24762.287272727273</v>
      </c>
      <c r="M760" s="122">
        <v>0</v>
      </c>
      <c r="N760" s="122">
        <f t="shared" si="148"/>
        <v>610194.24830794835</v>
      </c>
      <c r="O760" s="122">
        <f t="shared" si="149"/>
        <v>50849.520692329032</v>
      </c>
      <c r="P760" s="336">
        <f t="shared" si="141"/>
        <v>-7794.24830794835</v>
      </c>
      <c r="Q760" s="336">
        <f t="shared" si="142"/>
        <v>8849.5206923290316</v>
      </c>
      <c r="R760" s="303">
        <f t="shared" si="143"/>
        <v>0.2107028736268817</v>
      </c>
    </row>
    <row r="761" spans="1:18" x14ac:dyDescent="0.3">
      <c r="A761" s="2">
        <v>1674</v>
      </c>
      <c r="B761" s="41" t="s">
        <v>625</v>
      </c>
      <c r="C761" s="2">
        <v>5</v>
      </c>
      <c r="D761" s="2" t="s">
        <v>12</v>
      </c>
      <c r="E761" s="294">
        <v>137300</v>
      </c>
      <c r="F761" s="296">
        <v>162000</v>
      </c>
      <c r="G761" s="352">
        <v>8</v>
      </c>
      <c r="H761" s="296">
        <f t="shared" si="138"/>
        <v>1098400</v>
      </c>
      <c r="I761" s="122">
        <f t="shared" si="139"/>
        <v>1296000</v>
      </c>
      <c r="J761" s="331">
        <f t="shared" si="140"/>
        <v>197600</v>
      </c>
      <c r="K761" s="292">
        <f>'09-RESUMEN'!$F$43/1375</f>
        <v>81431.961035221175</v>
      </c>
      <c r="L761" s="122">
        <f>('ESTADO RESULTADOS'!$C$36+'ESTADO RESULTADOS'!$C$71)/1375</f>
        <v>24762.287272727273</v>
      </c>
      <c r="M761" s="122">
        <v>0</v>
      </c>
      <c r="N761" s="122">
        <f t="shared" si="148"/>
        <v>1204594.2483079485</v>
      </c>
      <c r="O761" s="122">
        <f t="shared" si="149"/>
        <v>150574.28103849356</v>
      </c>
      <c r="P761" s="336">
        <f t="shared" si="141"/>
        <v>91405.751692051534</v>
      </c>
      <c r="Q761" s="336">
        <f t="shared" si="142"/>
        <v>13274.281038493558</v>
      </c>
      <c r="R761" s="303">
        <f t="shared" si="143"/>
        <v>9.66808524289407E-2</v>
      </c>
    </row>
    <row r="762" spans="1:18" x14ac:dyDescent="0.3">
      <c r="A762" s="2">
        <v>1676</v>
      </c>
      <c r="B762" s="41" t="s">
        <v>626</v>
      </c>
      <c r="C762" s="2">
        <v>5</v>
      </c>
      <c r="D762" s="2" t="s">
        <v>5</v>
      </c>
      <c r="E762" s="294">
        <v>18200</v>
      </c>
      <c r="F762" s="296">
        <v>21166.666666666668</v>
      </c>
      <c r="G762" s="352">
        <v>59</v>
      </c>
      <c r="H762" s="296">
        <f t="shared" si="138"/>
        <v>1073800</v>
      </c>
      <c r="I762" s="122">
        <f t="shared" si="139"/>
        <v>1248833.3333333335</v>
      </c>
      <c r="J762" s="331">
        <f t="shared" si="140"/>
        <v>175033.33333333349</v>
      </c>
      <c r="K762" s="292">
        <f>'09-RESUMEN'!$F$43/1375</f>
        <v>81431.961035221175</v>
      </c>
      <c r="L762" s="122">
        <f>('ESTADO RESULTADOS'!$C$36+'ESTADO RESULTADOS'!$C$71)/1375</f>
        <v>24762.287272727273</v>
      </c>
      <c r="M762" s="122">
        <v>0</v>
      </c>
      <c r="N762" s="122">
        <f t="shared" si="148"/>
        <v>1179994.2483079485</v>
      </c>
      <c r="O762" s="122">
        <f t="shared" si="149"/>
        <v>19999.902513694044</v>
      </c>
      <c r="P762" s="336">
        <f t="shared" si="141"/>
        <v>68839.085025385022</v>
      </c>
      <c r="Q762" s="336">
        <f t="shared" si="142"/>
        <v>1799.9025136940436</v>
      </c>
      <c r="R762" s="303">
        <f t="shared" si="143"/>
        <v>9.889574251066173E-2</v>
      </c>
    </row>
    <row r="763" spans="1:18" x14ac:dyDescent="0.3">
      <c r="A763" s="2">
        <v>1677</v>
      </c>
      <c r="B763" s="41" t="s">
        <v>627</v>
      </c>
      <c r="C763" s="2">
        <v>5</v>
      </c>
      <c r="D763" s="2" t="s">
        <v>5</v>
      </c>
      <c r="E763" s="294">
        <v>15600</v>
      </c>
      <c r="F763" s="296">
        <v>18500</v>
      </c>
      <c r="G763" s="352">
        <v>22</v>
      </c>
      <c r="H763" s="296">
        <f t="shared" si="138"/>
        <v>343200</v>
      </c>
      <c r="I763" s="122">
        <f t="shared" si="139"/>
        <v>407000</v>
      </c>
      <c r="J763" s="331">
        <f t="shared" si="140"/>
        <v>63800</v>
      </c>
      <c r="K763" s="292">
        <f>'09-RESUMEN'!$F$43/1375</f>
        <v>81431.961035221175</v>
      </c>
      <c r="L763" s="122">
        <f>('ESTADO RESULTADOS'!$C$36+'ESTADO RESULTADOS'!$C$71)/1375</f>
        <v>24762.287272727273</v>
      </c>
      <c r="M763" s="122">
        <v>0</v>
      </c>
      <c r="N763" s="122">
        <f t="shared" si="148"/>
        <v>449394.24830794847</v>
      </c>
      <c r="O763" s="122">
        <f t="shared" si="149"/>
        <v>20427.01128672493</v>
      </c>
      <c r="P763" s="336">
        <f t="shared" si="141"/>
        <v>-42394.248307948466</v>
      </c>
      <c r="Q763" s="336">
        <f t="shared" si="142"/>
        <v>4827.01128672493</v>
      </c>
      <c r="R763" s="303">
        <f t="shared" si="143"/>
        <v>0.30942380043108525</v>
      </c>
    </row>
    <row r="764" spans="1:18" x14ac:dyDescent="0.3">
      <c r="A764" s="2">
        <v>1680</v>
      </c>
      <c r="B764" s="41" t="s">
        <v>1775</v>
      </c>
      <c r="C764" s="2">
        <v>14</v>
      </c>
      <c r="D764" s="2" t="s">
        <v>81</v>
      </c>
      <c r="E764" s="294">
        <v>90872</v>
      </c>
      <c r="F764" s="296">
        <v>115000</v>
      </c>
      <c r="G764" s="352">
        <v>1</v>
      </c>
      <c r="H764" s="296">
        <f t="shared" si="138"/>
        <v>90872</v>
      </c>
      <c r="I764" s="122">
        <f t="shared" si="139"/>
        <v>115000</v>
      </c>
      <c r="J764" s="331">
        <f t="shared" si="140"/>
        <v>24128</v>
      </c>
      <c r="K764" s="292">
        <f>'09-RESUMEN'!$F$43/1375</f>
        <v>81431.961035221175</v>
      </c>
      <c r="L764" s="122">
        <f>('ESTADO RESULTADOS'!$C$36+'ESTADO RESULTADOS'!$C$71)/1375</f>
        <v>24762.287272727273</v>
      </c>
      <c r="M764" s="122">
        <v>0</v>
      </c>
      <c r="N764" s="122">
        <f t="shared" si="148"/>
        <v>197066.24830794844</v>
      </c>
      <c r="O764" s="122">
        <f t="shared" si="149"/>
        <v>197066.24830794844</v>
      </c>
      <c r="P764" s="336">
        <f t="shared" si="141"/>
        <v>-82066.248307948437</v>
      </c>
      <c r="Q764" s="336">
        <f t="shared" si="142"/>
        <v>106194.24830794844</v>
      </c>
      <c r="R764" s="303">
        <f t="shared" si="143"/>
        <v>1.1686135257059209</v>
      </c>
    </row>
    <row r="765" spans="1:18" x14ac:dyDescent="0.3">
      <c r="A765" s="2">
        <v>1681</v>
      </c>
      <c r="B765" s="41" t="s">
        <v>628</v>
      </c>
      <c r="C765" s="2">
        <v>14</v>
      </c>
      <c r="D765" s="2" t="s">
        <v>23</v>
      </c>
      <c r="E765" s="294">
        <v>8504</v>
      </c>
      <c r="F765" s="296">
        <v>10250</v>
      </c>
      <c r="G765" s="352">
        <v>100</v>
      </c>
      <c r="H765" s="296">
        <f t="shared" si="138"/>
        <v>850400</v>
      </c>
      <c r="I765" s="122">
        <f t="shared" si="139"/>
        <v>1025000</v>
      </c>
      <c r="J765" s="331">
        <f t="shared" si="140"/>
        <v>174600</v>
      </c>
      <c r="K765" s="292">
        <f>'09-RESUMEN'!$F$43/1375</f>
        <v>81431.961035221175</v>
      </c>
      <c r="L765" s="122">
        <f>('ESTADO RESULTADOS'!$C$36+'ESTADO RESULTADOS'!$C$71)/1375</f>
        <v>24762.287272727273</v>
      </c>
      <c r="M765" s="122">
        <v>0</v>
      </c>
      <c r="N765" s="122">
        <f t="shared" si="148"/>
        <v>956594.24830794835</v>
      </c>
      <c r="O765" s="122">
        <f t="shared" si="149"/>
        <v>9565.9424830794833</v>
      </c>
      <c r="P765" s="336">
        <f t="shared" si="141"/>
        <v>68405.75169205165</v>
      </c>
      <c r="Q765" s="336">
        <f t="shared" si="142"/>
        <v>1061.9424830794833</v>
      </c>
      <c r="R765" s="303">
        <f t="shared" si="143"/>
        <v>0.12487564476475579</v>
      </c>
    </row>
    <row r="766" spans="1:18" x14ac:dyDescent="0.3">
      <c r="A766" s="2">
        <v>1682</v>
      </c>
      <c r="B766" s="41" t="s">
        <v>1776</v>
      </c>
      <c r="C766" s="2">
        <v>2</v>
      </c>
      <c r="D766" s="2" t="s">
        <v>5</v>
      </c>
      <c r="E766" s="294">
        <v>2811.7424999999998</v>
      </c>
      <c r="F766" s="296">
        <v>2966.6666666666665</v>
      </c>
      <c r="G766" s="352">
        <v>895</v>
      </c>
      <c r="H766" s="296">
        <f t="shared" si="138"/>
        <v>2516509.5374999996</v>
      </c>
      <c r="I766" s="122">
        <f t="shared" si="139"/>
        <v>2655166.6666666665</v>
      </c>
      <c r="J766" s="331">
        <f t="shared" si="140"/>
        <v>138657.12916666688</v>
      </c>
      <c r="K766" s="292">
        <f>'09-RESUMEN'!$F$43/1375</f>
        <v>81431.961035221175</v>
      </c>
      <c r="L766" s="122">
        <f>('ESTADO RESULTADOS'!$C$36+'ESTADO RESULTADOS'!$C$71)/1375</f>
        <v>24762.287272727273</v>
      </c>
      <c r="M766" s="122">
        <v>0</v>
      </c>
      <c r="N766" s="122">
        <f t="shared" si="148"/>
        <v>2622703.7858079481</v>
      </c>
      <c r="O766" s="122">
        <f t="shared" si="149"/>
        <v>2930.3952914055285</v>
      </c>
      <c r="P766" s="336">
        <f t="shared" si="141"/>
        <v>32462.880858718418</v>
      </c>
      <c r="Q766" s="336">
        <f t="shared" si="142"/>
        <v>118.65279140552866</v>
      </c>
      <c r="R766" s="303">
        <f t="shared" si="143"/>
        <v>4.2199024770415025E-2</v>
      </c>
    </row>
    <row r="767" spans="1:18" x14ac:dyDescent="0.3">
      <c r="A767" s="2">
        <v>1688</v>
      </c>
      <c r="B767" s="41" t="s">
        <v>1777</v>
      </c>
      <c r="C767" s="2">
        <v>6</v>
      </c>
      <c r="D767" s="2" t="s">
        <v>81</v>
      </c>
      <c r="E767" s="294">
        <v>25088</v>
      </c>
      <c r="F767" s="296">
        <v>30600</v>
      </c>
      <c r="G767" s="352">
        <v>1</v>
      </c>
      <c r="H767" s="296">
        <f t="shared" si="138"/>
        <v>25088</v>
      </c>
      <c r="I767" s="122">
        <f t="shared" si="139"/>
        <v>30600</v>
      </c>
      <c r="J767" s="331">
        <f t="shared" si="140"/>
        <v>5512</v>
      </c>
      <c r="K767" s="292">
        <f>'09-RESUMEN'!$F$43/1375</f>
        <v>81431.961035221175</v>
      </c>
      <c r="L767" s="122">
        <f>('ESTADO RESULTADOS'!$C$36+'ESTADO RESULTADOS'!$C$71)/1375</f>
        <v>24762.287272727273</v>
      </c>
      <c r="M767" s="122">
        <v>0</v>
      </c>
      <c r="N767" s="122">
        <f t="shared" si="148"/>
        <v>131282.24830794844</v>
      </c>
      <c r="O767" s="122">
        <f t="shared" si="149"/>
        <v>131282.24830794844</v>
      </c>
      <c r="P767" s="336">
        <f t="shared" si="141"/>
        <v>-100682.24830794844</v>
      </c>
      <c r="Q767" s="336">
        <f t="shared" si="142"/>
        <v>106194.24830794844</v>
      </c>
      <c r="R767" s="303">
        <f t="shared" si="143"/>
        <v>4.232870229111465</v>
      </c>
    </row>
    <row r="768" spans="1:18" x14ac:dyDescent="0.3">
      <c r="A768" s="2">
        <v>1689</v>
      </c>
      <c r="B768" s="41" t="s">
        <v>629</v>
      </c>
      <c r="C768" s="2">
        <v>14</v>
      </c>
      <c r="D768" s="2" t="s">
        <v>23</v>
      </c>
      <c r="E768" s="294">
        <v>6237</v>
      </c>
      <c r="F768" s="296">
        <v>8500</v>
      </c>
      <c r="G768" s="352">
        <v>28</v>
      </c>
      <c r="H768" s="296">
        <f t="shared" si="138"/>
        <v>174636</v>
      </c>
      <c r="I768" s="122">
        <f t="shared" si="139"/>
        <v>238000</v>
      </c>
      <c r="J768" s="331">
        <f t="shared" si="140"/>
        <v>63364</v>
      </c>
      <c r="K768" s="292">
        <f>'09-RESUMEN'!$F$43/1375</f>
        <v>81431.961035221175</v>
      </c>
      <c r="L768" s="122">
        <f>('ESTADO RESULTADOS'!$C$36+'ESTADO RESULTADOS'!$C$71)/1375</f>
        <v>24762.287272727273</v>
      </c>
      <c r="M768" s="122">
        <v>0</v>
      </c>
      <c r="N768" s="122">
        <f t="shared" si="148"/>
        <v>280830.24830794847</v>
      </c>
      <c r="O768" s="122">
        <f t="shared" si="149"/>
        <v>10029.651725283873</v>
      </c>
      <c r="P768" s="336">
        <f t="shared" si="141"/>
        <v>-42830.248307948466</v>
      </c>
      <c r="Q768" s="336">
        <f t="shared" si="142"/>
        <v>3792.651725283873</v>
      </c>
      <c r="R768" s="303">
        <f t="shared" si="143"/>
        <v>0.60808910137628236</v>
      </c>
    </row>
    <row r="769" spans="1:18" x14ac:dyDescent="0.3">
      <c r="A769" s="2">
        <v>1693</v>
      </c>
      <c r="B769" s="41" t="s">
        <v>630</v>
      </c>
      <c r="C769" s="2">
        <v>2</v>
      </c>
      <c r="D769" s="2" t="s">
        <v>5</v>
      </c>
      <c r="E769" s="294">
        <v>9507.0779999999995</v>
      </c>
      <c r="F769" s="296">
        <v>11233.333333333334</v>
      </c>
      <c r="G769" s="352">
        <v>44</v>
      </c>
      <c r="H769" s="296">
        <f t="shared" si="138"/>
        <v>418311.43199999997</v>
      </c>
      <c r="I769" s="122">
        <f t="shared" si="139"/>
        <v>494266.66666666669</v>
      </c>
      <c r="J769" s="331">
        <f t="shared" si="140"/>
        <v>75955.234666666714</v>
      </c>
      <c r="K769" s="292">
        <f>'09-RESUMEN'!$F$43/1375</f>
        <v>81431.961035221175</v>
      </c>
      <c r="L769" s="122">
        <f>('ESTADO RESULTADOS'!$C$36+'ESTADO RESULTADOS'!$C$71)/1375</f>
        <v>24762.287272727273</v>
      </c>
      <c r="M769" s="122">
        <v>0</v>
      </c>
      <c r="N769" s="122">
        <f t="shared" si="148"/>
        <v>524505.68030794838</v>
      </c>
      <c r="O769" s="122">
        <f t="shared" si="149"/>
        <v>11920.583643362463</v>
      </c>
      <c r="P769" s="336">
        <f t="shared" si="141"/>
        <v>-30239.013641281694</v>
      </c>
      <c r="Q769" s="336">
        <f t="shared" si="142"/>
        <v>2413.5056433624632</v>
      </c>
      <c r="R769" s="303">
        <f t="shared" si="143"/>
        <v>0.25386408351361622</v>
      </c>
    </row>
    <row r="770" spans="1:18" x14ac:dyDescent="0.3">
      <c r="A770" s="2">
        <v>1695</v>
      </c>
      <c r="B770" s="41" t="s">
        <v>631</v>
      </c>
      <c r="C770" s="2">
        <v>7</v>
      </c>
      <c r="D770" s="2" t="s">
        <v>160</v>
      </c>
      <c r="E770" s="294">
        <v>3300</v>
      </c>
      <c r="F770" s="296">
        <v>3566.6666666666665</v>
      </c>
      <c r="G770" s="352">
        <v>33</v>
      </c>
      <c r="H770" s="296">
        <f t="shared" si="138"/>
        <v>108900</v>
      </c>
      <c r="I770" s="122">
        <f t="shared" si="139"/>
        <v>117700</v>
      </c>
      <c r="J770" s="331">
        <f t="shared" si="140"/>
        <v>8800</v>
      </c>
      <c r="K770" s="292">
        <f>'09-RESUMEN'!$F$43/1375</f>
        <v>81431.961035221175</v>
      </c>
      <c r="L770" s="122">
        <f>('ESTADO RESULTADOS'!$C$36+'ESTADO RESULTADOS'!$C$71)/1375</f>
        <v>24762.287272727273</v>
      </c>
      <c r="M770" s="122">
        <v>0</v>
      </c>
      <c r="N770" s="122">
        <f t="shared" si="148"/>
        <v>215094.24830794844</v>
      </c>
      <c r="O770" s="122">
        <f t="shared" si="149"/>
        <v>6518.007524483286</v>
      </c>
      <c r="P770" s="336">
        <f t="shared" si="141"/>
        <v>-97394.248307948437</v>
      </c>
      <c r="Q770" s="336">
        <f t="shared" si="142"/>
        <v>3218.007524483286</v>
      </c>
      <c r="R770" s="303">
        <f t="shared" si="143"/>
        <v>0.97515379529796542</v>
      </c>
    </row>
    <row r="771" spans="1:18" x14ac:dyDescent="0.3">
      <c r="A771" s="2">
        <v>1696</v>
      </c>
      <c r="B771" s="41" t="s">
        <v>632</v>
      </c>
      <c r="C771" s="2">
        <v>7</v>
      </c>
      <c r="D771" s="2" t="s">
        <v>21</v>
      </c>
      <c r="E771" s="294">
        <v>2230</v>
      </c>
      <c r="F771" s="296">
        <v>2333.3333333333335</v>
      </c>
      <c r="G771" s="352">
        <v>7</v>
      </c>
      <c r="H771" s="296">
        <f t="shared" si="138"/>
        <v>15610</v>
      </c>
      <c r="I771" s="122">
        <f t="shared" si="139"/>
        <v>16333.333333333334</v>
      </c>
      <c r="J771" s="331">
        <f t="shared" si="140"/>
        <v>723.33333333333394</v>
      </c>
      <c r="K771" s="292">
        <f>'09-RESUMEN'!$F$43/1375</f>
        <v>81431.961035221175</v>
      </c>
      <c r="L771" s="122">
        <f>('ESTADO RESULTADOS'!$C$36+'ESTADO RESULTADOS'!$C$71)/1375</f>
        <v>24762.287272727273</v>
      </c>
      <c r="M771" s="122">
        <v>0</v>
      </c>
      <c r="N771" s="122">
        <f t="shared" si="148"/>
        <v>121804.24830794845</v>
      </c>
      <c r="O771" s="122">
        <f t="shared" si="149"/>
        <v>17400.606901135492</v>
      </c>
      <c r="P771" s="336">
        <f t="shared" si="141"/>
        <v>-105470.91497461512</v>
      </c>
      <c r="Q771" s="336">
        <f t="shared" si="142"/>
        <v>15170.606901135492</v>
      </c>
      <c r="R771" s="303">
        <f t="shared" si="143"/>
        <v>6.8029627359351981</v>
      </c>
    </row>
    <row r="772" spans="1:18" x14ac:dyDescent="0.3">
      <c r="A772" s="2">
        <v>1697</v>
      </c>
      <c r="B772" s="41" t="s">
        <v>1778</v>
      </c>
      <c r="C772" s="2">
        <v>7</v>
      </c>
      <c r="D772" s="2" t="s">
        <v>12</v>
      </c>
      <c r="E772" s="294">
        <v>850</v>
      </c>
      <c r="F772" s="296">
        <v>1200</v>
      </c>
      <c r="G772" s="352">
        <v>15</v>
      </c>
      <c r="H772" s="296">
        <f t="shared" ref="H772:H835" si="150">E772*G772</f>
        <v>12750</v>
      </c>
      <c r="I772" s="122">
        <f t="shared" ref="I772:I835" si="151">F772*G772</f>
        <v>18000</v>
      </c>
      <c r="J772" s="331">
        <f t="shared" ref="J772:J835" si="152">I772-H772</f>
        <v>5250</v>
      </c>
      <c r="K772" s="292">
        <f>'09-RESUMEN'!$F$43/1375</f>
        <v>81431.961035221175</v>
      </c>
      <c r="L772" s="122">
        <f>('ESTADO RESULTADOS'!$C$36+'ESTADO RESULTADOS'!$C$71)/1375</f>
        <v>24762.287272727273</v>
      </c>
      <c r="M772" s="122">
        <v>0</v>
      </c>
      <c r="N772" s="122">
        <f t="shared" si="148"/>
        <v>118944.24830794845</v>
      </c>
      <c r="O772" s="122">
        <f t="shared" si="149"/>
        <v>7929.6165538632304</v>
      </c>
      <c r="P772" s="336">
        <f t="shared" si="141"/>
        <v>-100944.24830794845</v>
      </c>
      <c r="Q772" s="336">
        <f t="shared" si="142"/>
        <v>7079.6165538632304</v>
      </c>
      <c r="R772" s="303">
        <f t="shared" si="143"/>
        <v>8.3289606516038006</v>
      </c>
    </row>
    <row r="773" spans="1:18" x14ac:dyDescent="0.3">
      <c r="A773" s="2">
        <v>1698</v>
      </c>
      <c r="B773" s="41" t="s">
        <v>1779</v>
      </c>
      <c r="C773" s="2">
        <v>7</v>
      </c>
      <c r="D773" s="2" t="s">
        <v>21</v>
      </c>
      <c r="E773" s="294">
        <v>2000</v>
      </c>
      <c r="F773" s="296">
        <v>2800</v>
      </c>
      <c r="G773" s="352">
        <v>0</v>
      </c>
      <c r="H773" s="296">
        <f t="shared" si="150"/>
        <v>0</v>
      </c>
      <c r="I773" s="122">
        <f t="shared" si="151"/>
        <v>0</v>
      </c>
      <c r="J773" s="331">
        <f t="shared" si="152"/>
        <v>0</v>
      </c>
      <c r="K773" s="292">
        <f>'09-RESUMEN'!$F$43/1375</f>
        <v>81431.961035221175</v>
      </c>
      <c r="L773" s="122">
        <f>('ESTADO RESULTADOS'!$C$36+'ESTADO RESULTADOS'!$C$71)/1375</f>
        <v>24762.287272727273</v>
      </c>
      <c r="M773" s="122">
        <v>0</v>
      </c>
      <c r="N773" s="122">
        <f>SUM(E773+K773+L773+M773)</f>
        <v>108194.24830794845</v>
      </c>
      <c r="O773" s="122">
        <f>N773</f>
        <v>108194.24830794845</v>
      </c>
      <c r="P773" s="336">
        <f t="shared" ref="P773:P836" si="153">I773-N773</f>
        <v>-108194.24830794845</v>
      </c>
      <c r="Q773" s="336">
        <f t="shared" ref="Q773:Q836" si="154">O773-E773</f>
        <v>106194.24830794845</v>
      </c>
      <c r="R773" s="303">
        <f t="shared" ref="R773:R836" si="155">Q773/E773</f>
        <v>53.097124153974228</v>
      </c>
    </row>
    <row r="774" spans="1:18" x14ac:dyDescent="0.3">
      <c r="A774" s="2">
        <v>1701</v>
      </c>
      <c r="B774" s="41" t="s">
        <v>633</v>
      </c>
      <c r="C774" s="2">
        <v>7</v>
      </c>
      <c r="D774" s="2" t="s">
        <v>21</v>
      </c>
      <c r="E774" s="294">
        <v>2420</v>
      </c>
      <c r="F774" s="296">
        <v>2883.3333333333335</v>
      </c>
      <c r="G774" s="352">
        <v>3</v>
      </c>
      <c r="H774" s="296">
        <f t="shared" si="150"/>
        <v>7260</v>
      </c>
      <c r="I774" s="122">
        <f t="shared" si="151"/>
        <v>8650</v>
      </c>
      <c r="J774" s="331">
        <f t="shared" si="152"/>
        <v>1390</v>
      </c>
      <c r="K774" s="292">
        <f>'09-RESUMEN'!$F$43/1375</f>
        <v>81431.961035221175</v>
      </c>
      <c r="L774" s="122">
        <f>('ESTADO RESULTADOS'!$C$36+'ESTADO RESULTADOS'!$C$71)/1375</f>
        <v>24762.287272727273</v>
      </c>
      <c r="M774" s="122">
        <v>0</v>
      </c>
      <c r="N774" s="122">
        <f t="shared" ref="N774:N783" si="156">SUM(H774+K774+L774+M774)</f>
        <v>113454.24830794845</v>
      </c>
      <c r="O774" s="122">
        <f t="shared" ref="O774:O783" si="157">N774/G774</f>
        <v>37818.082769316148</v>
      </c>
      <c r="P774" s="336">
        <f t="shared" si="153"/>
        <v>-104804.24830794845</v>
      </c>
      <c r="Q774" s="336">
        <f t="shared" si="154"/>
        <v>35398.082769316148</v>
      </c>
      <c r="R774" s="303">
        <f t="shared" si="155"/>
        <v>14.627306929469484</v>
      </c>
    </row>
    <row r="775" spans="1:18" x14ac:dyDescent="0.3">
      <c r="A775" s="2">
        <v>1702</v>
      </c>
      <c r="B775" s="41" t="s">
        <v>634</v>
      </c>
      <c r="C775" s="2">
        <v>7</v>
      </c>
      <c r="D775" s="2" t="s">
        <v>21</v>
      </c>
      <c r="E775" s="294">
        <v>2230</v>
      </c>
      <c r="F775" s="296">
        <v>2816.6666666666665</v>
      </c>
      <c r="G775" s="352">
        <v>17</v>
      </c>
      <c r="H775" s="296">
        <f t="shared" si="150"/>
        <v>37910</v>
      </c>
      <c r="I775" s="122">
        <f t="shared" si="151"/>
        <v>47883.333333333328</v>
      </c>
      <c r="J775" s="331">
        <f t="shared" si="152"/>
        <v>9973.3333333333285</v>
      </c>
      <c r="K775" s="292">
        <f>'09-RESUMEN'!$F$43/1375</f>
        <v>81431.961035221175</v>
      </c>
      <c r="L775" s="122">
        <f>('ESTADO RESULTADOS'!$C$36+'ESTADO RESULTADOS'!$C$71)/1375</f>
        <v>24762.287272727273</v>
      </c>
      <c r="M775" s="122">
        <v>0</v>
      </c>
      <c r="N775" s="122">
        <f t="shared" si="156"/>
        <v>144104.24830794844</v>
      </c>
      <c r="O775" s="122">
        <f t="shared" si="157"/>
        <v>8476.7204887028493</v>
      </c>
      <c r="P775" s="336">
        <f t="shared" si="153"/>
        <v>-96220.914974615109</v>
      </c>
      <c r="Q775" s="336">
        <f t="shared" si="154"/>
        <v>6246.7204887028493</v>
      </c>
      <c r="R775" s="303">
        <f t="shared" si="155"/>
        <v>2.8012199500909638</v>
      </c>
    </row>
    <row r="776" spans="1:18" x14ac:dyDescent="0.3">
      <c r="A776" s="2">
        <v>1703</v>
      </c>
      <c r="B776" s="41" t="s">
        <v>635</v>
      </c>
      <c r="C776" s="2">
        <v>7</v>
      </c>
      <c r="D776" s="2" t="s">
        <v>160</v>
      </c>
      <c r="E776" s="294">
        <v>1600</v>
      </c>
      <c r="F776" s="296">
        <v>2200</v>
      </c>
      <c r="G776" s="352">
        <v>9</v>
      </c>
      <c r="H776" s="296">
        <f t="shared" si="150"/>
        <v>14400</v>
      </c>
      <c r="I776" s="122">
        <f t="shared" si="151"/>
        <v>19800</v>
      </c>
      <c r="J776" s="331">
        <f t="shared" si="152"/>
        <v>5400</v>
      </c>
      <c r="K776" s="292">
        <f>'09-RESUMEN'!$F$43/1375</f>
        <v>81431.961035221175</v>
      </c>
      <c r="L776" s="122">
        <f>('ESTADO RESULTADOS'!$C$36+'ESTADO RESULTADOS'!$C$71)/1375</f>
        <v>24762.287272727273</v>
      </c>
      <c r="M776" s="122">
        <v>0</v>
      </c>
      <c r="N776" s="122">
        <f t="shared" si="156"/>
        <v>120594.24830794845</v>
      </c>
      <c r="O776" s="122">
        <f t="shared" si="157"/>
        <v>13399.360923105383</v>
      </c>
      <c r="P776" s="336">
        <f t="shared" si="153"/>
        <v>-100794.24830794845</v>
      </c>
      <c r="Q776" s="336">
        <f t="shared" si="154"/>
        <v>11799.360923105383</v>
      </c>
      <c r="R776" s="303">
        <f t="shared" si="155"/>
        <v>7.3746005769408649</v>
      </c>
    </row>
    <row r="777" spans="1:18" x14ac:dyDescent="0.3">
      <c r="A777" s="2">
        <v>1704</v>
      </c>
      <c r="B777" s="41" t="s">
        <v>636</v>
      </c>
      <c r="C777" s="2">
        <v>7</v>
      </c>
      <c r="D777" s="2" t="s">
        <v>21</v>
      </c>
      <c r="E777" s="294">
        <v>1190</v>
      </c>
      <c r="F777" s="296">
        <v>1400</v>
      </c>
      <c r="G777" s="352">
        <v>7</v>
      </c>
      <c r="H777" s="296">
        <f t="shared" si="150"/>
        <v>8330</v>
      </c>
      <c r="I777" s="122">
        <f t="shared" si="151"/>
        <v>9800</v>
      </c>
      <c r="J777" s="331">
        <f t="shared" si="152"/>
        <v>1470</v>
      </c>
      <c r="K777" s="292">
        <f>'09-RESUMEN'!$F$43/1375</f>
        <v>81431.961035221175</v>
      </c>
      <c r="L777" s="122">
        <f>('ESTADO RESULTADOS'!$C$36+'ESTADO RESULTADOS'!$C$71)/1375</f>
        <v>24762.287272727273</v>
      </c>
      <c r="M777" s="122">
        <v>0</v>
      </c>
      <c r="N777" s="122">
        <f t="shared" si="156"/>
        <v>114524.24830794845</v>
      </c>
      <c r="O777" s="122">
        <f t="shared" si="157"/>
        <v>16360.606901135494</v>
      </c>
      <c r="P777" s="336">
        <f t="shared" si="153"/>
        <v>-104724.24830794845</v>
      </c>
      <c r="Q777" s="336">
        <f t="shared" si="154"/>
        <v>15170.606901135494</v>
      </c>
      <c r="R777" s="303">
        <f t="shared" si="155"/>
        <v>12.748409160618062</v>
      </c>
    </row>
    <row r="778" spans="1:18" x14ac:dyDescent="0.3">
      <c r="A778" s="2">
        <v>1705</v>
      </c>
      <c r="B778" s="41" t="s">
        <v>637</v>
      </c>
      <c r="C778" s="2">
        <v>2</v>
      </c>
      <c r="D778" s="2" t="s">
        <v>622</v>
      </c>
      <c r="E778" s="294">
        <v>115489.5</v>
      </c>
      <c r="F778" s="296">
        <v>132150</v>
      </c>
      <c r="G778" s="352">
        <v>28.5</v>
      </c>
      <c r="H778" s="296">
        <f t="shared" si="150"/>
        <v>3291450.75</v>
      </c>
      <c r="I778" s="122">
        <f t="shared" si="151"/>
        <v>3766275</v>
      </c>
      <c r="J778" s="331">
        <f t="shared" si="152"/>
        <v>474824.25</v>
      </c>
      <c r="K778" s="292">
        <f>'09-RESUMEN'!$F$43/1375</f>
        <v>81431.961035221175</v>
      </c>
      <c r="L778" s="122">
        <f>('ESTADO RESULTADOS'!$C$36+'ESTADO RESULTADOS'!$C$71)/1375</f>
        <v>24762.287272727273</v>
      </c>
      <c r="M778" s="122">
        <v>0</v>
      </c>
      <c r="N778" s="122">
        <f t="shared" si="156"/>
        <v>3397644.9983079485</v>
      </c>
      <c r="O778" s="122">
        <f t="shared" si="157"/>
        <v>119215.6139757175</v>
      </c>
      <c r="P778" s="336">
        <f t="shared" si="153"/>
        <v>368630.00169205153</v>
      </c>
      <c r="Q778" s="336">
        <f t="shared" si="154"/>
        <v>3726.1139757174969</v>
      </c>
      <c r="R778" s="303">
        <f t="shared" si="155"/>
        <v>3.2263660122500287E-2</v>
      </c>
    </row>
    <row r="779" spans="1:18" x14ac:dyDescent="0.3">
      <c r="A779" s="2">
        <v>1706</v>
      </c>
      <c r="B779" s="41" t="s">
        <v>638</v>
      </c>
      <c r="C779" s="2">
        <v>5</v>
      </c>
      <c r="D779" s="2" t="s">
        <v>12</v>
      </c>
      <c r="E779" s="294">
        <v>8133.65</v>
      </c>
      <c r="F779" s="296">
        <v>9500</v>
      </c>
      <c r="G779" s="352">
        <v>30</v>
      </c>
      <c r="H779" s="296">
        <f t="shared" si="150"/>
        <v>244009.5</v>
      </c>
      <c r="I779" s="122">
        <f t="shared" si="151"/>
        <v>285000</v>
      </c>
      <c r="J779" s="331">
        <f t="shared" si="152"/>
        <v>40990.5</v>
      </c>
      <c r="K779" s="292">
        <f>'09-RESUMEN'!$F$43/1375</f>
        <v>81431.961035221175</v>
      </c>
      <c r="L779" s="122">
        <f>('ESTADO RESULTADOS'!$C$36+'ESTADO RESULTADOS'!$C$71)/1375</f>
        <v>24762.287272727273</v>
      </c>
      <c r="M779" s="122">
        <v>0</v>
      </c>
      <c r="N779" s="122">
        <f t="shared" si="156"/>
        <v>350203.74830794847</v>
      </c>
      <c r="O779" s="122">
        <f t="shared" si="157"/>
        <v>11673.458276931615</v>
      </c>
      <c r="P779" s="336">
        <f t="shared" si="153"/>
        <v>-65203.748307948466</v>
      </c>
      <c r="Q779" s="336">
        <f t="shared" si="154"/>
        <v>3539.8082769316152</v>
      </c>
      <c r="R779" s="303">
        <f t="shared" si="155"/>
        <v>0.43520538465899261</v>
      </c>
    </row>
    <row r="780" spans="1:18" x14ac:dyDescent="0.3">
      <c r="A780" s="2">
        <v>1708</v>
      </c>
      <c r="B780" s="41" t="s">
        <v>639</v>
      </c>
      <c r="C780" s="2">
        <v>2</v>
      </c>
      <c r="D780" s="2" t="s">
        <v>324</v>
      </c>
      <c r="E780" s="294">
        <v>38000.004000000001</v>
      </c>
      <c r="F780" s="296">
        <v>43866.666666666664</v>
      </c>
      <c r="G780" s="352">
        <v>9</v>
      </c>
      <c r="H780" s="296">
        <f t="shared" si="150"/>
        <v>342000.03600000002</v>
      </c>
      <c r="I780" s="122">
        <f t="shared" si="151"/>
        <v>394800</v>
      </c>
      <c r="J780" s="331">
        <f t="shared" si="152"/>
        <v>52799.963999999978</v>
      </c>
      <c r="K780" s="292">
        <f>'09-RESUMEN'!$F$43/1375</f>
        <v>81431.961035221175</v>
      </c>
      <c r="L780" s="122">
        <f>('ESTADO RESULTADOS'!$C$36+'ESTADO RESULTADOS'!$C$71)/1375</f>
        <v>24762.287272727273</v>
      </c>
      <c r="M780" s="122">
        <v>0</v>
      </c>
      <c r="N780" s="122">
        <f t="shared" si="156"/>
        <v>448194.28430794849</v>
      </c>
      <c r="O780" s="122">
        <f t="shared" si="157"/>
        <v>49799.364923105386</v>
      </c>
      <c r="P780" s="336">
        <f t="shared" si="153"/>
        <v>-53394.284307948488</v>
      </c>
      <c r="Q780" s="336">
        <f t="shared" si="154"/>
        <v>11799.360923105385</v>
      </c>
      <c r="R780" s="303">
        <f t="shared" si="155"/>
        <v>0.31050946529125062</v>
      </c>
    </row>
    <row r="781" spans="1:18" x14ac:dyDescent="0.3">
      <c r="A781" s="2">
        <v>1709</v>
      </c>
      <c r="B781" s="41" t="s">
        <v>1780</v>
      </c>
      <c r="C781" s="2">
        <v>2</v>
      </c>
      <c r="D781" s="2" t="s">
        <v>5</v>
      </c>
      <c r="E781" s="294">
        <v>20700.004499999999</v>
      </c>
      <c r="F781" s="296">
        <v>24550</v>
      </c>
      <c r="G781" s="352">
        <v>4</v>
      </c>
      <c r="H781" s="296">
        <f t="shared" si="150"/>
        <v>82800.017999999996</v>
      </c>
      <c r="I781" s="122">
        <f t="shared" si="151"/>
        <v>98200</v>
      </c>
      <c r="J781" s="331">
        <f t="shared" si="152"/>
        <v>15399.982000000004</v>
      </c>
      <c r="K781" s="292">
        <f>'09-RESUMEN'!$F$43/1375</f>
        <v>81431.961035221175</v>
      </c>
      <c r="L781" s="122">
        <f>('ESTADO RESULTADOS'!$C$36+'ESTADO RESULTADOS'!$C$71)/1375</f>
        <v>24762.287272727273</v>
      </c>
      <c r="M781" s="122">
        <v>0</v>
      </c>
      <c r="N781" s="122">
        <f t="shared" si="156"/>
        <v>188994.26630794842</v>
      </c>
      <c r="O781" s="122">
        <f t="shared" si="157"/>
        <v>47248.566576987105</v>
      </c>
      <c r="P781" s="336">
        <f t="shared" si="153"/>
        <v>-90794.266307948419</v>
      </c>
      <c r="Q781" s="336">
        <f t="shared" si="154"/>
        <v>26548.562076987106</v>
      </c>
      <c r="R781" s="303">
        <f t="shared" si="155"/>
        <v>1.2825389519595083</v>
      </c>
    </row>
    <row r="782" spans="1:18" x14ac:dyDescent="0.3">
      <c r="A782" s="2">
        <v>1710</v>
      </c>
      <c r="B782" s="41" t="s">
        <v>640</v>
      </c>
      <c r="C782" s="2">
        <v>2</v>
      </c>
      <c r="D782" s="2" t="s">
        <v>12</v>
      </c>
      <c r="E782" s="294">
        <v>36699.999000000003</v>
      </c>
      <c r="F782" s="296">
        <v>46716.666666666664</v>
      </c>
      <c r="G782" s="352">
        <v>8</v>
      </c>
      <c r="H782" s="296">
        <f t="shared" si="150"/>
        <v>293599.99200000003</v>
      </c>
      <c r="I782" s="122">
        <f t="shared" si="151"/>
        <v>373733.33333333331</v>
      </c>
      <c r="J782" s="331">
        <f t="shared" si="152"/>
        <v>80133.341333333286</v>
      </c>
      <c r="K782" s="292">
        <f>'09-RESUMEN'!$F$43/1375</f>
        <v>81431.961035221175</v>
      </c>
      <c r="L782" s="122">
        <f>('ESTADO RESULTADOS'!$C$36+'ESTADO RESULTADOS'!$C$71)/1375</f>
        <v>24762.287272727273</v>
      </c>
      <c r="M782" s="122">
        <v>0</v>
      </c>
      <c r="N782" s="122">
        <f t="shared" si="156"/>
        <v>399794.24030794849</v>
      </c>
      <c r="O782" s="122">
        <f t="shared" si="157"/>
        <v>49974.280038493562</v>
      </c>
      <c r="P782" s="336">
        <f t="shared" si="153"/>
        <v>-26060.90697461518</v>
      </c>
      <c r="Q782" s="336">
        <f t="shared" si="154"/>
        <v>13274.281038493558</v>
      </c>
      <c r="R782" s="303">
        <f t="shared" si="155"/>
        <v>0.36169704087712801</v>
      </c>
    </row>
    <row r="783" spans="1:18" x14ac:dyDescent="0.3">
      <c r="A783" s="2">
        <v>1741</v>
      </c>
      <c r="B783" s="41" t="s">
        <v>641</v>
      </c>
      <c r="C783" s="2">
        <v>2</v>
      </c>
      <c r="D783" s="2" t="s">
        <v>5</v>
      </c>
      <c r="E783" s="294">
        <v>102221.7</v>
      </c>
      <c r="F783" s="296">
        <v>118566.66666666667</v>
      </c>
      <c r="G783" s="352">
        <v>15.5</v>
      </c>
      <c r="H783" s="296">
        <f t="shared" si="150"/>
        <v>1584436.3499999999</v>
      </c>
      <c r="I783" s="122">
        <f t="shared" si="151"/>
        <v>1837783.3333333335</v>
      </c>
      <c r="J783" s="331">
        <f t="shared" si="152"/>
        <v>253346.98333333363</v>
      </c>
      <c r="K783" s="292">
        <f>'09-RESUMEN'!$F$43/1375</f>
        <v>81431.961035221175</v>
      </c>
      <c r="L783" s="122">
        <f>('ESTADO RESULTADOS'!$C$36+'ESTADO RESULTADOS'!$C$71)/1375</f>
        <v>24762.287272727273</v>
      </c>
      <c r="M783" s="122">
        <v>0</v>
      </c>
      <c r="N783" s="122">
        <f t="shared" si="156"/>
        <v>1690630.5983079483</v>
      </c>
      <c r="O783" s="122">
        <f t="shared" si="157"/>
        <v>109072.94182631925</v>
      </c>
      <c r="P783" s="336">
        <f t="shared" si="153"/>
        <v>147152.73502538516</v>
      </c>
      <c r="Q783" s="336">
        <f t="shared" si="154"/>
        <v>6851.2418263192521</v>
      </c>
      <c r="R783" s="303">
        <f t="shared" si="155"/>
        <v>6.7023360268115798E-2</v>
      </c>
    </row>
    <row r="784" spans="1:18" x14ac:dyDescent="0.3">
      <c r="A784" s="2">
        <v>1744</v>
      </c>
      <c r="B784" s="41" t="s">
        <v>1781</v>
      </c>
      <c r="C784" s="2">
        <v>14</v>
      </c>
      <c r="D784" s="2" t="s">
        <v>81</v>
      </c>
      <c r="E784" s="294">
        <v>21739</v>
      </c>
      <c r="F784" s="296">
        <v>22500</v>
      </c>
      <c r="G784" s="352">
        <v>0</v>
      </c>
      <c r="H784" s="296">
        <f t="shared" si="150"/>
        <v>0</v>
      </c>
      <c r="I784" s="122">
        <f t="shared" si="151"/>
        <v>0</v>
      </c>
      <c r="J784" s="331">
        <f t="shared" si="152"/>
        <v>0</v>
      </c>
      <c r="K784" s="292">
        <f>'09-RESUMEN'!$F$43/1375</f>
        <v>81431.961035221175</v>
      </c>
      <c r="L784" s="122">
        <f>('ESTADO RESULTADOS'!$C$36+'ESTADO RESULTADOS'!$C$71)/1375</f>
        <v>24762.287272727273</v>
      </c>
      <c r="M784" s="122">
        <v>0</v>
      </c>
      <c r="N784" s="122">
        <f>SUM(E784+K784+L784+M784)</f>
        <v>127933.24830794845</v>
      </c>
      <c r="O784" s="122">
        <f>N784</f>
        <v>127933.24830794845</v>
      </c>
      <c r="P784" s="336">
        <f t="shared" si="153"/>
        <v>-127933.24830794845</v>
      </c>
      <c r="Q784" s="336">
        <f t="shared" si="154"/>
        <v>106194.24830794845</v>
      </c>
      <c r="R784" s="303">
        <f t="shared" si="155"/>
        <v>4.8849647319540201</v>
      </c>
    </row>
    <row r="785" spans="1:18" x14ac:dyDescent="0.3">
      <c r="A785" s="2">
        <v>1746</v>
      </c>
      <c r="B785" s="41" t="s">
        <v>642</v>
      </c>
      <c r="C785" s="2">
        <v>14</v>
      </c>
      <c r="D785" s="2" t="s">
        <v>81</v>
      </c>
      <c r="E785" s="294">
        <v>20316</v>
      </c>
      <c r="F785" s="296">
        <v>23416.666666666668</v>
      </c>
      <c r="G785" s="352">
        <v>6</v>
      </c>
      <c r="H785" s="296">
        <f t="shared" si="150"/>
        <v>121896</v>
      </c>
      <c r="I785" s="122">
        <f t="shared" si="151"/>
        <v>140500</v>
      </c>
      <c r="J785" s="331">
        <f t="shared" si="152"/>
        <v>18604</v>
      </c>
      <c r="K785" s="292">
        <f>'09-RESUMEN'!$F$43/1375</f>
        <v>81431.961035221175</v>
      </c>
      <c r="L785" s="122">
        <f>('ESTADO RESULTADOS'!$C$36+'ESTADO RESULTADOS'!$C$71)/1375</f>
        <v>24762.287272727273</v>
      </c>
      <c r="M785" s="122">
        <v>0</v>
      </c>
      <c r="N785" s="122">
        <f>SUM(H785+K785+L785+M785)</f>
        <v>228090.24830794844</v>
      </c>
      <c r="O785" s="122">
        <f>N785/G785</f>
        <v>38015.04138465807</v>
      </c>
      <c r="P785" s="336">
        <f t="shared" si="153"/>
        <v>-87590.248307948437</v>
      </c>
      <c r="Q785" s="336">
        <f t="shared" si="154"/>
        <v>17699.04138465807</v>
      </c>
      <c r="R785" s="303">
        <f t="shared" si="155"/>
        <v>0.87118730973902692</v>
      </c>
    </row>
    <row r="786" spans="1:18" x14ac:dyDescent="0.3">
      <c r="A786" s="2">
        <v>1747</v>
      </c>
      <c r="B786" s="41" t="s">
        <v>643</v>
      </c>
      <c r="C786" s="2">
        <v>8</v>
      </c>
      <c r="D786" s="2" t="s">
        <v>419</v>
      </c>
      <c r="E786" s="294">
        <v>103950</v>
      </c>
      <c r="F786" s="296">
        <v>118500</v>
      </c>
      <c r="G786" s="352">
        <v>26</v>
      </c>
      <c r="H786" s="296">
        <f t="shared" si="150"/>
        <v>2702700</v>
      </c>
      <c r="I786" s="122">
        <f t="shared" si="151"/>
        <v>3081000</v>
      </c>
      <c r="J786" s="331">
        <f t="shared" si="152"/>
        <v>378300</v>
      </c>
      <c r="K786" s="292">
        <f>'09-RESUMEN'!$F$43/1375</f>
        <v>81431.961035221175</v>
      </c>
      <c r="L786" s="122">
        <f>('ESTADO RESULTADOS'!$C$36+'ESTADO RESULTADOS'!$C$71)/1375</f>
        <v>24762.287272727273</v>
      </c>
      <c r="M786" s="122">
        <v>0</v>
      </c>
      <c r="N786" s="122">
        <f>SUM(H786+K786+L786+M786)</f>
        <v>2808894.2483079485</v>
      </c>
      <c r="O786" s="122">
        <f>N786/G786</f>
        <v>108034.39416569032</v>
      </c>
      <c r="P786" s="336">
        <f t="shared" si="153"/>
        <v>272105.75169205153</v>
      </c>
      <c r="Q786" s="336">
        <f t="shared" si="154"/>
        <v>4084.3941656903189</v>
      </c>
      <c r="R786" s="303">
        <f t="shared" si="155"/>
        <v>3.9291911165852032E-2</v>
      </c>
    </row>
    <row r="787" spans="1:18" x14ac:dyDescent="0.3">
      <c r="A787" s="2">
        <v>1749</v>
      </c>
      <c r="B787" s="41" t="s">
        <v>644</v>
      </c>
      <c r="C787" s="2">
        <v>14</v>
      </c>
      <c r="D787" s="2" t="s">
        <v>12</v>
      </c>
      <c r="E787" s="294">
        <v>557</v>
      </c>
      <c r="F787" s="296">
        <v>700</v>
      </c>
      <c r="G787" s="352">
        <v>56</v>
      </c>
      <c r="H787" s="296">
        <f t="shared" si="150"/>
        <v>31192</v>
      </c>
      <c r="I787" s="122">
        <f t="shared" si="151"/>
        <v>39200</v>
      </c>
      <c r="J787" s="331">
        <f t="shared" si="152"/>
        <v>8008</v>
      </c>
      <c r="K787" s="292">
        <f>'09-RESUMEN'!$F$43/1375</f>
        <v>81431.961035221175</v>
      </c>
      <c r="L787" s="122">
        <f>('ESTADO RESULTADOS'!$C$36+'ESTADO RESULTADOS'!$C$71)/1375</f>
        <v>24762.287272727273</v>
      </c>
      <c r="M787" s="122">
        <v>0</v>
      </c>
      <c r="N787" s="122">
        <f>SUM(H787+K787+L787+M787)</f>
        <v>137386.24830794844</v>
      </c>
      <c r="O787" s="122">
        <f>N787/G787</f>
        <v>2453.3258626419365</v>
      </c>
      <c r="P787" s="336">
        <f t="shared" si="153"/>
        <v>-98186.248307948437</v>
      </c>
      <c r="Q787" s="336">
        <f t="shared" si="154"/>
        <v>1896.3258626419365</v>
      </c>
      <c r="R787" s="303">
        <f t="shared" si="155"/>
        <v>3.4045347623733151</v>
      </c>
    </row>
    <row r="788" spans="1:18" x14ac:dyDescent="0.3">
      <c r="A788" s="2">
        <v>1755</v>
      </c>
      <c r="B788" s="41" t="s">
        <v>645</v>
      </c>
      <c r="C788" s="2">
        <v>4</v>
      </c>
      <c r="D788" s="2" t="s">
        <v>176</v>
      </c>
      <c r="E788" s="294">
        <v>36081</v>
      </c>
      <c r="F788" s="296">
        <v>42500</v>
      </c>
      <c r="G788" s="352">
        <v>9</v>
      </c>
      <c r="H788" s="296">
        <f t="shared" si="150"/>
        <v>324729</v>
      </c>
      <c r="I788" s="122">
        <f t="shared" si="151"/>
        <v>382500</v>
      </c>
      <c r="J788" s="331">
        <f t="shared" si="152"/>
        <v>57771</v>
      </c>
      <c r="K788" s="292">
        <f>'09-RESUMEN'!$F$43/1375</f>
        <v>81431.961035221175</v>
      </c>
      <c r="L788" s="122">
        <f>('ESTADO RESULTADOS'!$C$36+'ESTADO RESULTADOS'!$C$71)/1375</f>
        <v>24762.287272727273</v>
      </c>
      <c r="M788" s="122">
        <v>0</v>
      </c>
      <c r="N788" s="122">
        <f>SUM(H788+K788+L788+M788)</f>
        <v>430923.24830794847</v>
      </c>
      <c r="O788" s="122">
        <f>N788/G788</f>
        <v>47880.360923105385</v>
      </c>
      <c r="P788" s="336">
        <f t="shared" si="153"/>
        <v>-48423.248307948466</v>
      </c>
      <c r="Q788" s="336">
        <f t="shared" si="154"/>
        <v>11799.360923105385</v>
      </c>
      <c r="R788" s="303">
        <f t="shared" si="155"/>
        <v>0.32702422114424173</v>
      </c>
    </row>
    <row r="789" spans="1:18" x14ac:dyDescent="0.3">
      <c r="A789" s="2">
        <v>1756</v>
      </c>
      <c r="B789" s="41" t="s">
        <v>646</v>
      </c>
      <c r="C789" s="2">
        <v>9</v>
      </c>
      <c r="D789" s="2" t="s">
        <v>227</v>
      </c>
      <c r="E789" s="294">
        <v>162792</v>
      </c>
      <c r="F789" s="296">
        <v>186200</v>
      </c>
      <c r="G789" s="352">
        <v>0</v>
      </c>
      <c r="H789" s="296">
        <f t="shared" si="150"/>
        <v>0</v>
      </c>
      <c r="I789" s="122">
        <f t="shared" si="151"/>
        <v>0</v>
      </c>
      <c r="J789" s="331">
        <f t="shared" si="152"/>
        <v>0</v>
      </c>
      <c r="K789" s="292">
        <f>'09-RESUMEN'!$F$43/1375</f>
        <v>81431.961035221175</v>
      </c>
      <c r="L789" s="122">
        <f>('ESTADO RESULTADOS'!$C$36+'ESTADO RESULTADOS'!$C$71)/1375</f>
        <v>24762.287272727273</v>
      </c>
      <c r="M789" s="122">
        <v>0</v>
      </c>
      <c r="N789" s="122">
        <f>SUM(E789+K789+L789+M789)</f>
        <v>268986.24830794847</v>
      </c>
      <c r="O789" s="122">
        <f>N789</f>
        <v>268986.24830794847</v>
      </c>
      <c r="P789" s="336">
        <f t="shared" si="153"/>
        <v>-268986.24830794847</v>
      </c>
      <c r="Q789" s="336">
        <f t="shared" si="154"/>
        <v>106194.24830794847</v>
      </c>
      <c r="R789" s="303">
        <f t="shared" si="155"/>
        <v>0.65233087810180146</v>
      </c>
    </row>
    <row r="790" spans="1:18" x14ac:dyDescent="0.3">
      <c r="A790" s="2">
        <v>1758</v>
      </c>
      <c r="B790" s="41" t="s">
        <v>1782</v>
      </c>
      <c r="C790" s="2">
        <v>8</v>
      </c>
      <c r="D790" s="2" t="s">
        <v>16</v>
      </c>
      <c r="E790" s="294">
        <v>157435.9</v>
      </c>
      <c r="F790" s="296">
        <v>182000</v>
      </c>
      <c r="G790" s="352">
        <v>0</v>
      </c>
      <c r="H790" s="296">
        <f t="shared" si="150"/>
        <v>0</v>
      </c>
      <c r="I790" s="122">
        <f t="shared" si="151"/>
        <v>0</v>
      </c>
      <c r="J790" s="331">
        <f t="shared" si="152"/>
        <v>0</v>
      </c>
      <c r="K790" s="292">
        <f>'09-RESUMEN'!$F$43/1375</f>
        <v>81431.961035221175</v>
      </c>
      <c r="L790" s="122">
        <f>('ESTADO RESULTADOS'!$C$36+'ESTADO RESULTADOS'!$C$71)/1375</f>
        <v>24762.287272727273</v>
      </c>
      <c r="M790" s="122">
        <v>0</v>
      </c>
      <c r="N790" s="122">
        <f>SUM(E790+K790+L790+M790)</f>
        <v>263630.14830794843</v>
      </c>
      <c r="O790" s="122">
        <f>N790</f>
        <v>263630.14830794843</v>
      </c>
      <c r="P790" s="336">
        <f t="shared" si="153"/>
        <v>-263630.14830794843</v>
      </c>
      <c r="Q790" s="336">
        <f t="shared" si="154"/>
        <v>106194.24830794844</v>
      </c>
      <c r="R790" s="303">
        <f t="shared" si="155"/>
        <v>0.67452371605172923</v>
      </c>
    </row>
    <row r="791" spans="1:18" x14ac:dyDescent="0.3">
      <c r="A791" s="2">
        <v>1761</v>
      </c>
      <c r="B791" s="41" t="s">
        <v>647</v>
      </c>
      <c r="C791" s="2">
        <v>14</v>
      </c>
      <c r="D791" s="2" t="s">
        <v>176</v>
      </c>
      <c r="E791" s="294">
        <v>5831</v>
      </c>
      <c r="F791" s="296">
        <v>11416.666666666666</v>
      </c>
      <c r="G791" s="352">
        <v>5</v>
      </c>
      <c r="H791" s="296">
        <f t="shared" si="150"/>
        <v>29155</v>
      </c>
      <c r="I791" s="122">
        <f t="shared" si="151"/>
        <v>57083.333333333328</v>
      </c>
      <c r="J791" s="331">
        <f t="shared" si="152"/>
        <v>27928.333333333328</v>
      </c>
      <c r="K791" s="292">
        <f>'09-RESUMEN'!$F$43/1375</f>
        <v>81431.961035221175</v>
      </c>
      <c r="L791" s="122">
        <f>('ESTADO RESULTADOS'!$C$36+'ESTADO RESULTADOS'!$C$71)/1375</f>
        <v>24762.287272727273</v>
      </c>
      <c r="M791" s="122">
        <v>0</v>
      </c>
      <c r="N791" s="122">
        <f>SUM(H791+K791+L791+M791)</f>
        <v>135349.24830794844</v>
      </c>
      <c r="O791" s="122">
        <f>N791/G791</f>
        <v>27069.849661589687</v>
      </c>
      <c r="P791" s="336">
        <f t="shared" si="153"/>
        <v>-78265.914974615109</v>
      </c>
      <c r="Q791" s="336">
        <f t="shared" si="154"/>
        <v>21238.849661589687</v>
      </c>
      <c r="R791" s="303">
        <f t="shared" si="155"/>
        <v>3.6424026173194455</v>
      </c>
    </row>
    <row r="792" spans="1:18" x14ac:dyDescent="0.3">
      <c r="A792" s="2">
        <v>1763</v>
      </c>
      <c r="B792" s="41" t="s">
        <v>648</v>
      </c>
      <c r="C792" s="2">
        <v>14</v>
      </c>
      <c r="D792" s="2" t="s">
        <v>176</v>
      </c>
      <c r="E792" s="294">
        <v>20831</v>
      </c>
      <c r="F792" s="296">
        <v>25500</v>
      </c>
      <c r="G792" s="352">
        <v>4</v>
      </c>
      <c r="H792" s="296">
        <f t="shared" si="150"/>
        <v>83324</v>
      </c>
      <c r="I792" s="122">
        <f t="shared" si="151"/>
        <v>102000</v>
      </c>
      <c r="J792" s="331">
        <f t="shared" si="152"/>
        <v>18676</v>
      </c>
      <c r="K792" s="292">
        <f>'09-RESUMEN'!$F$43/1375</f>
        <v>81431.961035221175</v>
      </c>
      <c r="L792" s="122">
        <f>('ESTADO RESULTADOS'!$C$36+'ESTADO RESULTADOS'!$C$71)/1375</f>
        <v>24762.287272727273</v>
      </c>
      <c r="M792" s="122">
        <v>0</v>
      </c>
      <c r="N792" s="122">
        <f>SUM(H792+K792+L792+M792)</f>
        <v>189518.24830794844</v>
      </c>
      <c r="O792" s="122">
        <f>N792/G792</f>
        <v>47379.562076987109</v>
      </c>
      <c r="P792" s="336">
        <f t="shared" si="153"/>
        <v>-87518.248307948437</v>
      </c>
      <c r="Q792" s="336">
        <f t="shared" si="154"/>
        <v>26548.562076987109</v>
      </c>
      <c r="R792" s="303">
        <f t="shared" si="155"/>
        <v>1.2744737207521055</v>
      </c>
    </row>
    <row r="793" spans="1:18" x14ac:dyDescent="0.3">
      <c r="A793" s="2">
        <v>1764</v>
      </c>
      <c r="B793" s="41" t="s">
        <v>1783</v>
      </c>
      <c r="C793" s="2">
        <v>14</v>
      </c>
      <c r="D793" s="2" t="s">
        <v>12</v>
      </c>
      <c r="E793" s="294">
        <v>6900</v>
      </c>
      <c r="F793" s="296">
        <v>9500</v>
      </c>
      <c r="G793" s="352">
        <v>0</v>
      </c>
      <c r="H793" s="296">
        <f t="shared" si="150"/>
        <v>0</v>
      </c>
      <c r="I793" s="122">
        <f t="shared" si="151"/>
        <v>0</v>
      </c>
      <c r="J793" s="331">
        <f t="shared" si="152"/>
        <v>0</v>
      </c>
      <c r="K793" s="292">
        <f>'09-RESUMEN'!$F$43/1375</f>
        <v>81431.961035221175</v>
      </c>
      <c r="L793" s="122">
        <f>('ESTADO RESULTADOS'!$C$36+'ESTADO RESULTADOS'!$C$71)/1375</f>
        <v>24762.287272727273</v>
      </c>
      <c r="M793" s="122">
        <v>0</v>
      </c>
      <c r="N793" s="122">
        <f>SUM(E793+K793+L793+M793)</f>
        <v>113094.24830794845</v>
      </c>
      <c r="O793" s="122">
        <f>N793</f>
        <v>113094.24830794845</v>
      </c>
      <c r="P793" s="336">
        <f t="shared" si="153"/>
        <v>-113094.24830794845</v>
      </c>
      <c r="Q793" s="336">
        <f t="shared" si="154"/>
        <v>106194.24830794845</v>
      </c>
      <c r="R793" s="303">
        <f t="shared" si="155"/>
        <v>15.390470769267891</v>
      </c>
    </row>
    <row r="794" spans="1:18" x14ac:dyDescent="0.3">
      <c r="A794" s="2">
        <v>1766</v>
      </c>
      <c r="B794" s="41" t="s">
        <v>650</v>
      </c>
      <c r="C794" s="2">
        <v>14</v>
      </c>
      <c r="D794" s="2" t="s">
        <v>16</v>
      </c>
      <c r="E794" s="294">
        <v>83334</v>
      </c>
      <c r="F794" s="296">
        <v>98000</v>
      </c>
      <c r="G794" s="352">
        <v>0</v>
      </c>
      <c r="H794" s="296">
        <f t="shared" si="150"/>
        <v>0</v>
      </c>
      <c r="I794" s="122">
        <f t="shared" si="151"/>
        <v>0</v>
      </c>
      <c r="J794" s="331">
        <f t="shared" si="152"/>
        <v>0</v>
      </c>
      <c r="K794" s="292">
        <f>'09-RESUMEN'!$F$43/1375</f>
        <v>81431.961035221175</v>
      </c>
      <c r="L794" s="122">
        <f>('ESTADO RESULTADOS'!$C$36+'ESTADO RESULTADOS'!$C$71)/1375</f>
        <v>24762.287272727273</v>
      </c>
      <c r="M794" s="122">
        <v>0</v>
      </c>
      <c r="N794" s="122">
        <f>SUM(E794+K794+L794+M794)</f>
        <v>189528.24830794844</v>
      </c>
      <c r="O794" s="122">
        <f>N794</f>
        <v>189528.24830794844</v>
      </c>
      <c r="P794" s="336">
        <f t="shared" si="153"/>
        <v>-189528.24830794844</v>
      </c>
      <c r="Q794" s="336">
        <f t="shared" si="154"/>
        <v>106194.24830794844</v>
      </c>
      <c r="R794" s="303">
        <f t="shared" si="155"/>
        <v>1.2743207851291003</v>
      </c>
    </row>
    <row r="795" spans="1:18" x14ac:dyDescent="0.3">
      <c r="A795" s="2">
        <v>1774</v>
      </c>
      <c r="B795" s="41" t="s">
        <v>651</v>
      </c>
      <c r="C795" s="2">
        <v>7</v>
      </c>
      <c r="D795" s="2" t="s">
        <v>21</v>
      </c>
      <c r="E795" s="294">
        <v>2800</v>
      </c>
      <c r="F795" s="296">
        <v>3483.3333333333335</v>
      </c>
      <c r="G795" s="352">
        <v>7</v>
      </c>
      <c r="H795" s="296">
        <f t="shared" si="150"/>
        <v>19600</v>
      </c>
      <c r="I795" s="122">
        <f t="shared" si="151"/>
        <v>24383.333333333336</v>
      </c>
      <c r="J795" s="331">
        <f t="shared" si="152"/>
        <v>4783.3333333333358</v>
      </c>
      <c r="K795" s="292">
        <f>'09-RESUMEN'!$F$43/1375</f>
        <v>81431.961035221175</v>
      </c>
      <c r="L795" s="122">
        <f>('ESTADO RESULTADOS'!$C$36+'ESTADO RESULTADOS'!$C$71)/1375</f>
        <v>24762.287272727273</v>
      </c>
      <c r="M795" s="122">
        <v>0</v>
      </c>
      <c r="N795" s="122">
        <f t="shared" ref="N795:N804" si="158">SUM(H795+K795+L795+M795)</f>
        <v>125794.24830794845</v>
      </c>
      <c r="O795" s="122">
        <f t="shared" ref="O795:O804" si="159">N795/G795</f>
        <v>17970.606901135492</v>
      </c>
      <c r="P795" s="336">
        <f t="shared" si="153"/>
        <v>-101410.91497461512</v>
      </c>
      <c r="Q795" s="336">
        <f t="shared" si="154"/>
        <v>15170.606901135492</v>
      </c>
      <c r="R795" s="303">
        <f t="shared" si="155"/>
        <v>5.418073893262676</v>
      </c>
    </row>
    <row r="796" spans="1:18" x14ac:dyDescent="0.3">
      <c r="A796" s="2">
        <v>1776</v>
      </c>
      <c r="B796" s="41" t="s">
        <v>652</v>
      </c>
      <c r="C796" s="2">
        <v>7</v>
      </c>
      <c r="D796" s="2" t="s">
        <v>21</v>
      </c>
      <c r="E796" s="294">
        <v>2800</v>
      </c>
      <c r="F796" s="296">
        <v>3366.6666666666665</v>
      </c>
      <c r="G796" s="352">
        <v>8</v>
      </c>
      <c r="H796" s="296">
        <f t="shared" si="150"/>
        <v>22400</v>
      </c>
      <c r="I796" s="122">
        <f t="shared" si="151"/>
        <v>26933.333333333332</v>
      </c>
      <c r="J796" s="331">
        <f t="shared" si="152"/>
        <v>4533.3333333333321</v>
      </c>
      <c r="K796" s="292">
        <f>'09-RESUMEN'!$F$43/1375</f>
        <v>81431.961035221175</v>
      </c>
      <c r="L796" s="122">
        <f>('ESTADO RESULTADOS'!$C$36+'ESTADO RESULTADOS'!$C$71)/1375</f>
        <v>24762.287272727273</v>
      </c>
      <c r="M796" s="122">
        <v>0</v>
      </c>
      <c r="N796" s="122">
        <f t="shared" si="158"/>
        <v>128594.24830794845</v>
      </c>
      <c r="O796" s="122">
        <f t="shared" si="159"/>
        <v>16074.281038493556</v>
      </c>
      <c r="P796" s="336">
        <f t="shared" si="153"/>
        <v>-101660.91497461512</v>
      </c>
      <c r="Q796" s="336">
        <f t="shared" si="154"/>
        <v>13274.281038493556</v>
      </c>
      <c r="R796" s="303">
        <f t="shared" si="155"/>
        <v>4.7408146566048419</v>
      </c>
    </row>
    <row r="797" spans="1:18" x14ac:dyDescent="0.3">
      <c r="A797" s="2">
        <v>1777</v>
      </c>
      <c r="B797" s="41" t="s">
        <v>653</v>
      </c>
      <c r="C797" s="2">
        <v>7</v>
      </c>
      <c r="D797" s="2" t="s">
        <v>5</v>
      </c>
      <c r="E797" s="294">
        <v>18700</v>
      </c>
      <c r="F797" s="296">
        <v>21833.333333333332</v>
      </c>
      <c r="G797" s="352">
        <v>33</v>
      </c>
      <c r="H797" s="296">
        <f t="shared" si="150"/>
        <v>617100</v>
      </c>
      <c r="I797" s="122">
        <f t="shared" si="151"/>
        <v>720500</v>
      </c>
      <c r="J797" s="331">
        <f t="shared" si="152"/>
        <v>103400</v>
      </c>
      <c r="K797" s="292">
        <f>'09-RESUMEN'!$F$43/1375</f>
        <v>81431.961035221175</v>
      </c>
      <c r="L797" s="122">
        <f>('ESTADO RESULTADOS'!$C$36+'ESTADO RESULTADOS'!$C$71)/1375</f>
        <v>24762.287272727273</v>
      </c>
      <c r="M797" s="122">
        <v>0</v>
      </c>
      <c r="N797" s="122">
        <f t="shared" si="158"/>
        <v>723294.24830794835</v>
      </c>
      <c r="O797" s="122">
        <f t="shared" si="159"/>
        <v>21918.007524483284</v>
      </c>
      <c r="P797" s="336">
        <f t="shared" si="153"/>
        <v>-2794.24830794835</v>
      </c>
      <c r="Q797" s="336">
        <f t="shared" si="154"/>
        <v>3218.0075244832842</v>
      </c>
      <c r="R797" s="303">
        <f t="shared" si="155"/>
        <v>0.17208596387611144</v>
      </c>
    </row>
    <row r="798" spans="1:18" x14ac:dyDescent="0.3">
      <c r="A798" s="2">
        <v>1778</v>
      </c>
      <c r="B798" s="41" t="s">
        <v>654</v>
      </c>
      <c r="C798" s="2">
        <v>7</v>
      </c>
      <c r="D798" s="2" t="s">
        <v>160</v>
      </c>
      <c r="E798" s="294">
        <v>1190</v>
      </c>
      <c r="F798" s="296">
        <v>1800</v>
      </c>
      <c r="G798" s="352">
        <v>24</v>
      </c>
      <c r="H798" s="296">
        <f t="shared" si="150"/>
        <v>28560</v>
      </c>
      <c r="I798" s="122">
        <f t="shared" si="151"/>
        <v>43200</v>
      </c>
      <c r="J798" s="331">
        <f t="shared" si="152"/>
        <v>14640</v>
      </c>
      <c r="K798" s="292">
        <f>'09-RESUMEN'!$F$43/1375</f>
        <v>81431.961035221175</v>
      </c>
      <c r="L798" s="122">
        <f>('ESTADO RESULTADOS'!$C$36+'ESTADO RESULTADOS'!$C$71)/1375</f>
        <v>24762.287272727273</v>
      </c>
      <c r="M798" s="122">
        <v>0</v>
      </c>
      <c r="N798" s="122">
        <f t="shared" si="158"/>
        <v>134754.24830794844</v>
      </c>
      <c r="O798" s="122">
        <f t="shared" si="159"/>
        <v>5614.7603461645185</v>
      </c>
      <c r="P798" s="336">
        <f t="shared" si="153"/>
        <v>-91554.248307948437</v>
      </c>
      <c r="Q798" s="336">
        <f t="shared" si="154"/>
        <v>4424.7603461645185</v>
      </c>
      <c r="R798" s="303">
        <f t="shared" si="155"/>
        <v>3.7182860051802678</v>
      </c>
    </row>
    <row r="799" spans="1:18" x14ac:dyDescent="0.3">
      <c r="A799" s="2">
        <v>1779</v>
      </c>
      <c r="B799" s="41" t="s">
        <v>1784</v>
      </c>
      <c r="C799" s="2">
        <v>7</v>
      </c>
      <c r="D799" s="2" t="s">
        <v>160</v>
      </c>
      <c r="E799" s="294">
        <v>600</v>
      </c>
      <c r="F799" s="296">
        <v>950</v>
      </c>
      <c r="G799" s="352">
        <v>3</v>
      </c>
      <c r="H799" s="296">
        <f t="shared" si="150"/>
        <v>1800</v>
      </c>
      <c r="I799" s="122">
        <f t="shared" si="151"/>
        <v>2850</v>
      </c>
      <c r="J799" s="331">
        <f t="shared" si="152"/>
        <v>1050</v>
      </c>
      <c r="K799" s="292">
        <f>'09-RESUMEN'!$F$43/1375</f>
        <v>81431.961035221175</v>
      </c>
      <c r="L799" s="122">
        <f>('ESTADO RESULTADOS'!$C$36+'ESTADO RESULTADOS'!$C$71)/1375</f>
        <v>24762.287272727273</v>
      </c>
      <c r="M799" s="122">
        <v>0</v>
      </c>
      <c r="N799" s="122">
        <f t="shared" si="158"/>
        <v>107994.24830794845</v>
      </c>
      <c r="O799" s="122">
        <f t="shared" si="159"/>
        <v>35998.082769316148</v>
      </c>
      <c r="P799" s="336">
        <f t="shared" si="153"/>
        <v>-105144.24830794845</v>
      </c>
      <c r="Q799" s="336">
        <f t="shared" si="154"/>
        <v>35398.082769316148</v>
      </c>
      <c r="R799" s="303">
        <f t="shared" si="155"/>
        <v>58.996804615526912</v>
      </c>
    </row>
    <row r="800" spans="1:18" x14ac:dyDescent="0.3">
      <c r="A800" s="2">
        <v>1780</v>
      </c>
      <c r="B800" s="41" t="s">
        <v>655</v>
      </c>
      <c r="C800" s="2">
        <v>7</v>
      </c>
      <c r="D800" s="2" t="s">
        <v>160</v>
      </c>
      <c r="E800" s="294">
        <v>1480</v>
      </c>
      <c r="F800" s="296">
        <v>1700</v>
      </c>
      <c r="G800" s="352">
        <v>26</v>
      </c>
      <c r="H800" s="296">
        <f t="shared" si="150"/>
        <v>38480</v>
      </c>
      <c r="I800" s="122">
        <f t="shared" si="151"/>
        <v>44200</v>
      </c>
      <c r="J800" s="331">
        <f t="shared" si="152"/>
        <v>5720</v>
      </c>
      <c r="K800" s="292">
        <f>'09-RESUMEN'!$F$43/1375</f>
        <v>81431.961035221175</v>
      </c>
      <c r="L800" s="122">
        <f>('ESTADO RESULTADOS'!$C$36+'ESTADO RESULTADOS'!$C$71)/1375</f>
        <v>24762.287272727273</v>
      </c>
      <c r="M800" s="122">
        <v>0</v>
      </c>
      <c r="N800" s="122">
        <f t="shared" si="158"/>
        <v>144674.24830794844</v>
      </c>
      <c r="O800" s="122">
        <f t="shared" si="159"/>
        <v>5564.3941656903244</v>
      </c>
      <c r="P800" s="336">
        <f t="shared" si="153"/>
        <v>-100474.24830794844</v>
      </c>
      <c r="Q800" s="336">
        <f t="shared" si="154"/>
        <v>4084.3941656903244</v>
      </c>
      <c r="R800" s="303">
        <f t="shared" si="155"/>
        <v>2.7597257876285974</v>
      </c>
    </row>
    <row r="801" spans="1:18" x14ac:dyDescent="0.3">
      <c r="A801" s="2">
        <v>1785</v>
      </c>
      <c r="B801" s="41" t="s">
        <v>656</v>
      </c>
      <c r="C801" s="2">
        <v>14</v>
      </c>
      <c r="D801" s="2" t="s">
        <v>23</v>
      </c>
      <c r="E801" s="294">
        <v>20664</v>
      </c>
      <c r="F801" s="296">
        <v>25133.333333333332</v>
      </c>
      <c r="G801" s="352">
        <v>3</v>
      </c>
      <c r="H801" s="296">
        <f t="shared" si="150"/>
        <v>61992</v>
      </c>
      <c r="I801" s="122">
        <f t="shared" si="151"/>
        <v>75400</v>
      </c>
      <c r="J801" s="331">
        <f t="shared" si="152"/>
        <v>13408</v>
      </c>
      <c r="K801" s="292">
        <f>'09-RESUMEN'!$F$43/1375</f>
        <v>81431.961035221175</v>
      </c>
      <c r="L801" s="122">
        <f>('ESTADO RESULTADOS'!$C$36+'ESTADO RESULTADOS'!$C$71)/1375</f>
        <v>24762.287272727273</v>
      </c>
      <c r="M801" s="122">
        <v>0</v>
      </c>
      <c r="N801" s="122">
        <f t="shared" si="158"/>
        <v>168186.24830794844</v>
      </c>
      <c r="O801" s="122">
        <f t="shared" si="159"/>
        <v>56062.082769316148</v>
      </c>
      <c r="P801" s="336">
        <f t="shared" si="153"/>
        <v>-92786.248307948437</v>
      </c>
      <c r="Q801" s="336">
        <f t="shared" si="154"/>
        <v>35398.082769316148</v>
      </c>
      <c r="R801" s="303">
        <f t="shared" si="155"/>
        <v>1.7130314929014783</v>
      </c>
    </row>
    <row r="802" spans="1:18" x14ac:dyDescent="0.3">
      <c r="A802" s="2">
        <v>1787</v>
      </c>
      <c r="B802" s="41" t="s">
        <v>657</v>
      </c>
      <c r="C802" s="2">
        <v>14</v>
      </c>
      <c r="D802" s="2" t="s">
        <v>81</v>
      </c>
      <c r="E802" s="294">
        <v>22824</v>
      </c>
      <c r="F802" s="296">
        <v>28100</v>
      </c>
      <c r="G802" s="352">
        <v>6</v>
      </c>
      <c r="H802" s="296">
        <f t="shared" si="150"/>
        <v>136944</v>
      </c>
      <c r="I802" s="122">
        <f t="shared" si="151"/>
        <v>168600</v>
      </c>
      <c r="J802" s="331">
        <f t="shared" si="152"/>
        <v>31656</v>
      </c>
      <c r="K802" s="292">
        <f>'09-RESUMEN'!$F$43/1375</f>
        <v>81431.961035221175</v>
      </c>
      <c r="L802" s="122">
        <f>('ESTADO RESULTADOS'!$C$36+'ESTADO RESULTADOS'!$C$71)/1375</f>
        <v>24762.287272727273</v>
      </c>
      <c r="M802" s="122">
        <v>0</v>
      </c>
      <c r="N802" s="122">
        <f t="shared" si="158"/>
        <v>243138.24830794844</v>
      </c>
      <c r="O802" s="122">
        <f t="shared" si="159"/>
        <v>40523.04138465807</v>
      </c>
      <c r="P802" s="336">
        <f t="shared" si="153"/>
        <v>-74538.248307948437</v>
      </c>
      <c r="Q802" s="336">
        <f t="shared" si="154"/>
        <v>17699.04138465807</v>
      </c>
      <c r="R802" s="303">
        <f t="shared" si="155"/>
        <v>0.77545747391596875</v>
      </c>
    </row>
    <row r="803" spans="1:18" x14ac:dyDescent="0.3">
      <c r="A803" s="2">
        <v>1792</v>
      </c>
      <c r="B803" s="41" t="s">
        <v>658</v>
      </c>
      <c r="C803" s="2">
        <v>2</v>
      </c>
      <c r="D803" s="2" t="s">
        <v>5</v>
      </c>
      <c r="E803" s="294">
        <v>63700.000099999997</v>
      </c>
      <c r="F803" s="296">
        <v>69083.333333333328</v>
      </c>
      <c r="G803" s="352">
        <v>15</v>
      </c>
      <c r="H803" s="296">
        <f t="shared" si="150"/>
        <v>955500.00150000001</v>
      </c>
      <c r="I803" s="122">
        <f t="shared" si="151"/>
        <v>1036249.9999999999</v>
      </c>
      <c r="J803" s="331">
        <f t="shared" si="152"/>
        <v>80749.998499999871</v>
      </c>
      <c r="K803" s="292">
        <f>'09-RESUMEN'!$F$43/1375</f>
        <v>81431.961035221175</v>
      </c>
      <c r="L803" s="122">
        <f>('ESTADO RESULTADOS'!$C$36+'ESTADO RESULTADOS'!$C$71)/1375</f>
        <v>24762.287272727273</v>
      </c>
      <c r="M803" s="122">
        <v>0</v>
      </c>
      <c r="N803" s="122">
        <f t="shared" si="158"/>
        <v>1061694.2498079485</v>
      </c>
      <c r="O803" s="122">
        <f t="shared" si="159"/>
        <v>70779.616653863239</v>
      </c>
      <c r="P803" s="336">
        <f t="shared" si="153"/>
        <v>-25444.249807948596</v>
      </c>
      <c r="Q803" s="336">
        <f t="shared" si="154"/>
        <v>7079.6165538632413</v>
      </c>
      <c r="R803" s="303">
        <f t="shared" si="155"/>
        <v>0.11113997712322204</v>
      </c>
    </row>
    <row r="804" spans="1:18" x14ac:dyDescent="0.3">
      <c r="A804" s="2">
        <v>1794</v>
      </c>
      <c r="B804" s="41" t="s">
        <v>659</v>
      </c>
      <c r="C804" s="2">
        <v>2</v>
      </c>
      <c r="D804" s="2" t="s">
        <v>5</v>
      </c>
      <c r="E804" s="294">
        <v>56500</v>
      </c>
      <c r="F804" s="296">
        <v>61316.666666666664</v>
      </c>
      <c r="G804" s="352">
        <v>23</v>
      </c>
      <c r="H804" s="296">
        <f t="shared" si="150"/>
        <v>1299500</v>
      </c>
      <c r="I804" s="122">
        <f t="shared" si="151"/>
        <v>1410283.3333333333</v>
      </c>
      <c r="J804" s="331">
        <f t="shared" si="152"/>
        <v>110783.33333333326</v>
      </c>
      <c r="K804" s="292">
        <f>'09-RESUMEN'!$F$43/1375</f>
        <v>81431.961035221175</v>
      </c>
      <c r="L804" s="122">
        <f>('ESTADO RESULTADOS'!$C$36+'ESTADO RESULTADOS'!$C$71)/1375</f>
        <v>24762.287272727273</v>
      </c>
      <c r="M804" s="122">
        <v>0</v>
      </c>
      <c r="N804" s="122">
        <f t="shared" si="158"/>
        <v>1405694.2483079485</v>
      </c>
      <c r="O804" s="122">
        <f t="shared" si="159"/>
        <v>61117.141230780369</v>
      </c>
      <c r="P804" s="336">
        <f t="shared" si="153"/>
        <v>4589.0850253847893</v>
      </c>
      <c r="Q804" s="336">
        <f t="shared" si="154"/>
        <v>4617.1412307803694</v>
      </c>
      <c r="R804" s="303">
        <f t="shared" si="155"/>
        <v>8.1719313819121578E-2</v>
      </c>
    </row>
    <row r="805" spans="1:18" x14ac:dyDescent="0.3">
      <c r="A805" s="2">
        <v>1795</v>
      </c>
      <c r="B805" s="41" t="s">
        <v>1785</v>
      </c>
      <c r="C805" s="2">
        <v>5</v>
      </c>
      <c r="D805" s="2" t="s">
        <v>16</v>
      </c>
      <c r="E805" s="294">
        <v>44000</v>
      </c>
      <c r="F805" s="296">
        <v>52000</v>
      </c>
      <c r="G805" s="352">
        <v>0</v>
      </c>
      <c r="H805" s="296">
        <f t="shared" si="150"/>
        <v>0</v>
      </c>
      <c r="I805" s="122">
        <f t="shared" si="151"/>
        <v>0</v>
      </c>
      <c r="J805" s="331">
        <f t="shared" si="152"/>
        <v>0</v>
      </c>
      <c r="K805" s="292">
        <f>'09-RESUMEN'!$F$43/1375</f>
        <v>81431.961035221175</v>
      </c>
      <c r="L805" s="122">
        <f>('ESTADO RESULTADOS'!$C$36+'ESTADO RESULTADOS'!$C$71)/1375</f>
        <v>24762.287272727273</v>
      </c>
      <c r="M805" s="122">
        <v>0</v>
      </c>
      <c r="N805" s="122">
        <f>SUM(E805+K805+L805+M805)</f>
        <v>150194.24830794844</v>
      </c>
      <c r="O805" s="122">
        <f>N805</f>
        <v>150194.24830794844</v>
      </c>
      <c r="P805" s="336">
        <f t="shared" si="153"/>
        <v>-150194.24830794844</v>
      </c>
      <c r="Q805" s="336">
        <f t="shared" si="154"/>
        <v>106194.24830794844</v>
      </c>
      <c r="R805" s="303">
        <f t="shared" si="155"/>
        <v>2.4135056433624644</v>
      </c>
    </row>
    <row r="806" spans="1:18" x14ac:dyDescent="0.3">
      <c r="A806" s="2">
        <v>1798</v>
      </c>
      <c r="B806" s="41" t="s">
        <v>660</v>
      </c>
      <c r="C806" s="2">
        <v>4</v>
      </c>
      <c r="D806" s="2" t="s">
        <v>23</v>
      </c>
      <c r="E806" s="294">
        <v>10800</v>
      </c>
      <c r="F806" s="296">
        <v>14500</v>
      </c>
      <c r="G806" s="352">
        <v>0</v>
      </c>
      <c r="H806" s="296">
        <f t="shared" si="150"/>
        <v>0</v>
      </c>
      <c r="I806" s="122">
        <f t="shared" si="151"/>
        <v>0</v>
      </c>
      <c r="J806" s="331">
        <f t="shared" si="152"/>
        <v>0</v>
      </c>
      <c r="K806" s="292">
        <f>'09-RESUMEN'!$F$43/1375</f>
        <v>81431.961035221175</v>
      </c>
      <c r="L806" s="122">
        <f>('ESTADO RESULTADOS'!$C$36+'ESTADO RESULTADOS'!$C$71)/1375</f>
        <v>24762.287272727273</v>
      </c>
      <c r="M806" s="122">
        <v>0</v>
      </c>
      <c r="N806" s="122">
        <f>SUM(E806+K806+L806+M806)</f>
        <v>116994.24830794845</v>
      </c>
      <c r="O806" s="122">
        <f>N806</f>
        <v>116994.24830794845</v>
      </c>
      <c r="P806" s="336">
        <f t="shared" si="153"/>
        <v>-116994.24830794845</v>
      </c>
      <c r="Q806" s="336">
        <f t="shared" si="154"/>
        <v>106194.24830794845</v>
      </c>
      <c r="R806" s="303">
        <f t="shared" si="155"/>
        <v>9.8328007692544865</v>
      </c>
    </row>
    <row r="807" spans="1:18" x14ac:dyDescent="0.3">
      <c r="A807" s="2">
        <v>1800</v>
      </c>
      <c r="B807" s="41" t="s">
        <v>661</v>
      </c>
      <c r="C807" s="2">
        <v>4</v>
      </c>
      <c r="D807" s="2" t="s">
        <v>23</v>
      </c>
      <c r="E807" s="294">
        <v>13563</v>
      </c>
      <c r="F807" s="296">
        <v>26000</v>
      </c>
      <c r="G807" s="352">
        <v>3</v>
      </c>
      <c r="H807" s="296">
        <f t="shared" si="150"/>
        <v>40689</v>
      </c>
      <c r="I807" s="122">
        <f t="shared" si="151"/>
        <v>78000</v>
      </c>
      <c r="J807" s="331">
        <f t="shared" si="152"/>
        <v>37311</v>
      </c>
      <c r="K807" s="292">
        <f>'09-RESUMEN'!$F$43/1375</f>
        <v>81431.961035221175</v>
      </c>
      <c r="L807" s="122">
        <f>('ESTADO RESULTADOS'!$C$36+'ESTADO RESULTADOS'!$C$71)/1375</f>
        <v>24762.287272727273</v>
      </c>
      <c r="M807" s="122">
        <v>0</v>
      </c>
      <c r="N807" s="122">
        <f>SUM(H807+K807+L807+M807)</f>
        <v>146883.24830794844</v>
      </c>
      <c r="O807" s="122">
        <f>N807/G807</f>
        <v>48961.082769316148</v>
      </c>
      <c r="P807" s="336">
        <f t="shared" si="153"/>
        <v>-68883.248307948437</v>
      </c>
      <c r="Q807" s="336">
        <f t="shared" si="154"/>
        <v>35398.082769316148</v>
      </c>
      <c r="R807" s="303">
        <f t="shared" si="155"/>
        <v>2.6099006686806865</v>
      </c>
    </row>
    <row r="808" spans="1:18" x14ac:dyDescent="0.3">
      <c r="A808" s="2">
        <v>1807</v>
      </c>
      <c r="B808" s="41" t="s">
        <v>662</v>
      </c>
      <c r="C808" s="2">
        <v>6</v>
      </c>
      <c r="D808" s="2" t="s">
        <v>23</v>
      </c>
      <c r="E808" s="294">
        <v>51600</v>
      </c>
      <c r="F808" s="296">
        <v>56000</v>
      </c>
      <c r="G808" s="352">
        <v>0</v>
      </c>
      <c r="H808" s="296">
        <f t="shared" si="150"/>
        <v>0</v>
      </c>
      <c r="I808" s="122">
        <f t="shared" si="151"/>
        <v>0</v>
      </c>
      <c r="J808" s="331">
        <f t="shared" si="152"/>
        <v>0</v>
      </c>
      <c r="K808" s="292">
        <f>'09-RESUMEN'!$F$43/1375</f>
        <v>81431.961035221175</v>
      </c>
      <c r="L808" s="122">
        <f>('ESTADO RESULTADOS'!$C$36+'ESTADO RESULTADOS'!$C$71)/1375</f>
        <v>24762.287272727273</v>
      </c>
      <c r="M808" s="122">
        <v>0</v>
      </c>
      <c r="N808" s="122">
        <f>SUM(E808+K808+L808+M808)</f>
        <v>157794.24830794844</v>
      </c>
      <c r="O808" s="122">
        <f>N808</f>
        <v>157794.24830794844</v>
      </c>
      <c r="P808" s="336">
        <f t="shared" si="153"/>
        <v>-157794.24830794844</v>
      </c>
      <c r="Q808" s="336">
        <f t="shared" si="154"/>
        <v>106194.24830794844</v>
      </c>
      <c r="R808" s="303">
        <f t="shared" si="155"/>
        <v>2.0580280679834968</v>
      </c>
    </row>
    <row r="809" spans="1:18" x14ac:dyDescent="0.3">
      <c r="A809" s="2">
        <v>1808</v>
      </c>
      <c r="B809" s="41" t="s">
        <v>663</v>
      </c>
      <c r="C809" s="2">
        <v>6</v>
      </c>
      <c r="D809" s="2" t="s">
        <v>23</v>
      </c>
      <c r="E809" s="294">
        <v>36300</v>
      </c>
      <c r="F809" s="296">
        <v>39666.666666666664</v>
      </c>
      <c r="G809" s="352">
        <v>5</v>
      </c>
      <c r="H809" s="296">
        <f t="shared" si="150"/>
        <v>181500</v>
      </c>
      <c r="I809" s="122">
        <f t="shared" si="151"/>
        <v>198333.33333333331</v>
      </c>
      <c r="J809" s="331">
        <f t="shared" si="152"/>
        <v>16833.333333333314</v>
      </c>
      <c r="K809" s="292">
        <f>'09-RESUMEN'!$F$43/1375</f>
        <v>81431.961035221175</v>
      </c>
      <c r="L809" s="122">
        <f>('ESTADO RESULTADOS'!$C$36+'ESTADO RESULTADOS'!$C$71)/1375</f>
        <v>24762.287272727273</v>
      </c>
      <c r="M809" s="122">
        <v>0</v>
      </c>
      <c r="N809" s="122">
        <f t="shared" ref="N809:N827" si="160">SUM(H809+K809+L809+M809)</f>
        <v>287694.24830794847</v>
      </c>
      <c r="O809" s="122">
        <f t="shared" ref="O809:O827" si="161">N809/G809</f>
        <v>57538.849661589695</v>
      </c>
      <c r="P809" s="336">
        <f t="shared" si="153"/>
        <v>-89360.914974615152</v>
      </c>
      <c r="Q809" s="336">
        <f t="shared" si="154"/>
        <v>21238.849661589695</v>
      </c>
      <c r="R809" s="303">
        <f t="shared" si="155"/>
        <v>0.58509227717877943</v>
      </c>
    </row>
    <row r="810" spans="1:18" x14ac:dyDescent="0.3">
      <c r="A810" s="2">
        <v>1809</v>
      </c>
      <c r="B810" s="41" t="s">
        <v>1786</v>
      </c>
      <c r="C810" s="2">
        <v>8</v>
      </c>
      <c r="D810" s="2" t="s">
        <v>41</v>
      </c>
      <c r="E810" s="294">
        <v>219273.3</v>
      </c>
      <c r="F810" s="296">
        <v>255533.33333333334</v>
      </c>
      <c r="G810" s="352">
        <v>6</v>
      </c>
      <c r="H810" s="296">
        <f t="shared" si="150"/>
        <v>1315639.7999999998</v>
      </c>
      <c r="I810" s="122">
        <f t="shared" si="151"/>
        <v>1533200</v>
      </c>
      <c r="J810" s="331">
        <f t="shared" si="152"/>
        <v>217560.20000000019</v>
      </c>
      <c r="K810" s="292">
        <f>'09-RESUMEN'!$F$43/1375</f>
        <v>81431.961035221175</v>
      </c>
      <c r="L810" s="122">
        <f>('ESTADO RESULTADOS'!$C$36+'ESTADO RESULTADOS'!$C$71)/1375</f>
        <v>24762.287272727273</v>
      </c>
      <c r="M810" s="122">
        <v>0</v>
      </c>
      <c r="N810" s="122">
        <f t="shared" si="160"/>
        <v>1421834.0483079483</v>
      </c>
      <c r="O810" s="122">
        <f t="shared" si="161"/>
        <v>236972.34138465804</v>
      </c>
      <c r="P810" s="336">
        <f t="shared" si="153"/>
        <v>111365.95169205172</v>
      </c>
      <c r="Q810" s="336">
        <f t="shared" si="154"/>
        <v>17699.041384658049</v>
      </c>
      <c r="R810" s="303">
        <f t="shared" si="155"/>
        <v>8.0716810412658768E-2</v>
      </c>
    </row>
    <row r="811" spans="1:18" x14ac:dyDescent="0.3">
      <c r="A811" s="2">
        <v>1810</v>
      </c>
      <c r="B811" s="41" t="s">
        <v>664</v>
      </c>
      <c r="C811" s="2">
        <v>6</v>
      </c>
      <c r="D811" s="2" t="s">
        <v>176</v>
      </c>
      <c r="E811" s="294">
        <v>24950</v>
      </c>
      <c r="F811" s="296">
        <v>28500</v>
      </c>
      <c r="G811" s="352">
        <v>7</v>
      </c>
      <c r="H811" s="296">
        <f t="shared" si="150"/>
        <v>174650</v>
      </c>
      <c r="I811" s="122">
        <f t="shared" si="151"/>
        <v>199500</v>
      </c>
      <c r="J811" s="331">
        <f t="shared" si="152"/>
        <v>24850</v>
      </c>
      <c r="K811" s="292">
        <f>'09-RESUMEN'!$F$43/1375</f>
        <v>81431.961035221175</v>
      </c>
      <c r="L811" s="122">
        <f>('ESTADO RESULTADOS'!$C$36+'ESTADO RESULTADOS'!$C$71)/1375</f>
        <v>24762.287272727273</v>
      </c>
      <c r="M811" s="122">
        <v>0</v>
      </c>
      <c r="N811" s="122">
        <f t="shared" si="160"/>
        <v>280844.24830794847</v>
      </c>
      <c r="O811" s="122">
        <f t="shared" si="161"/>
        <v>40120.606901135492</v>
      </c>
      <c r="P811" s="336">
        <f t="shared" si="153"/>
        <v>-81344.248307948466</v>
      </c>
      <c r="Q811" s="336">
        <f t="shared" si="154"/>
        <v>15170.606901135492</v>
      </c>
      <c r="R811" s="303">
        <f t="shared" si="155"/>
        <v>0.60804035675893753</v>
      </c>
    </row>
    <row r="812" spans="1:18" x14ac:dyDescent="0.3">
      <c r="A812" s="2">
        <v>1811</v>
      </c>
      <c r="B812" s="41" t="s">
        <v>665</v>
      </c>
      <c r="C812" s="2">
        <v>14</v>
      </c>
      <c r="D812" s="2" t="s">
        <v>649</v>
      </c>
      <c r="E812" s="294">
        <v>1253.6774</v>
      </c>
      <c r="F812" s="296">
        <v>1600</v>
      </c>
      <c r="G812" s="352">
        <v>145</v>
      </c>
      <c r="H812" s="296">
        <f t="shared" si="150"/>
        <v>181783.223</v>
      </c>
      <c r="I812" s="122">
        <f t="shared" si="151"/>
        <v>232000</v>
      </c>
      <c r="J812" s="331">
        <f t="shared" si="152"/>
        <v>50216.777000000002</v>
      </c>
      <c r="K812" s="292">
        <f>'09-RESUMEN'!$F$43/1375</f>
        <v>81431.961035221175</v>
      </c>
      <c r="L812" s="122">
        <f>('ESTADO RESULTADOS'!$C$36+'ESTADO RESULTADOS'!$C$71)/1375</f>
        <v>24762.287272727273</v>
      </c>
      <c r="M812" s="122">
        <v>0</v>
      </c>
      <c r="N812" s="122">
        <f t="shared" si="160"/>
        <v>287977.47130794846</v>
      </c>
      <c r="O812" s="122">
        <f t="shared" si="161"/>
        <v>1986.0515262617137</v>
      </c>
      <c r="P812" s="336">
        <f t="shared" si="153"/>
        <v>-55977.471307948465</v>
      </c>
      <c r="Q812" s="336">
        <f t="shared" si="154"/>
        <v>732.37412626171363</v>
      </c>
      <c r="R812" s="303">
        <f t="shared" si="155"/>
        <v>0.58418068815926139</v>
      </c>
    </row>
    <row r="813" spans="1:18" x14ac:dyDescent="0.3">
      <c r="A813" s="2">
        <v>1812</v>
      </c>
      <c r="B813" s="41" t="s">
        <v>666</v>
      </c>
      <c r="C813" s="2">
        <v>14</v>
      </c>
      <c r="D813" s="2" t="s">
        <v>81</v>
      </c>
      <c r="E813" s="294">
        <v>37854.6</v>
      </c>
      <c r="F813" s="296">
        <v>46333.333333333336</v>
      </c>
      <c r="G813" s="352">
        <v>9</v>
      </c>
      <c r="H813" s="296">
        <f t="shared" si="150"/>
        <v>340691.39999999997</v>
      </c>
      <c r="I813" s="122">
        <f t="shared" si="151"/>
        <v>417000</v>
      </c>
      <c r="J813" s="331">
        <f t="shared" si="152"/>
        <v>76308.600000000035</v>
      </c>
      <c r="K813" s="292">
        <f>'09-RESUMEN'!$F$43/1375</f>
        <v>81431.961035221175</v>
      </c>
      <c r="L813" s="122">
        <f>('ESTADO RESULTADOS'!$C$36+'ESTADO RESULTADOS'!$C$71)/1375</f>
        <v>24762.287272727273</v>
      </c>
      <c r="M813" s="122">
        <v>0</v>
      </c>
      <c r="N813" s="122">
        <f t="shared" si="160"/>
        <v>446885.64830794843</v>
      </c>
      <c r="O813" s="122">
        <f t="shared" si="161"/>
        <v>49653.960923105384</v>
      </c>
      <c r="P813" s="336">
        <f t="shared" si="153"/>
        <v>-29885.648307948431</v>
      </c>
      <c r="Q813" s="336">
        <f t="shared" si="154"/>
        <v>11799.360923105385</v>
      </c>
      <c r="R813" s="303">
        <f t="shared" si="155"/>
        <v>0.3117021689069594</v>
      </c>
    </row>
    <row r="814" spans="1:18" x14ac:dyDescent="0.3">
      <c r="A814" s="2">
        <v>1820</v>
      </c>
      <c r="B814" s="41" t="s">
        <v>667</v>
      </c>
      <c r="C814" s="2">
        <v>14</v>
      </c>
      <c r="D814" s="2" t="s">
        <v>81</v>
      </c>
      <c r="E814" s="294">
        <v>3084</v>
      </c>
      <c r="F814" s="296">
        <v>4250</v>
      </c>
      <c r="G814" s="352">
        <v>35</v>
      </c>
      <c r="H814" s="296">
        <f t="shared" si="150"/>
        <v>107940</v>
      </c>
      <c r="I814" s="122">
        <f t="shared" si="151"/>
        <v>148750</v>
      </c>
      <c r="J814" s="331">
        <f t="shared" si="152"/>
        <v>40810</v>
      </c>
      <c r="K814" s="292">
        <f>'09-RESUMEN'!$F$43/1375</f>
        <v>81431.961035221175</v>
      </c>
      <c r="L814" s="122">
        <f>('ESTADO RESULTADOS'!$C$36+'ESTADO RESULTADOS'!$C$71)/1375</f>
        <v>24762.287272727273</v>
      </c>
      <c r="M814" s="122">
        <v>0</v>
      </c>
      <c r="N814" s="122">
        <f t="shared" si="160"/>
        <v>214134.24830794844</v>
      </c>
      <c r="O814" s="122">
        <f t="shared" si="161"/>
        <v>6118.1213802270986</v>
      </c>
      <c r="P814" s="336">
        <f t="shared" si="153"/>
        <v>-65384.248307948437</v>
      </c>
      <c r="Q814" s="336">
        <f t="shared" si="154"/>
        <v>3034.1213802270986</v>
      </c>
      <c r="R814" s="303">
        <f t="shared" si="155"/>
        <v>0.98382664728505143</v>
      </c>
    </row>
    <row r="815" spans="1:18" x14ac:dyDescent="0.3">
      <c r="A815" s="2">
        <v>1822</v>
      </c>
      <c r="B815" s="41" t="s">
        <v>668</v>
      </c>
      <c r="C815" s="2">
        <v>14</v>
      </c>
      <c r="D815" s="2" t="s">
        <v>81</v>
      </c>
      <c r="E815" s="294">
        <v>18517</v>
      </c>
      <c r="F815" s="296">
        <v>22500</v>
      </c>
      <c r="G815" s="352">
        <v>1</v>
      </c>
      <c r="H815" s="296">
        <f t="shared" si="150"/>
        <v>18517</v>
      </c>
      <c r="I815" s="122">
        <f t="shared" si="151"/>
        <v>22500</v>
      </c>
      <c r="J815" s="331">
        <f t="shared" si="152"/>
        <v>3983</v>
      </c>
      <c r="K815" s="292">
        <f>'09-RESUMEN'!$F$43/1375</f>
        <v>81431.961035221175</v>
      </c>
      <c r="L815" s="122">
        <f>('ESTADO RESULTADOS'!$C$36+'ESTADO RESULTADOS'!$C$71)/1375</f>
        <v>24762.287272727273</v>
      </c>
      <c r="M815" s="122">
        <v>0</v>
      </c>
      <c r="N815" s="122">
        <f t="shared" si="160"/>
        <v>124711.24830794845</v>
      </c>
      <c r="O815" s="122">
        <f t="shared" si="161"/>
        <v>124711.24830794845</v>
      </c>
      <c r="P815" s="336">
        <f t="shared" si="153"/>
        <v>-102211.24830794845</v>
      </c>
      <c r="Q815" s="336">
        <f t="shared" si="154"/>
        <v>106194.24830794845</v>
      </c>
      <c r="R815" s="303">
        <f t="shared" si="155"/>
        <v>5.7349596753225924</v>
      </c>
    </row>
    <row r="816" spans="1:18" x14ac:dyDescent="0.3">
      <c r="A816" s="2">
        <v>1823</v>
      </c>
      <c r="B816" s="41" t="s">
        <v>669</v>
      </c>
      <c r="C816" s="2">
        <v>14</v>
      </c>
      <c r="D816" s="2" t="s">
        <v>81</v>
      </c>
      <c r="E816" s="294">
        <v>11086</v>
      </c>
      <c r="F816" s="296">
        <v>13800</v>
      </c>
      <c r="G816" s="352">
        <v>5</v>
      </c>
      <c r="H816" s="296">
        <f t="shared" si="150"/>
        <v>55430</v>
      </c>
      <c r="I816" s="122">
        <f t="shared" si="151"/>
        <v>69000</v>
      </c>
      <c r="J816" s="331">
        <f t="shared" si="152"/>
        <v>13570</v>
      </c>
      <c r="K816" s="292">
        <f>'09-RESUMEN'!$F$43/1375</f>
        <v>81431.961035221175</v>
      </c>
      <c r="L816" s="122">
        <f>('ESTADO RESULTADOS'!$C$36+'ESTADO RESULTADOS'!$C$71)/1375</f>
        <v>24762.287272727273</v>
      </c>
      <c r="M816" s="122">
        <v>0</v>
      </c>
      <c r="N816" s="122">
        <f t="shared" si="160"/>
        <v>161624.24830794844</v>
      </c>
      <c r="O816" s="122">
        <f t="shared" si="161"/>
        <v>32324.849661589687</v>
      </c>
      <c r="P816" s="336">
        <f t="shared" si="153"/>
        <v>-92624.248307948437</v>
      </c>
      <c r="Q816" s="336">
        <f t="shared" si="154"/>
        <v>21238.849661589687</v>
      </c>
      <c r="R816" s="303">
        <f t="shared" si="155"/>
        <v>1.9158262368383265</v>
      </c>
    </row>
    <row r="817" spans="1:18" x14ac:dyDescent="0.3">
      <c r="A817" s="2">
        <v>1827</v>
      </c>
      <c r="B817" s="41" t="s">
        <v>670</v>
      </c>
      <c r="C817" s="2">
        <v>12</v>
      </c>
      <c r="D817" s="2" t="s">
        <v>12</v>
      </c>
      <c r="E817" s="294">
        <v>10115</v>
      </c>
      <c r="F817" s="296">
        <v>13500</v>
      </c>
      <c r="G817" s="352">
        <v>19</v>
      </c>
      <c r="H817" s="296">
        <f t="shared" si="150"/>
        <v>192185</v>
      </c>
      <c r="I817" s="122">
        <f t="shared" si="151"/>
        <v>256500</v>
      </c>
      <c r="J817" s="331">
        <f t="shared" si="152"/>
        <v>64315</v>
      </c>
      <c r="K817" s="292">
        <f>'09-RESUMEN'!$F$43/1375</f>
        <v>81431.961035221175</v>
      </c>
      <c r="L817" s="122">
        <f>('ESTADO RESULTADOS'!$C$36+'ESTADO RESULTADOS'!$C$71)/1375</f>
        <v>24762.287272727273</v>
      </c>
      <c r="M817" s="122">
        <v>0</v>
      </c>
      <c r="N817" s="122">
        <f t="shared" si="160"/>
        <v>298379.24830794847</v>
      </c>
      <c r="O817" s="122">
        <f t="shared" si="161"/>
        <v>15704.170963576234</v>
      </c>
      <c r="P817" s="336">
        <f t="shared" si="153"/>
        <v>-41879.248307948466</v>
      </c>
      <c r="Q817" s="336">
        <f t="shared" si="154"/>
        <v>5589.1709635762345</v>
      </c>
      <c r="R817" s="303">
        <f t="shared" si="155"/>
        <v>0.55256262615682006</v>
      </c>
    </row>
    <row r="818" spans="1:18" x14ac:dyDescent="0.3">
      <c r="A818" s="2">
        <v>1932</v>
      </c>
      <c r="B818" s="41" t="s">
        <v>671</v>
      </c>
      <c r="C818" s="2">
        <v>1</v>
      </c>
      <c r="D818" s="2" t="s">
        <v>10</v>
      </c>
      <c r="E818" s="294">
        <v>169500</v>
      </c>
      <c r="F818" s="296">
        <v>189000</v>
      </c>
      <c r="G818" s="352">
        <v>255</v>
      </c>
      <c r="H818" s="296">
        <f t="shared" si="150"/>
        <v>43222500</v>
      </c>
      <c r="I818" s="122">
        <f t="shared" si="151"/>
        <v>48195000</v>
      </c>
      <c r="J818" s="331">
        <f t="shared" si="152"/>
        <v>4972500</v>
      </c>
      <c r="K818" s="292">
        <f>'09-RESUMEN'!$F$43/1375</f>
        <v>81431.961035221175</v>
      </c>
      <c r="L818" s="122">
        <f>('ESTADO RESULTADOS'!$C$36+'ESTADO RESULTADOS'!$C$71)/1375</f>
        <v>24762.287272727273</v>
      </c>
      <c r="M818" s="122">
        <v>0</v>
      </c>
      <c r="N818" s="122">
        <f t="shared" si="160"/>
        <v>43328694.248307951</v>
      </c>
      <c r="O818" s="122">
        <f t="shared" si="161"/>
        <v>169916.4480325802</v>
      </c>
      <c r="P818" s="336">
        <f t="shared" si="153"/>
        <v>4866305.7516920492</v>
      </c>
      <c r="Q818" s="336">
        <f t="shared" si="154"/>
        <v>416.44803258019965</v>
      </c>
      <c r="R818" s="303">
        <f t="shared" si="155"/>
        <v>2.4569205461958681E-3</v>
      </c>
    </row>
    <row r="819" spans="1:18" x14ac:dyDescent="0.3">
      <c r="A819" s="2">
        <v>1933</v>
      </c>
      <c r="B819" s="41" t="s">
        <v>672</v>
      </c>
      <c r="C819" s="2">
        <v>1</v>
      </c>
      <c r="D819" s="2" t="s">
        <v>10</v>
      </c>
      <c r="E819" s="294">
        <v>175000</v>
      </c>
      <c r="F819" s="296">
        <v>187500</v>
      </c>
      <c r="G819" s="352">
        <v>297</v>
      </c>
      <c r="H819" s="296">
        <f t="shared" si="150"/>
        <v>51975000</v>
      </c>
      <c r="I819" s="122">
        <f t="shared" si="151"/>
        <v>55687500</v>
      </c>
      <c r="J819" s="331">
        <f t="shared" si="152"/>
        <v>3712500</v>
      </c>
      <c r="K819" s="292">
        <f>'09-RESUMEN'!$F$43/1375</f>
        <v>81431.961035221175</v>
      </c>
      <c r="L819" s="122">
        <f>('ESTADO RESULTADOS'!$C$36+'ESTADO RESULTADOS'!$C$71)/1375</f>
        <v>24762.287272727273</v>
      </c>
      <c r="M819" s="122">
        <v>0</v>
      </c>
      <c r="N819" s="122">
        <f t="shared" si="160"/>
        <v>52081194.248307951</v>
      </c>
      <c r="O819" s="122">
        <f t="shared" si="161"/>
        <v>175357.55639160925</v>
      </c>
      <c r="P819" s="336">
        <f t="shared" si="153"/>
        <v>3606305.7516920492</v>
      </c>
      <c r="Q819" s="336">
        <f t="shared" si="154"/>
        <v>357.55639160925057</v>
      </c>
      <c r="R819" s="303">
        <f t="shared" si="155"/>
        <v>2.043179380624289E-3</v>
      </c>
    </row>
    <row r="820" spans="1:18" x14ac:dyDescent="0.3">
      <c r="A820" s="2">
        <v>1936</v>
      </c>
      <c r="B820" s="41" t="s">
        <v>673</v>
      </c>
      <c r="C820" s="2">
        <v>9</v>
      </c>
      <c r="D820" s="2" t="s">
        <v>12</v>
      </c>
      <c r="E820" s="294">
        <v>13284.9696</v>
      </c>
      <c r="F820" s="296">
        <v>15200</v>
      </c>
      <c r="G820" s="352">
        <v>6</v>
      </c>
      <c r="H820" s="296">
        <f t="shared" si="150"/>
        <v>79709.817600000009</v>
      </c>
      <c r="I820" s="122">
        <f t="shared" si="151"/>
        <v>91200</v>
      </c>
      <c r="J820" s="331">
        <f t="shared" si="152"/>
        <v>11490.182399999991</v>
      </c>
      <c r="K820" s="292">
        <f>'09-RESUMEN'!$F$43/1375</f>
        <v>81431.961035221175</v>
      </c>
      <c r="L820" s="122">
        <f>('ESTADO RESULTADOS'!$C$36+'ESTADO RESULTADOS'!$C$71)/1375</f>
        <v>24762.287272727273</v>
      </c>
      <c r="M820" s="122">
        <v>0</v>
      </c>
      <c r="N820" s="122">
        <f t="shared" si="160"/>
        <v>185904.06590794845</v>
      </c>
      <c r="O820" s="122">
        <f t="shared" si="161"/>
        <v>30984.010984658074</v>
      </c>
      <c r="P820" s="336">
        <f t="shared" si="153"/>
        <v>-94704.065907948447</v>
      </c>
      <c r="Q820" s="336">
        <f t="shared" si="154"/>
        <v>17699.041384658074</v>
      </c>
      <c r="R820" s="303">
        <f t="shared" si="155"/>
        <v>1.3322605860278427</v>
      </c>
    </row>
    <row r="821" spans="1:18" x14ac:dyDescent="0.3">
      <c r="A821" s="2">
        <v>1937</v>
      </c>
      <c r="B821" s="41" t="s">
        <v>674</v>
      </c>
      <c r="C821" s="2">
        <v>2</v>
      </c>
      <c r="D821" s="2" t="s">
        <v>10</v>
      </c>
      <c r="E821" s="294">
        <v>63976.5</v>
      </c>
      <c r="F821" s="296">
        <v>70100</v>
      </c>
      <c r="G821" s="352">
        <v>28</v>
      </c>
      <c r="H821" s="296">
        <f t="shared" si="150"/>
        <v>1791342</v>
      </c>
      <c r="I821" s="122">
        <f t="shared" si="151"/>
        <v>1962800</v>
      </c>
      <c r="J821" s="331">
        <f t="shared" si="152"/>
        <v>171458</v>
      </c>
      <c r="K821" s="292">
        <f>'09-RESUMEN'!$F$43/1375</f>
        <v>81431.961035221175</v>
      </c>
      <c r="L821" s="122">
        <f>('ESTADO RESULTADOS'!$C$36+'ESTADO RESULTADOS'!$C$71)/1375</f>
        <v>24762.287272727273</v>
      </c>
      <c r="M821" s="122">
        <v>0</v>
      </c>
      <c r="N821" s="122">
        <f t="shared" si="160"/>
        <v>1897536.2483079485</v>
      </c>
      <c r="O821" s="122">
        <f t="shared" si="161"/>
        <v>67769.151725283868</v>
      </c>
      <c r="P821" s="336">
        <f t="shared" si="153"/>
        <v>65263.751692051534</v>
      </c>
      <c r="Q821" s="336">
        <f t="shared" si="154"/>
        <v>3792.6517252838676</v>
      </c>
      <c r="R821" s="303">
        <f t="shared" si="155"/>
        <v>5.9281950798869387E-2</v>
      </c>
    </row>
    <row r="822" spans="1:18" x14ac:dyDescent="0.3">
      <c r="A822" s="2">
        <v>1938</v>
      </c>
      <c r="B822" s="41" t="s">
        <v>676</v>
      </c>
      <c r="C822" s="2">
        <v>2</v>
      </c>
      <c r="D822" s="2" t="s">
        <v>10</v>
      </c>
      <c r="E822" s="294">
        <v>46966.5</v>
      </c>
      <c r="F822" s="296">
        <v>53550</v>
      </c>
      <c r="G822" s="352">
        <v>38</v>
      </c>
      <c r="H822" s="296">
        <f t="shared" si="150"/>
        <v>1784727</v>
      </c>
      <c r="I822" s="122">
        <f t="shared" si="151"/>
        <v>2034900</v>
      </c>
      <c r="J822" s="331">
        <f t="shared" si="152"/>
        <v>250173</v>
      </c>
      <c r="K822" s="292">
        <f>'09-RESUMEN'!$F$43/1375</f>
        <v>81431.961035221175</v>
      </c>
      <c r="L822" s="122">
        <f>('ESTADO RESULTADOS'!$C$36+'ESTADO RESULTADOS'!$C$71)/1375</f>
        <v>24762.287272727273</v>
      </c>
      <c r="M822" s="122">
        <v>0</v>
      </c>
      <c r="N822" s="122">
        <f t="shared" si="160"/>
        <v>1890921.2483079485</v>
      </c>
      <c r="O822" s="122">
        <f t="shared" si="161"/>
        <v>49761.085481788119</v>
      </c>
      <c r="P822" s="336">
        <f t="shared" si="153"/>
        <v>143978.75169205153</v>
      </c>
      <c r="Q822" s="336">
        <f t="shared" si="154"/>
        <v>2794.5854817881191</v>
      </c>
      <c r="R822" s="303">
        <f t="shared" si="155"/>
        <v>5.9501676339265626E-2</v>
      </c>
    </row>
    <row r="823" spans="1:18" x14ac:dyDescent="0.3">
      <c r="A823" s="2">
        <v>1942</v>
      </c>
      <c r="B823" s="41" t="s">
        <v>677</v>
      </c>
      <c r="C823" s="2">
        <v>14</v>
      </c>
      <c r="D823" s="2" t="s">
        <v>176</v>
      </c>
      <c r="E823" s="294">
        <v>49211</v>
      </c>
      <c r="F823" s="296">
        <v>58000</v>
      </c>
      <c r="G823" s="352">
        <v>9</v>
      </c>
      <c r="H823" s="296">
        <f t="shared" si="150"/>
        <v>442899</v>
      </c>
      <c r="I823" s="122">
        <f t="shared" si="151"/>
        <v>522000</v>
      </c>
      <c r="J823" s="331">
        <f t="shared" si="152"/>
        <v>79101</v>
      </c>
      <c r="K823" s="292">
        <f>'09-RESUMEN'!$F$43/1375</f>
        <v>81431.961035221175</v>
      </c>
      <c r="L823" s="122">
        <f>('ESTADO RESULTADOS'!$C$36+'ESTADO RESULTADOS'!$C$71)/1375</f>
        <v>24762.287272727273</v>
      </c>
      <c r="M823" s="122">
        <v>0</v>
      </c>
      <c r="N823" s="122">
        <f t="shared" si="160"/>
        <v>549093.24830794835</v>
      </c>
      <c r="O823" s="122">
        <f t="shared" si="161"/>
        <v>61010.360923105371</v>
      </c>
      <c r="P823" s="336">
        <f t="shared" si="153"/>
        <v>-27093.24830794835</v>
      </c>
      <c r="Q823" s="336">
        <f t="shared" si="154"/>
        <v>11799.360923105371</v>
      </c>
      <c r="R823" s="303">
        <f t="shared" si="155"/>
        <v>0.23977080171314077</v>
      </c>
    </row>
    <row r="824" spans="1:18" x14ac:dyDescent="0.3">
      <c r="A824" s="2">
        <v>1945</v>
      </c>
      <c r="B824" s="41" t="s">
        <v>679</v>
      </c>
      <c r="C824" s="2">
        <v>5</v>
      </c>
      <c r="D824" s="2" t="s">
        <v>328</v>
      </c>
      <c r="E824" s="294">
        <v>11950</v>
      </c>
      <c r="F824" s="296">
        <v>14000</v>
      </c>
      <c r="G824" s="352">
        <v>26</v>
      </c>
      <c r="H824" s="296">
        <f t="shared" si="150"/>
        <v>310700</v>
      </c>
      <c r="I824" s="122">
        <f t="shared" si="151"/>
        <v>364000</v>
      </c>
      <c r="J824" s="331">
        <f t="shared" si="152"/>
        <v>53300</v>
      </c>
      <c r="K824" s="292">
        <f>'09-RESUMEN'!$F$43/1375</f>
        <v>81431.961035221175</v>
      </c>
      <c r="L824" s="122">
        <f>('ESTADO RESULTADOS'!$C$36+'ESTADO RESULTADOS'!$C$71)/1375</f>
        <v>24762.287272727273</v>
      </c>
      <c r="M824" s="122">
        <v>0</v>
      </c>
      <c r="N824" s="122">
        <f t="shared" si="160"/>
        <v>416894.24830794847</v>
      </c>
      <c r="O824" s="122">
        <f t="shared" si="161"/>
        <v>16034.394165690326</v>
      </c>
      <c r="P824" s="336">
        <f t="shared" si="153"/>
        <v>-52894.248307948466</v>
      </c>
      <c r="Q824" s="336">
        <f t="shared" si="154"/>
        <v>4084.3941656903262</v>
      </c>
      <c r="R824" s="303">
        <f t="shared" si="155"/>
        <v>0.34179030675232858</v>
      </c>
    </row>
    <row r="825" spans="1:18" x14ac:dyDescent="0.3">
      <c r="A825" s="2">
        <v>1954</v>
      </c>
      <c r="B825" s="41" t="s">
        <v>1787</v>
      </c>
      <c r="C825" s="2">
        <v>6</v>
      </c>
      <c r="D825" s="2" t="s">
        <v>23</v>
      </c>
      <c r="E825" s="294">
        <v>11000</v>
      </c>
      <c r="F825" s="296">
        <v>15000</v>
      </c>
      <c r="G825" s="352">
        <v>2</v>
      </c>
      <c r="H825" s="296">
        <f t="shared" si="150"/>
        <v>22000</v>
      </c>
      <c r="I825" s="122">
        <f t="shared" si="151"/>
        <v>30000</v>
      </c>
      <c r="J825" s="331">
        <f t="shared" si="152"/>
        <v>8000</v>
      </c>
      <c r="K825" s="292">
        <f>'09-RESUMEN'!$F$43/1375</f>
        <v>81431.961035221175</v>
      </c>
      <c r="L825" s="122">
        <f>('ESTADO RESULTADOS'!$C$36+'ESTADO RESULTADOS'!$C$71)/1375</f>
        <v>24762.287272727273</v>
      </c>
      <c r="M825" s="122">
        <v>0</v>
      </c>
      <c r="N825" s="122">
        <f t="shared" si="160"/>
        <v>128194.24830794845</v>
      </c>
      <c r="O825" s="122">
        <f t="shared" si="161"/>
        <v>64097.124153974226</v>
      </c>
      <c r="P825" s="336">
        <f t="shared" si="153"/>
        <v>-98194.248307948452</v>
      </c>
      <c r="Q825" s="336">
        <f t="shared" si="154"/>
        <v>53097.124153974226</v>
      </c>
      <c r="R825" s="303">
        <f t="shared" si="155"/>
        <v>4.8270112867249297</v>
      </c>
    </row>
    <row r="826" spans="1:18" x14ac:dyDescent="0.3">
      <c r="A826" s="2">
        <v>1956</v>
      </c>
      <c r="B826" s="41" t="s">
        <v>1788</v>
      </c>
      <c r="C826" s="2">
        <v>14</v>
      </c>
      <c r="D826" s="2" t="s">
        <v>81</v>
      </c>
      <c r="E826" s="294">
        <v>1034</v>
      </c>
      <c r="F826" s="296">
        <v>1600</v>
      </c>
      <c r="G826" s="352">
        <v>11</v>
      </c>
      <c r="H826" s="296">
        <f t="shared" si="150"/>
        <v>11374</v>
      </c>
      <c r="I826" s="122">
        <f t="shared" si="151"/>
        <v>17600</v>
      </c>
      <c r="J826" s="331">
        <f t="shared" si="152"/>
        <v>6226</v>
      </c>
      <c r="K826" s="292">
        <f>'09-RESUMEN'!$F$43/1375</f>
        <v>81431.961035221175</v>
      </c>
      <c r="L826" s="122">
        <f>('ESTADO RESULTADOS'!$C$36+'ESTADO RESULTADOS'!$C$71)/1375</f>
        <v>24762.287272727273</v>
      </c>
      <c r="M826" s="122">
        <v>0</v>
      </c>
      <c r="N826" s="122">
        <f t="shared" si="160"/>
        <v>117568.24830794845</v>
      </c>
      <c r="O826" s="122">
        <f t="shared" si="161"/>
        <v>10688.02257344986</v>
      </c>
      <c r="P826" s="336">
        <f t="shared" si="153"/>
        <v>-99968.248307948452</v>
      </c>
      <c r="Q826" s="336">
        <f t="shared" si="154"/>
        <v>9654.0225734498599</v>
      </c>
      <c r="R826" s="303">
        <f t="shared" si="155"/>
        <v>9.3365788911507348</v>
      </c>
    </row>
    <row r="827" spans="1:18" x14ac:dyDescent="0.3">
      <c r="A827" s="2">
        <v>1957</v>
      </c>
      <c r="B827" s="41" t="s">
        <v>680</v>
      </c>
      <c r="C827" s="2">
        <v>2</v>
      </c>
      <c r="D827" s="2" t="s">
        <v>5</v>
      </c>
      <c r="E827" s="294">
        <v>108202.5</v>
      </c>
      <c r="F827" s="296">
        <v>119366.66666666667</v>
      </c>
      <c r="G827" s="352">
        <v>28</v>
      </c>
      <c r="H827" s="296">
        <f t="shared" si="150"/>
        <v>3029670</v>
      </c>
      <c r="I827" s="122">
        <f t="shared" si="151"/>
        <v>3342266.666666667</v>
      </c>
      <c r="J827" s="331">
        <f t="shared" si="152"/>
        <v>312596.66666666698</v>
      </c>
      <c r="K827" s="292">
        <f>'09-RESUMEN'!$F$43/1375</f>
        <v>81431.961035221175</v>
      </c>
      <c r="L827" s="122">
        <f>('ESTADO RESULTADOS'!$C$36+'ESTADO RESULTADOS'!$C$71)/1375</f>
        <v>24762.287272727273</v>
      </c>
      <c r="M827" s="122">
        <v>0</v>
      </c>
      <c r="N827" s="122">
        <f t="shared" si="160"/>
        <v>3135864.2483079485</v>
      </c>
      <c r="O827" s="122">
        <f t="shared" si="161"/>
        <v>111995.15172528387</v>
      </c>
      <c r="P827" s="336">
        <f t="shared" si="153"/>
        <v>206402.41835871851</v>
      </c>
      <c r="Q827" s="336">
        <f t="shared" si="154"/>
        <v>3792.6517252838676</v>
      </c>
      <c r="R827" s="303">
        <f t="shared" si="155"/>
        <v>3.5051424184135004E-2</v>
      </c>
    </row>
    <row r="828" spans="1:18" x14ac:dyDescent="0.3">
      <c r="A828" s="2">
        <v>1958</v>
      </c>
      <c r="B828" s="41" t="s">
        <v>681</v>
      </c>
      <c r="C828" s="2">
        <v>14</v>
      </c>
      <c r="D828" s="2" t="s">
        <v>12</v>
      </c>
      <c r="E828" s="294">
        <v>9510</v>
      </c>
      <c r="F828" s="296">
        <v>11000</v>
      </c>
      <c r="G828" s="352">
        <v>0</v>
      </c>
      <c r="H828" s="296">
        <f t="shared" si="150"/>
        <v>0</v>
      </c>
      <c r="I828" s="122">
        <f t="shared" si="151"/>
        <v>0</v>
      </c>
      <c r="J828" s="331">
        <f t="shared" si="152"/>
        <v>0</v>
      </c>
      <c r="K828" s="292">
        <f>'09-RESUMEN'!$F$43/1375</f>
        <v>81431.961035221175</v>
      </c>
      <c r="L828" s="122">
        <f>('ESTADO RESULTADOS'!$C$36+'ESTADO RESULTADOS'!$C$71)/1375</f>
        <v>24762.287272727273</v>
      </c>
      <c r="M828" s="122">
        <v>0</v>
      </c>
      <c r="N828" s="122">
        <f>SUM(E828+K828+L828+M828)</f>
        <v>115704.24830794845</v>
      </c>
      <c r="O828" s="122">
        <f>N828</f>
        <v>115704.24830794845</v>
      </c>
      <c r="P828" s="336">
        <f t="shared" si="153"/>
        <v>-115704.24830794845</v>
      </c>
      <c r="Q828" s="336">
        <f t="shared" si="154"/>
        <v>106194.24830794845</v>
      </c>
      <c r="R828" s="303">
        <f t="shared" si="155"/>
        <v>11.166587624389953</v>
      </c>
    </row>
    <row r="829" spans="1:18" x14ac:dyDescent="0.3">
      <c r="A829" s="2">
        <v>1959</v>
      </c>
      <c r="B829" s="41" t="s">
        <v>682</v>
      </c>
      <c r="C829" s="2">
        <v>14</v>
      </c>
      <c r="D829" s="2" t="s">
        <v>12</v>
      </c>
      <c r="E829" s="294">
        <v>31700</v>
      </c>
      <c r="F829" s="296">
        <v>37000</v>
      </c>
      <c r="G829" s="352">
        <v>0</v>
      </c>
      <c r="H829" s="296">
        <f t="shared" si="150"/>
        <v>0</v>
      </c>
      <c r="I829" s="122">
        <f t="shared" si="151"/>
        <v>0</v>
      </c>
      <c r="J829" s="331">
        <f t="shared" si="152"/>
        <v>0</v>
      </c>
      <c r="K829" s="292">
        <f>'09-RESUMEN'!$F$43/1375</f>
        <v>81431.961035221175</v>
      </c>
      <c r="L829" s="122">
        <f>('ESTADO RESULTADOS'!$C$36+'ESTADO RESULTADOS'!$C$71)/1375</f>
        <v>24762.287272727273</v>
      </c>
      <c r="M829" s="122">
        <v>0</v>
      </c>
      <c r="N829" s="122">
        <f>SUM(E829+K829+L829+M829)</f>
        <v>137894.24830794844</v>
      </c>
      <c r="O829" s="122">
        <f>N829</f>
        <v>137894.24830794844</v>
      </c>
      <c r="P829" s="336">
        <f t="shared" si="153"/>
        <v>-137894.24830794844</v>
      </c>
      <c r="Q829" s="336">
        <f t="shared" si="154"/>
        <v>106194.24830794844</v>
      </c>
      <c r="R829" s="303">
        <f t="shared" si="155"/>
        <v>3.3499762873169856</v>
      </c>
    </row>
    <row r="830" spans="1:18" x14ac:dyDescent="0.3">
      <c r="A830" s="2">
        <v>1960</v>
      </c>
      <c r="B830" s="41" t="s">
        <v>1789</v>
      </c>
      <c r="C830" s="2">
        <v>14</v>
      </c>
      <c r="D830" s="2" t="s">
        <v>12</v>
      </c>
      <c r="E830" s="294">
        <v>13900</v>
      </c>
      <c r="F830" s="296">
        <v>18800</v>
      </c>
      <c r="G830" s="352">
        <v>0</v>
      </c>
      <c r="H830" s="296">
        <f t="shared" si="150"/>
        <v>0</v>
      </c>
      <c r="I830" s="122">
        <f t="shared" si="151"/>
        <v>0</v>
      </c>
      <c r="J830" s="331">
        <f t="shared" si="152"/>
        <v>0</v>
      </c>
      <c r="K830" s="292">
        <f>'09-RESUMEN'!$F$43/1375</f>
        <v>81431.961035221175</v>
      </c>
      <c r="L830" s="122">
        <f>('ESTADO RESULTADOS'!$C$36+'ESTADO RESULTADOS'!$C$71)/1375</f>
        <v>24762.287272727273</v>
      </c>
      <c r="M830" s="122">
        <v>0</v>
      </c>
      <c r="N830" s="122">
        <f>SUM(E830+K830+L830+M830)</f>
        <v>120094.24830794845</v>
      </c>
      <c r="O830" s="122">
        <f>N830</f>
        <v>120094.24830794845</v>
      </c>
      <c r="P830" s="336">
        <f t="shared" si="153"/>
        <v>-120094.24830794845</v>
      </c>
      <c r="Q830" s="336">
        <f t="shared" si="154"/>
        <v>106194.24830794845</v>
      </c>
      <c r="R830" s="303">
        <f t="shared" si="155"/>
        <v>7.6398739789890975</v>
      </c>
    </row>
    <row r="831" spans="1:18" x14ac:dyDescent="0.3">
      <c r="A831" s="2">
        <v>1962</v>
      </c>
      <c r="B831" s="41" t="s">
        <v>683</v>
      </c>
      <c r="C831" s="2">
        <v>2</v>
      </c>
      <c r="D831" s="2" t="s">
        <v>5</v>
      </c>
      <c r="E831" s="294">
        <v>63400</v>
      </c>
      <c r="F831" s="296">
        <v>68633.333333333328</v>
      </c>
      <c r="G831" s="352">
        <v>12</v>
      </c>
      <c r="H831" s="296">
        <f t="shared" si="150"/>
        <v>760800</v>
      </c>
      <c r="I831" s="122">
        <f t="shared" si="151"/>
        <v>823600</v>
      </c>
      <c r="J831" s="331">
        <f t="shared" si="152"/>
        <v>62800</v>
      </c>
      <c r="K831" s="292">
        <f>'09-RESUMEN'!$F$43/1375</f>
        <v>81431.961035221175</v>
      </c>
      <c r="L831" s="122">
        <f>('ESTADO RESULTADOS'!$C$36+'ESTADO RESULTADOS'!$C$71)/1375</f>
        <v>24762.287272727273</v>
      </c>
      <c r="M831" s="122">
        <v>0</v>
      </c>
      <c r="N831" s="122">
        <f>SUM(H831+K831+L831+M831)</f>
        <v>866994.24830794835</v>
      </c>
      <c r="O831" s="122">
        <f>N831/G831</f>
        <v>72249.520692329024</v>
      </c>
      <c r="P831" s="336">
        <f t="shared" si="153"/>
        <v>-43394.24830794835</v>
      </c>
      <c r="Q831" s="336">
        <f t="shared" si="154"/>
        <v>8849.5206923290243</v>
      </c>
      <c r="R831" s="303">
        <f t="shared" si="155"/>
        <v>0.13958234530487421</v>
      </c>
    </row>
    <row r="832" spans="1:18" x14ac:dyDescent="0.3">
      <c r="A832" s="2">
        <v>1967</v>
      </c>
      <c r="B832" s="41" t="s">
        <v>1790</v>
      </c>
      <c r="C832" s="2">
        <v>4</v>
      </c>
      <c r="D832" s="2" t="s">
        <v>419</v>
      </c>
      <c r="E832" s="294">
        <v>91800</v>
      </c>
      <c r="F832" s="296">
        <v>81000</v>
      </c>
      <c r="G832" s="352">
        <v>0</v>
      </c>
      <c r="H832" s="296">
        <f t="shared" si="150"/>
        <v>0</v>
      </c>
      <c r="I832" s="122">
        <f t="shared" si="151"/>
        <v>0</v>
      </c>
      <c r="J832" s="331">
        <f t="shared" si="152"/>
        <v>0</v>
      </c>
      <c r="K832" s="292">
        <f>'09-RESUMEN'!$F$43/1375</f>
        <v>81431.961035221175</v>
      </c>
      <c r="L832" s="122">
        <f>('ESTADO RESULTADOS'!$C$36+'ESTADO RESULTADOS'!$C$71)/1375</f>
        <v>24762.287272727273</v>
      </c>
      <c r="M832" s="122">
        <v>0</v>
      </c>
      <c r="N832" s="122">
        <f>SUM(E832+K832+L832+M832)</f>
        <v>197994.24830794844</v>
      </c>
      <c r="O832" s="122">
        <f>N832</f>
        <v>197994.24830794844</v>
      </c>
      <c r="P832" s="336">
        <f t="shared" si="153"/>
        <v>-197994.24830794844</v>
      </c>
      <c r="Q832" s="336">
        <f t="shared" si="154"/>
        <v>106194.24830794844</v>
      </c>
      <c r="R832" s="303">
        <f t="shared" si="155"/>
        <v>1.1568000905005276</v>
      </c>
    </row>
    <row r="833" spans="1:18" x14ac:dyDescent="0.3">
      <c r="A833" s="2">
        <v>1970</v>
      </c>
      <c r="B833" s="41" t="s">
        <v>684</v>
      </c>
      <c r="C833" s="2">
        <v>2</v>
      </c>
      <c r="D833" s="2" t="s">
        <v>10</v>
      </c>
      <c r="E833" s="294">
        <v>88558.05</v>
      </c>
      <c r="F833" s="296">
        <v>104483.33333333333</v>
      </c>
      <c r="G833" s="352">
        <v>99.5</v>
      </c>
      <c r="H833" s="296">
        <f t="shared" si="150"/>
        <v>8811525.9749999996</v>
      </c>
      <c r="I833" s="122">
        <f t="shared" si="151"/>
        <v>10396091.666666666</v>
      </c>
      <c r="J833" s="331">
        <f t="shared" si="152"/>
        <v>1584565.6916666664</v>
      </c>
      <c r="K833" s="292">
        <f>'09-RESUMEN'!$F$43/1375</f>
        <v>81431.961035221175</v>
      </c>
      <c r="L833" s="122">
        <f>('ESTADO RESULTADOS'!$C$36+'ESTADO RESULTADOS'!$C$71)/1375</f>
        <v>24762.287272727273</v>
      </c>
      <c r="M833" s="122">
        <v>0</v>
      </c>
      <c r="N833" s="122">
        <f>SUM(H833+K833+L833+M833)</f>
        <v>8917720.2233079486</v>
      </c>
      <c r="O833" s="122">
        <f>N833/G833</f>
        <v>89625.328877466818</v>
      </c>
      <c r="P833" s="336">
        <f t="shared" si="153"/>
        <v>1478371.4433587175</v>
      </c>
      <c r="Q833" s="336">
        <f t="shared" si="154"/>
        <v>1067.2788774668152</v>
      </c>
      <c r="R833" s="303">
        <f t="shared" si="155"/>
        <v>1.2051743206482246E-2</v>
      </c>
    </row>
    <row r="834" spans="1:18" x14ac:dyDescent="0.3">
      <c r="A834" s="2">
        <v>1971</v>
      </c>
      <c r="B834" s="41" t="s">
        <v>685</v>
      </c>
      <c r="C834" s="2">
        <v>12</v>
      </c>
      <c r="D834" s="2" t="s">
        <v>12</v>
      </c>
      <c r="E834" s="294">
        <v>11999.96</v>
      </c>
      <c r="F834" s="296">
        <v>14600</v>
      </c>
      <c r="G834" s="352">
        <v>2</v>
      </c>
      <c r="H834" s="296">
        <f t="shared" si="150"/>
        <v>23999.919999999998</v>
      </c>
      <c r="I834" s="122">
        <f t="shared" si="151"/>
        <v>29200</v>
      </c>
      <c r="J834" s="331">
        <f t="shared" si="152"/>
        <v>5200.0800000000017</v>
      </c>
      <c r="K834" s="292">
        <f>'09-RESUMEN'!$F$43/1375</f>
        <v>81431.961035221175</v>
      </c>
      <c r="L834" s="122">
        <f>('ESTADO RESULTADOS'!$C$36+'ESTADO RESULTADOS'!$C$71)/1375</f>
        <v>24762.287272727273</v>
      </c>
      <c r="M834" s="122">
        <v>0</v>
      </c>
      <c r="N834" s="122">
        <f>SUM(H834+K834+L834+M834)</f>
        <v>130194.16830794845</v>
      </c>
      <c r="O834" s="122">
        <f>N834/G834</f>
        <v>65097.084153974225</v>
      </c>
      <c r="P834" s="336">
        <f t="shared" si="153"/>
        <v>-100994.16830794845</v>
      </c>
      <c r="Q834" s="336">
        <f t="shared" si="154"/>
        <v>53097.124153974226</v>
      </c>
      <c r="R834" s="303">
        <f t="shared" si="155"/>
        <v>4.4247750954148373</v>
      </c>
    </row>
    <row r="835" spans="1:18" x14ac:dyDescent="0.3">
      <c r="A835" s="2">
        <v>1972</v>
      </c>
      <c r="B835" s="41" t="s">
        <v>1791</v>
      </c>
      <c r="C835" s="2">
        <v>12</v>
      </c>
      <c r="D835" s="2" t="s">
        <v>12</v>
      </c>
      <c r="E835" s="294">
        <v>2550</v>
      </c>
      <c r="F835" s="296">
        <v>3400</v>
      </c>
      <c r="G835" s="352">
        <v>16</v>
      </c>
      <c r="H835" s="296">
        <f t="shared" si="150"/>
        <v>40800</v>
      </c>
      <c r="I835" s="122">
        <f t="shared" si="151"/>
        <v>54400</v>
      </c>
      <c r="J835" s="331">
        <f t="shared" si="152"/>
        <v>13600</v>
      </c>
      <c r="K835" s="292">
        <f>'09-RESUMEN'!$F$43/1375</f>
        <v>81431.961035221175</v>
      </c>
      <c r="L835" s="122">
        <f>('ESTADO RESULTADOS'!$C$36+'ESTADO RESULTADOS'!$C$71)/1375</f>
        <v>24762.287272727273</v>
      </c>
      <c r="M835" s="122">
        <v>0</v>
      </c>
      <c r="N835" s="122">
        <f>SUM(H835+K835+L835+M835)</f>
        <v>146994.24830794844</v>
      </c>
      <c r="O835" s="122">
        <f>N835/G835</f>
        <v>9187.1405192467773</v>
      </c>
      <c r="P835" s="336">
        <f t="shared" si="153"/>
        <v>-92594.248307948437</v>
      </c>
      <c r="Q835" s="336">
        <f t="shared" si="154"/>
        <v>6637.1405192467773</v>
      </c>
      <c r="R835" s="303">
        <f t="shared" si="155"/>
        <v>2.6028002036261872</v>
      </c>
    </row>
    <row r="836" spans="1:18" x14ac:dyDescent="0.3">
      <c r="A836" s="2">
        <v>1973</v>
      </c>
      <c r="B836" s="41" t="s">
        <v>1792</v>
      </c>
      <c r="C836" s="2">
        <v>16</v>
      </c>
      <c r="D836" s="2" t="s">
        <v>12</v>
      </c>
      <c r="E836" s="294">
        <v>1042</v>
      </c>
      <c r="F836" s="296">
        <v>1400</v>
      </c>
      <c r="G836" s="352">
        <v>0</v>
      </c>
      <c r="H836" s="296">
        <f t="shared" ref="H836:H899" si="162">E836*G836</f>
        <v>0</v>
      </c>
      <c r="I836" s="122">
        <f t="shared" ref="I836:I899" si="163">F836*G836</f>
        <v>0</v>
      </c>
      <c r="J836" s="331">
        <f t="shared" ref="J836:J899" si="164">I836-H836</f>
        <v>0</v>
      </c>
      <c r="K836" s="292">
        <f>'09-RESUMEN'!$F$43/1375</f>
        <v>81431.961035221175</v>
      </c>
      <c r="L836" s="122">
        <f>('ESTADO RESULTADOS'!$C$36+'ESTADO RESULTADOS'!$C$71)/1375</f>
        <v>24762.287272727273</v>
      </c>
      <c r="M836" s="122">
        <v>0</v>
      </c>
      <c r="N836" s="122">
        <f>SUM(E836+K836+L836+M836)</f>
        <v>107236.24830794845</v>
      </c>
      <c r="O836" s="122">
        <f>N836</f>
        <v>107236.24830794845</v>
      </c>
      <c r="P836" s="336">
        <f t="shared" si="153"/>
        <v>-107236.24830794845</v>
      </c>
      <c r="Q836" s="336">
        <f t="shared" si="154"/>
        <v>106194.24830794845</v>
      </c>
      <c r="R836" s="303">
        <f t="shared" si="155"/>
        <v>101.91386593853018</v>
      </c>
    </row>
    <row r="837" spans="1:18" x14ac:dyDescent="0.3">
      <c r="A837" s="2">
        <v>1975</v>
      </c>
      <c r="B837" s="41" t="s">
        <v>686</v>
      </c>
      <c r="C837" s="2">
        <v>10</v>
      </c>
      <c r="D837" s="2" t="s">
        <v>12</v>
      </c>
      <c r="E837" s="294">
        <v>3502.5983999999999</v>
      </c>
      <c r="F837" s="296">
        <v>5800</v>
      </c>
      <c r="G837" s="352">
        <v>16</v>
      </c>
      <c r="H837" s="296">
        <f t="shared" si="162"/>
        <v>56041.574399999998</v>
      </c>
      <c r="I837" s="122">
        <f t="shared" si="163"/>
        <v>92800</v>
      </c>
      <c r="J837" s="331">
        <f t="shared" si="164"/>
        <v>36758.425600000002</v>
      </c>
      <c r="K837" s="292">
        <f>'09-RESUMEN'!$F$43/1375</f>
        <v>81431.961035221175</v>
      </c>
      <c r="L837" s="122">
        <f>('ESTADO RESULTADOS'!$C$36+'ESTADO RESULTADOS'!$C$71)/1375</f>
        <v>24762.287272727273</v>
      </c>
      <c r="M837" s="122">
        <v>0</v>
      </c>
      <c r="N837" s="122">
        <f>SUM(H837+K837+L837+M837)</f>
        <v>162235.82270794842</v>
      </c>
      <c r="O837" s="122">
        <f>N837/G837</f>
        <v>10139.738919246776</v>
      </c>
      <c r="P837" s="336">
        <f t="shared" ref="P837:P900" si="165">I837-N837</f>
        <v>-69435.82270794842</v>
      </c>
      <c r="Q837" s="336">
        <f t="shared" ref="Q837:Q900" si="166">O837-E837</f>
        <v>6637.1405192467764</v>
      </c>
      <c r="R837" s="303">
        <f t="shared" ref="R837:R900" si="167">Q837/E837</f>
        <v>1.8949190747208635</v>
      </c>
    </row>
    <row r="838" spans="1:18" x14ac:dyDescent="0.3">
      <c r="A838" s="2">
        <v>1976</v>
      </c>
      <c r="B838" s="41" t="s">
        <v>687</v>
      </c>
      <c r="C838" s="2">
        <v>10</v>
      </c>
      <c r="D838" s="2" t="s">
        <v>12</v>
      </c>
      <c r="E838" s="294">
        <v>4591.0200000000004</v>
      </c>
      <c r="F838" s="296">
        <v>5800</v>
      </c>
      <c r="G838" s="352">
        <v>6</v>
      </c>
      <c r="H838" s="296">
        <f t="shared" si="162"/>
        <v>27546.120000000003</v>
      </c>
      <c r="I838" s="122">
        <f t="shared" si="163"/>
        <v>34800</v>
      </c>
      <c r="J838" s="331">
        <f t="shared" si="164"/>
        <v>7253.8799999999974</v>
      </c>
      <c r="K838" s="292">
        <f>'09-RESUMEN'!$F$43/1375</f>
        <v>81431.961035221175</v>
      </c>
      <c r="L838" s="122">
        <f>('ESTADO RESULTADOS'!$C$36+'ESTADO RESULTADOS'!$C$71)/1375</f>
        <v>24762.287272727273</v>
      </c>
      <c r="M838" s="122">
        <v>0</v>
      </c>
      <c r="N838" s="122">
        <f>SUM(H838+K838+L838+M838)</f>
        <v>133740.36830794843</v>
      </c>
      <c r="O838" s="122">
        <f>N838/G838</f>
        <v>22290.061384658071</v>
      </c>
      <c r="P838" s="336">
        <f t="shared" si="165"/>
        <v>-98940.368307948433</v>
      </c>
      <c r="Q838" s="336">
        <f t="shared" si="166"/>
        <v>17699.04138465807</v>
      </c>
      <c r="R838" s="303">
        <f t="shared" si="167"/>
        <v>3.8551436030899602</v>
      </c>
    </row>
    <row r="839" spans="1:18" x14ac:dyDescent="0.3">
      <c r="A839" s="2">
        <v>1977</v>
      </c>
      <c r="B839" s="41" t="s">
        <v>1793</v>
      </c>
      <c r="C839" s="2">
        <v>5</v>
      </c>
      <c r="D839" s="2" t="s">
        <v>176</v>
      </c>
      <c r="E839" s="294">
        <v>27700</v>
      </c>
      <c r="F839" s="296">
        <v>33166.666666666664</v>
      </c>
      <c r="G839" s="352">
        <v>22</v>
      </c>
      <c r="H839" s="296">
        <f t="shared" si="162"/>
        <v>609400</v>
      </c>
      <c r="I839" s="122">
        <f t="shared" si="163"/>
        <v>729666.66666666663</v>
      </c>
      <c r="J839" s="331">
        <f t="shared" si="164"/>
        <v>120266.66666666663</v>
      </c>
      <c r="K839" s="292">
        <f>'09-RESUMEN'!$F$43/1375</f>
        <v>81431.961035221175</v>
      </c>
      <c r="L839" s="122">
        <f>('ESTADO RESULTADOS'!$C$36+'ESTADO RESULTADOS'!$C$71)/1375</f>
        <v>24762.287272727273</v>
      </c>
      <c r="M839" s="122">
        <v>0</v>
      </c>
      <c r="N839" s="122">
        <f>SUM(H839+K839+L839+M839)</f>
        <v>715594.24830794835</v>
      </c>
      <c r="O839" s="122">
        <f>N839/G839</f>
        <v>32527.011286724926</v>
      </c>
      <c r="P839" s="336">
        <f t="shared" si="165"/>
        <v>14072.418358718278</v>
      </c>
      <c r="Q839" s="336">
        <f t="shared" si="166"/>
        <v>4827.0112867249263</v>
      </c>
      <c r="R839" s="303">
        <f t="shared" si="167"/>
        <v>0.17426033526082765</v>
      </c>
    </row>
    <row r="840" spans="1:18" x14ac:dyDescent="0.3">
      <c r="A840" s="2">
        <v>1978</v>
      </c>
      <c r="B840" s="41" t="s">
        <v>688</v>
      </c>
      <c r="C840" s="2">
        <v>14</v>
      </c>
      <c r="D840" s="2" t="s">
        <v>12</v>
      </c>
      <c r="E840" s="294">
        <v>40147.2857</v>
      </c>
      <c r="F840" s="296">
        <v>51566.666666666664</v>
      </c>
      <c r="G840" s="352">
        <v>9</v>
      </c>
      <c r="H840" s="296">
        <f t="shared" si="162"/>
        <v>361325.57130000001</v>
      </c>
      <c r="I840" s="122">
        <f t="shared" si="163"/>
        <v>464100</v>
      </c>
      <c r="J840" s="331">
        <f t="shared" si="164"/>
        <v>102774.42869999999</v>
      </c>
      <c r="K840" s="292">
        <f>'09-RESUMEN'!$F$43/1375</f>
        <v>81431.961035221175</v>
      </c>
      <c r="L840" s="122">
        <f>('ESTADO RESULTADOS'!$C$36+'ESTADO RESULTADOS'!$C$71)/1375</f>
        <v>24762.287272727273</v>
      </c>
      <c r="M840" s="122">
        <v>0</v>
      </c>
      <c r="N840" s="122">
        <f>SUM(H840+K840+L840+M840)</f>
        <v>467519.81960794848</v>
      </c>
      <c r="O840" s="122">
        <f>N840/G840</f>
        <v>51946.646623105386</v>
      </c>
      <c r="P840" s="336">
        <f t="shared" si="165"/>
        <v>-3419.8196079484769</v>
      </c>
      <c r="Q840" s="336">
        <f t="shared" si="166"/>
        <v>11799.360923105385</v>
      </c>
      <c r="R840" s="303">
        <f t="shared" si="167"/>
        <v>0.29390183464147329</v>
      </c>
    </row>
    <row r="841" spans="1:18" x14ac:dyDescent="0.3">
      <c r="A841" s="2">
        <v>1979</v>
      </c>
      <c r="B841" s="41" t="s">
        <v>689</v>
      </c>
      <c r="C841" s="2">
        <v>14</v>
      </c>
      <c r="D841" s="2" t="s">
        <v>81</v>
      </c>
      <c r="E841" s="294">
        <v>13688</v>
      </c>
      <c r="F841" s="296">
        <v>15800</v>
      </c>
      <c r="G841" s="352">
        <v>3</v>
      </c>
      <c r="H841" s="296">
        <f t="shared" si="162"/>
        <v>41064</v>
      </c>
      <c r="I841" s="122">
        <f t="shared" si="163"/>
        <v>47400</v>
      </c>
      <c r="J841" s="331">
        <f t="shared" si="164"/>
        <v>6336</v>
      </c>
      <c r="K841" s="292">
        <f>'09-RESUMEN'!$F$43/1375</f>
        <v>81431.961035221175</v>
      </c>
      <c r="L841" s="122">
        <f>('ESTADO RESULTADOS'!$C$36+'ESTADO RESULTADOS'!$C$71)/1375</f>
        <v>24762.287272727273</v>
      </c>
      <c r="M841" s="122">
        <v>0</v>
      </c>
      <c r="N841" s="122">
        <f>SUM(H841+K841+L841+M841)</f>
        <v>147258.24830794844</v>
      </c>
      <c r="O841" s="122">
        <f>N841/G841</f>
        <v>49086.082769316148</v>
      </c>
      <c r="P841" s="336">
        <f t="shared" si="165"/>
        <v>-99858.248307948437</v>
      </c>
      <c r="Q841" s="336">
        <f t="shared" si="166"/>
        <v>35398.082769316148</v>
      </c>
      <c r="R841" s="303">
        <f t="shared" si="167"/>
        <v>2.5860668300201746</v>
      </c>
    </row>
    <row r="842" spans="1:18" x14ac:dyDescent="0.3">
      <c r="A842" s="2">
        <v>1980</v>
      </c>
      <c r="B842" s="41" t="s">
        <v>1794</v>
      </c>
      <c r="C842" s="2">
        <v>14</v>
      </c>
      <c r="D842" s="2" t="s">
        <v>12</v>
      </c>
      <c r="E842" s="294">
        <v>1220</v>
      </c>
      <c r="F842" s="296">
        <v>1450</v>
      </c>
      <c r="G842" s="352">
        <v>0</v>
      </c>
      <c r="H842" s="296">
        <f t="shared" si="162"/>
        <v>0</v>
      </c>
      <c r="I842" s="122">
        <f t="shared" si="163"/>
        <v>0</v>
      </c>
      <c r="J842" s="331">
        <f t="shared" si="164"/>
        <v>0</v>
      </c>
      <c r="K842" s="292">
        <f>'09-RESUMEN'!$F$43/1375</f>
        <v>81431.961035221175</v>
      </c>
      <c r="L842" s="122">
        <f>('ESTADO RESULTADOS'!$C$36+'ESTADO RESULTADOS'!$C$71)/1375</f>
        <v>24762.287272727273</v>
      </c>
      <c r="M842" s="122">
        <v>0</v>
      </c>
      <c r="N842" s="122">
        <f>SUM(E842+K842+L842+M842)</f>
        <v>107414.24830794845</v>
      </c>
      <c r="O842" s="122">
        <f>N842</f>
        <v>107414.24830794845</v>
      </c>
      <c r="P842" s="336">
        <f t="shared" si="165"/>
        <v>-107414.24830794845</v>
      </c>
      <c r="Q842" s="336">
        <f t="shared" si="166"/>
        <v>106194.24830794845</v>
      </c>
      <c r="R842" s="303">
        <f t="shared" si="167"/>
        <v>87.044465826187249</v>
      </c>
    </row>
    <row r="843" spans="1:18" x14ac:dyDescent="0.3">
      <c r="A843" s="2">
        <v>1982</v>
      </c>
      <c r="B843" s="41" t="s">
        <v>690</v>
      </c>
      <c r="C843" s="2">
        <v>8</v>
      </c>
      <c r="D843" s="2" t="s">
        <v>16</v>
      </c>
      <c r="E843" s="294">
        <v>18790</v>
      </c>
      <c r="F843" s="296">
        <v>24000</v>
      </c>
      <c r="G843" s="352">
        <v>17</v>
      </c>
      <c r="H843" s="296">
        <f t="shared" si="162"/>
        <v>319430</v>
      </c>
      <c r="I843" s="122">
        <f t="shared" si="163"/>
        <v>408000</v>
      </c>
      <c r="J843" s="331">
        <f t="shared" si="164"/>
        <v>88570</v>
      </c>
      <c r="K843" s="292">
        <f>'09-RESUMEN'!$F$43/1375</f>
        <v>81431.961035221175</v>
      </c>
      <c r="L843" s="122">
        <f>('ESTADO RESULTADOS'!$C$36+'ESTADO RESULTADOS'!$C$71)/1375</f>
        <v>24762.287272727273</v>
      </c>
      <c r="M843" s="122">
        <v>0</v>
      </c>
      <c r="N843" s="122">
        <f t="shared" ref="N843:N848" si="168">SUM(H843+K843+L843+M843)</f>
        <v>425624.24830794847</v>
      </c>
      <c r="O843" s="122">
        <f t="shared" ref="O843:O848" si="169">N843/G843</f>
        <v>25036.720488702849</v>
      </c>
      <c r="P843" s="336">
        <f t="shared" si="165"/>
        <v>-17624.248307948466</v>
      </c>
      <c r="Q843" s="336">
        <f t="shared" si="166"/>
        <v>6246.7204887028493</v>
      </c>
      <c r="R843" s="303">
        <f t="shared" si="167"/>
        <v>0.33244920110180143</v>
      </c>
    </row>
    <row r="844" spans="1:18" x14ac:dyDescent="0.3">
      <c r="A844" s="2">
        <v>1983</v>
      </c>
      <c r="B844" s="41" t="s">
        <v>691</v>
      </c>
      <c r="C844" s="2">
        <v>8</v>
      </c>
      <c r="D844" s="2" t="s">
        <v>176</v>
      </c>
      <c r="E844" s="294">
        <v>27022</v>
      </c>
      <c r="F844" s="296">
        <v>32000</v>
      </c>
      <c r="G844" s="352">
        <v>1</v>
      </c>
      <c r="H844" s="296">
        <f t="shared" si="162"/>
        <v>27022</v>
      </c>
      <c r="I844" s="122">
        <f t="shared" si="163"/>
        <v>32000</v>
      </c>
      <c r="J844" s="331">
        <f t="shared" si="164"/>
        <v>4978</v>
      </c>
      <c r="K844" s="292">
        <f>'09-RESUMEN'!$F$43/1375</f>
        <v>81431.961035221175</v>
      </c>
      <c r="L844" s="122">
        <f>('ESTADO RESULTADOS'!$C$36+'ESTADO RESULTADOS'!$C$71)/1375</f>
        <v>24762.287272727273</v>
      </c>
      <c r="M844" s="122">
        <v>0</v>
      </c>
      <c r="N844" s="122">
        <f t="shared" si="168"/>
        <v>133216.24830794844</v>
      </c>
      <c r="O844" s="122">
        <f t="shared" si="169"/>
        <v>133216.24830794844</v>
      </c>
      <c r="P844" s="336">
        <f t="shared" si="165"/>
        <v>-101216.24830794844</v>
      </c>
      <c r="Q844" s="336">
        <f t="shared" si="166"/>
        <v>106194.24830794844</v>
      </c>
      <c r="R844" s="303">
        <f t="shared" si="167"/>
        <v>3.9299181521703961</v>
      </c>
    </row>
    <row r="845" spans="1:18" x14ac:dyDescent="0.3">
      <c r="A845" s="2">
        <v>1984</v>
      </c>
      <c r="B845" s="41" t="s">
        <v>692</v>
      </c>
      <c r="C845" s="2">
        <v>6</v>
      </c>
      <c r="D845" s="2" t="s">
        <v>12</v>
      </c>
      <c r="E845" s="294">
        <v>22400</v>
      </c>
      <c r="F845" s="296">
        <v>26800</v>
      </c>
      <c r="G845" s="352">
        <v>24</v>
      </c>
      <c r="H845" s="296">
        <f t="shared" si="162"/>
        <v>537600</v>
      </c>
      <c r="I845" s="122">
        <f t="shared" si="163"/>
        <v>643200</v>
      </c>
      <c r="J845" s="331">
        <f t="shared" si="164"/>
        <v>105600</v>
      </c>
      <c r="K845" s="292">
        <f>'09-RESUMEN'!$F$43/1375</f>
        <v>81431.961035221175</v>
      </c>
      <c r="L845" s="122">
        <f>('ESTADO RESULTADOS'!$C$36+'ESTADO RESULTADOS'!$C$71)/1375</f>
        <v>24762.287272727273</v>
      </c>
      <c r="M845" s="122">
        <v>0</v>
      </c>
      <c r="N845" s="122">
        <f t="shared" si="168"/>
        <v>643794.24830794835</v>
      </c>
      <c r="O845" s="122">
        <f t="shared" si="169"/>
        <v>26824.760346164516</v>
      </c>
      <c r="P845" s="336">
        <f t="shared" si="165"/>
        <v>-594.24830794834998</v>
      </c>
      <c r="Q845" s="336">
        <f t="shared" si="166"/>
        <v>4424.7603461645158</v>
      </c>
      <c r="R845" s="303">
        <f t="shared" si="167"/>
        <v>0.19753394402520161</v>
      </c>
    </row>
    <row r="846" spans="1:18" x14ac:dyDescent="0.3">
      <c r="A846" s="2">
        <v>1985</v>
      </c>
      <c r="B846" s="41" t="s">
        <v>693</v>
      </c>
      <c r="C846" s="2">
        <v>6</v>
      </c>
      <c r="D846" s="2" t="s">
        <v>176</v>
      </c>
      <c r="E846" s="294">
        <v>13911</v>
      </c>
      <c r="F846" s="296">
        <v>17000</v>
      </c>
      <c r="G846" s="352">
        <v>22</v>
      </c>
      <c r="H846" s="296">
        <f t="shared" si="162"/>
        <v>306042</v>
      </c>
      <c r="I846" s="122">
        <f t="shared" si="163"/>
        <v>374000</v>
      </c>
      <c r="J846" s="331">
        <f t="shared" si="164"/>
        <v>67958</v>
      </c>
      <c r="K846" s="292">
        <f>'09-RESUMEN'!$F$43/1375</f>
        <v>81431.961035221175</v>
      </c>
      <c r="L846" s="122">
        <f>('ESTADO RESULTADOS'!$C$36+'ESTADO RESULTADOS'!$C$71)/1375</f>
        <v>24762.287272727273</v>
      </c>
      <c r="M846" s="122">
        <v>0</v>
      </c>
      <c r="N846" s="122">
        <f t="shared" si="168"/>
        <v>412236.24830794847</v>
      </c>
      <c r="O846" s="122">
        <f t="shared" si="169"/>
        <v>18738.01128672493</v>
      </c>
      <c r="P846" s="336">
        <f t="shared" si="165"/>
        <v>-38236.248307948466</v>
      </c>
      <c r="Q846" s="336">
        <f t="shared" si="166"/>
        <v>4827.01128672493</v>
      </c>
      <c r="R846" s="303">
        <f t="shared" si="167"/>
        <v>0.34699240074221338</v>
      </c>
    </row>
    <row r="847" spans="1:18" x14ac:dyDescent="0.3">
      <c r="A847" s="2">
        <v>1988</v>
      </c>
      <c r="B847" s="41" t="s">
        <v>694</v>
      </c>
      <c r="C847" s="2">
        <v>14</v>
      </c>
      <c r="D847" s="2" t="s">
        <v>81</v>
      </c>
      <c r="E847" s="294">
        <v>17557</v>
      </c>
      <c r="F847" s="296">
        <v>20866.666666666668</v>
      </c>
      <c r="G847" s="352">
        <v>7</v>
      </c>
      <c r="H847" s="296">
        <f t="shared" si="162"/>
        <v>122899</v>
      </c>
      <c r="I847" s="122">
        <f t="shared" si="163"/>
        <v>146066.66666666669</v>
      </c>
      <c r="J847" s="331">
        <f t="shared" si="164"/>
        <v>23167.666666666686</v>
      </c>
      <c r="K847" s="292">
        <f>'09-RESUMEN'!$F$43/1375</f>
        <v>81431.961035221175</v>
      </c>
      <c r="L847" s="122">
        <f>('ESTADO RESULTADOS'!$C$36+'ESTADO RESULTADOS'!$C$71)/1375</f>
        <v>24762.287272727273</v>
      </c>
      <c r="M847" s="122">
        <v>0</v>
      </c>
      <c r="N847" s="122">
        <f t="shared" si="168"/>
        <v>229093.24830794844</v>
      </c>
      <c r="O847" s="122">
        <f t="shared" si="169"/>
        <v>32727.606901135492</v>
      </c>
      <c r="P847" s="336">
        <f t="shared" si="165"/>
        <v>-83026.581641281751</v>
      </c>
      <c r="Q847" s="336">
        <f t="shared" si="166"/>
        <v>15170.606901135492</v>
      </c>
      <c r="R847" s="303">
        <f t="shared" si="167"/>
        <v>0.86407739939257799</v>
      </c>
    </row>
    <row r="848" spans="1:18" x14ac:dyDescent="0.3">
      <c r="A848" s="2">
        <v>1990</v>
      </c>
      <c r="B848" s="41" t="s">
        <v>695</v>
      </c>
      <c r="C848" s="2">
        <v>14</v>
      </c>
      <c r="D848" s="2" t="s">
        <v>675</v>
      </c>
      <c r="E848" s="294">
        <v>2341.5</v>
      </c>
      <c r="F848" s="296">
        <v>4000</v>
      </c>
      <c r="G848" s="352">
        <v>32</v>
      </c>
      <c r="H848" s="296">
        <f t="shared" si="162"/>
        <v>74928</v>
      </c>
      <c r="I848" s="122">
        <f t="shared" si="163"/>
        <v>128000</v>
      </c>
      <c r="J848" s="331">
        <f t="shared" si="164"/>
        <v>53072</v>
      </c>
      <c r="K848" s="292">
        <f>'09-RESUMEN'!$F$43/1375</f>
        <v>81431.961035221175</v>
      </c>
      <c r="L848" s="122">
        <f>('ESTADO RESULTADOS'!$C$36+'ESTADO RESULTADOS'!$C$71)/1375</f>
        <v>24762.287272727273</v>
      </c>
      <c r="M848" s="122">
        <v>0</v>
      </c>
      <c r="N848" s="122">
        <f t="shared" si="168"/>
        <v>181122.24830794844</v>
      </c>
      <c r="O848" s="122">
        <f t="shared" si="169"/>
        <v>5660.0702596233887</v>
      </c>
      <c r="P848" s="336">
        <f t="shared" si="165"/>
        <v>-53122.248307948437</v>
      </c>
      <c r="Q848" s="336">
        <f t="shared" si="166"/>
        <v>3318.5702596233887</v>
      </c>
      <c r="R848" s="303">
        <f t="shared" si="167"/>
        <v>1.4172839033198328</v>
      </c>
    </row>
    <row r="849" spans="1:18" x14ac:dyDescent="0.3">
      <c r="A849" s="2">
        <v>2000</v>
      </c>
      <c r="B849" s="41" t="s">
        <v>1795</v>
      </c>
      <c r="C849" s="2">
        <v>7</v>
      </c>
      <c r="D849" s="2" t="s">
        <v>35</v>
      </c>
      <c r="E849" s="294">
        <v>18905</v>
      </c>
      <c r="F849" s="296">
        <v>22000</v>
      </c>
      <c r="G849" s="352">
        <v>0</v>
      </c>
      <c r="H849" s="296">
        <f t="shared" si="162"/>
        <v>0</v>
      </c>
      <c r="I849" s="122">
        <f t="shared" si="163"/>
        <v>0</v>
      </c>
      <c r="J849" s="331">
        <f t="shared" si="164"/>
        <v>0</v>
      </c>
      <c r="K849" s="292">
        <f>'09-RESUMEN'!$F$43/1375</f>
        <v>81431.961035221175</v>
      </c>
      <c r="L849" s="122">
        <f>('ESTADO RESULTADOS'!$C$36+'ESTADO RESULTADOS'!$C$71)/1375</f>
        <v>24762.287272727273</v>
      </c>
      <c r="M849" s="122">
        <v>0</v>
      </c>
      <c r="N849" s="122">
        <f>SUM(E849+K849+L849+M849)</f>
        <v>125099.24830794845</v>
      </c>
      <c r="O849" s="122">
        <f>N849</f>
        <v>125099.24830794845</v>
      </c>
      <c r="P849" s="336">
        <f t="shared" si="165"/>
        <v>-125099.24830794845</v>
      </c>
      <c r="Q849" s="336">
        <f t="shared" si="166"/>
        <v>106194.24830794845</v>
      </c>
      <c r="R849" s="303">
        <f t="shared" si="167"/>
        <v>5.6172572498253608</v>
      </c>
    </row>
    <row r="850" spans="1:18" x14ac:dyDescent="0.3">
      <c r="A850" s="2">
        <v>2005</v>
      </c>
      <c r="B850" s="41" t="s">
        <v>696</v>
      </c>
      <c r="C850" s="2">
        <v>2</v>
      </c>
      <c r="D850" s="2" t="s">
        <v>5</v>
      </c>
      <c r="E850" s="294">
        <v>39900</v>
      </c>
      <c r="F850" s="296">
        <v>45000</v>
      </c>
      <c r="G850" s="352">
        <v>6</v>
      </c>
      <c r="H850" s="296">
        <f t="shared" si="162"/>
        <v>239400</v>
      </c>
      <c r="I850" s="122">
        <f t="shared" si="163"/>
        <v>270000</v>
      </c>
      <c r="J850" s="331">
        <f t="shared" si="164"/>
        <v>30600</v>
      </c>
      <c r="K850" s="292">
        <f>'09-RESUMEN'!$F$43/1375</f>
        <v>81431.961035221175</v>
      </c>
      <c r="L850" s="122">
        <f>('ESTADO RESULTADOS'!$C$36+'ESTADO RESULTADOS'!$C$71)/1375</f>
        <v>24762.287272727273</v>
      </c>
      <c r="M850" s="122">
        <v>0</v>
      </c>
      <c r="N850" s="122">
        <f>SUM(H850+K850+L850+M850)</f>
        <v>345594.24830794847</v>
      </c>
      <c r="O850" s="122">
        <f>N850/G850</f>
        <v>57599.041384658078</v>
      </c>
      <c r="P850" s="336">
        <f t="shared" si="165"/>
        <v>-75594.248307948466</v>
      </c>
      <c r="Q850" s="336">
        <f t="shared" si="166"/>
        <v>17699.041384658078</v>
      </c>
      <c r="R850" s="303">
        <f t="shared" si="167"/>
        <v>0.443584997109225</v>
      </c>
    </row>
    <row r="851" spans="1:18" x14ac:dyDescent="0.3">
      <c r="A851" s="2">
        <v>2007</v>
      </c>
      <c r="B851" s="41" t="s">
        <v>697</v>
      </c>
      <c r="C851" s="2">
        <v>1</v>
      </c>
      <c r="D851" s="2" t="s">
        <v>678</v>
      </c>
      <c r="E851" s="294">
        <v>196000</v>
      </c>
      <c r="F851" s="296">
        <v>215500</v>
      </c>
      <c r="G851" s="352">
        <v>19.5</v>
      </c>
      <c r="H851" s="296">
        <f t="shared" si="162"/>
        <v>3822000</v>
      </c>
      <c r="I851" s="122">
        <f t="shared" si="163"/>
        <v>4202250</v>
      </c>
      <c r="J851" s="331">
        <f t="shared" si="164"/>
        <v>380250</v>
      </c>
      <c r="K851" s="292">
        <f>'09-RESUMEN'!$F$43/1375</f>
        <v>81431.961035221175</v>
      </c>
      <c r="L851" s="122">
        <f>('ESTADO RESULTADOS'!$C$36+'ESTADO RESULTADOS'!$C$71)/1375</f>
        <v>24762.287272727273</v>
      </c>
      <c r="M851" s="122">
        <v>0</v>
      </c>
      <c r="N851" s="122">
        <f>SUM(H851+K851+L851+M851)</f>
        <v>3928194.2483079485</v>
      </c>
      <c r="O851" s="122">
        <f>N851/G851</f>
        <v>201445.85888758709</v>
      </c>
      <c r="P851" s="336">
        <f t="shared" si="165"/>
        <v>274055.75169205153</v>
      </c>
      <c r="Q851" s="336">
        <f t="shared" si="166"/>
        <v>5445.8588875870919</v>
      </c>
      <c r="R851" s="303">
        <f t="shared" si="167"/>
        <v>2.7784994324423939E-2</v>
      </c>
    </row>
    <row r="852" spans="1:18" x14ac:dyDescent="0.3">
      <c r="A852" s="2">
        <v>2011</v>
      </c>
      <c r="B852" s="41" t="s">
        <v>1796</v>
      </c>
      <c r="C852" s="2">
        <v>1</v>
      </c>
      <c r="D852" s="2" t="s">
        <v>5</v>
      </c>
      <c r="E852" s="294">
        <v>6210</v>
      </c>
      <c r="F852" s="296">
        <v>7500</v>
      </c>
      <c r="G852" s="352">
        <v>0</v>
      </c>
      <c r="H852" s="296">
        <f t="shared" si="162"/>
        <v>0</v>
      </c>
      <c r="I852" s="122">
        <f t="shared" si="163"/>
        <v>0</v>
      </c>
      <c r="J852" s="331">
        <f t="shared" si="164"/>
        <v>0</v>
      </c>
      <c r="K852" s="292">
        <f>'09-RESUMEN'!$F$43/1375</f>
        <v>81431.961035221175</v>
      </c>
      <c r="L852" s="122">
        <f>('ESTADO RESULTADOS'!$C$36+'ESTADO RESULTADOS'!$C$71)/1375</f>
        <v>24762.287272727273</v>
      </c>
      <c r="M852" s="122">
        <v>0</v>
      </c>
      <c r="N852" s="122">
        <f>SUM(E852+K852+L852+M852)</f>
        <v>112404.24830794845</v>
      </c>
      <c r="O852" s="122">
        <f>N852</f>
        <v>112404.24830794845</v>
      </c>
      <c r="P852" s="336">
        <f t="shared" si="165"/>
        <v>-112404.24830794845</v>
      </c>
      <c r="Q852" s="336">
        <f t="shared" si="166"/>
        <v>106194.24830794845</v>
      </c>
      <c r="R852" s="303">
        <f t="shared" si="167"/>
        <v>17.100523076964325</v>
      </c>
    </row>
    <row r="853" spans="1:18" x14ac:dyDescent="0.3">
      <c r="A853" s="2">
        <v>2013</v>
      </c>
      <c r="B853" s="41" t="s">
        <v>1797</v>
      </c>
      <c r="C853" s="2">
        <v>16</v>
      </c>
      <c r="D853" s="2" t="s">
        <v>12</v>
      </c>
      <c r="E853" s="294">
        <v>5831</v>
      </c>
      <c r="F853" s="296">
        <v>6800</v>
      </c>
      <c r="G853" s="352">
        <v>0</v>
      </c>
      <c r="H853" s="296">
        <f t="shared" si="162"/>
        <v>0</v>
      </c>
      <c r="I853" s="122">
        <f t="shared" si="163"/>
        <v>0</v>
      </c>
      <c r="J853" s="331">
        <f t="shared" si="164"/>
        <v>0</v>
      </c>
      <c r="K853" s="292">
        <f>'09-RESUMEN'!$F$43/1375</f>
        <v>81431.961035221175</v>
      </c>
      <c r="L853" s="122">
        <f>('ESTADO RESULTADOS'!$C$36+'ESTADO RESULTADOS'!$C$71)/1375</f>
        <v>24762.287272727273</v>
      </c>
      <c r="M853" s="122">
        <v>0</v>
      </c>
      <c r="N853" s="122">
        <f>SUM(E853+K853+L853+M853)</f>
        <v>112025.24830794845</v>
      </c>
      <c r="O853" s="122">
        <f>N853</f>
        <v>112025.24830794845</v>
      </c>
      <c r="P853" s="336">
        <f t="shared" si="165"/>
        <v>-112025.24830794845</v>
      </c>
      <c r="Q853" s="336">
        <f t="shared" si="166"/>
        <v>106194.24830794845</v>
      </c>
      <c r="R853" s="303">
        <f t="shared" si="167"/>
        <v>18.212013086597231</v>
      </c>
    </row>
    <row r="854" spans="1:18" x14ac:dyDescent="0.3">
      <c r="A854" s="2">
        <v>2014</v>
      </c>
      <c r="B854" s="41" t="s">
        <v>1798</v>
      </c>
      <c r="C854" s="2">
        <v>2</v>
      </c>
      <c r="D854" s="2" t="s">
        <v>243</v>
      </c>
      <c r="E854" s="294">
        <v>71247.75</v>
      </c>
      <c r="F854" s="296">
        <v>91866.666666666672</v>
      </c>
      <c r="G854" s="352">
        <v>5</v>
      </c>
      <c r="H854" s="296">
        <f t="shared" si="162"/>
        <v>356238.75</v>
      </c>
      <c r="I854" s="122">
        <f t="shared" si="163"/>
        <v>459333.33333333337</v>
      </c>
      <c r="J854" s="331">
        <f t="shared" si="164"/>
        <v>103094.58333333337</v>
      </c>
      <c r="K854" s="292">
        <f>'09-RESUMEN'!$F$43/1375</f>
        <v>81431.961035221175</v>
      </c>
      <c r="L854" s="122">
        <f>('ESTADO RESULTADOS'!$C$36+'ESTADO RESULTADOS'!$C$71)/1375</f>
        <v>24762.287272727273</v>
      </c>
      <c r="M854" s="122">
        <v>0</v>
      </c>
      <c r="N854" s="122">
        <f>SUM(H854+K854+L854+M854)</f>
        <v>462432.99830794847</v>
      </c>
      <c r="O854" s="122">
        <f>N854/G854</f>
        <v>92486.599661589687</v>
      </c>
      <c r="P854" s="336">
        <f t="shared" si="165"/>
        <v>-3099.6649746150943</v>
      </c>
      <c r="Q854" s="336">
        <f t="shared" si="166"/>
        <v>21238.849661589687</v>
      </c>
      <c r="R854" s="303">
        <f t="shared" si="167"/>
        <v>0.29809853169524214</v>
      </c>
    </row>
    <row r="855" spans="1:18" x14ac:dyDescent="0.3">
      <c r="A855" s="2">
        <v>2015</v>
      </c>
      <c r="B855" s="41" t="s">
        <v>698</v>
      </c>
      <c r="C855" s="2">
        <v>2</v>
      </c>
      <c r="D855" s="2" t="s">
        <v>243</v>
      </c>
      <c r="E855" s="294">
        <v>74947.95</v>
      </c>
      <c r="F855" s="296">
        <v>86850</v>
      </c>
      <c r="G855" s="352">
        <v>849.5</v>
      </c>
      <c r="H855" s="296">
        <f t="shared" si="162"/>
        <v>63668283.524999999</v>
      </c>
      <c r="I855" s="122">
        <f t="shared" si="163"/>
        <v>73779075</v>
      </c>
      <c r="J855" s="331">
        <f t="shared" si="164"/>
        <v>10110791.475000001</v>
      </c>
      <c r="K855" s="292">
        <f>'09-RESUMEN'!$F$43/1375</f>
        <v>81431.961035221175</v>
      </c>
      <c r="L855" s="122">
        <f>('ESTADO RESULTADOS'!$C$36+'ESTADO RESULTADOS'!$C$71)/1375</f>
        <v>24762.287272727273</v>
      </c>
      <c r="M855" s="122">
        <v>0</v>
      </c>
      <c r="N855" s="122">
        <f>SUM(H855+K855+L855+M855)</f>
        <v>63774477.773307949</v>
      </c>
      <c r="O855" s="122">
        <f>N855/G855</f>
        <v>75072.957943858681</v>
      </c>
      <c r="P855" s="336">
        <f t="shared" si="165"/>
        <v>10004597.226692051</v>
      </c>
      <c r="Q855" s="336">
        <f t="shared" si="166"/>
        <v>125.00794385868357</v>
      </c>
      <c r="R855" s="303">
        <f t="shared" si="167"/>
        <v>1.667930128291482E-3</v>
      </c>
    </row>
    <row r="856" spans="1:18" x14ac:dyDescent="0.3">
      <c r="A856" s="2">
        <v>2017</v>
      </c>
      <c r="B856" s="41" t="s">
        <v>1799</v>
      </c>
      <c r="C856" s="2">
        <v>8</v>
      </c>
      <c r="D856" s="2" t="s">
        <v>5</v>
      </c>
      <c r="E856" s="294">
        <v>59437</v>
      </c>
      <c r="F856" s="296">
        <v>69500</v>
      </c>
      <c r="G856" s="352">
        <v>2</v>
      </c>
      <c r="H856" s="296">
        <f t="shared" si="162"/>
        <v>118874</v>
      </c>
      <c r="I856" s="122">
        <f t="shared" si="163"/>
        <v>139000</v>
      </c>
      <c r="J856" s="331">
        <f t="shared" si="164"/>
        <v>20126</v>
      </c>
      <c r="K856" s="292">
        <f>'09-RESUMEN'!$F$43/1375</f>
        <v>81431.961035221175</v>
      </c>
      <c r="L856" s="122">
        <f>('ESTADO RESULTADOS'!$C$36+'ESTADO RESULTADOS'!$C$71)/1375</f>
        <v>24762.287272727273</v>
      </c>
      <c r="M856" s="122">
        <v>0</v>
      </c>
      <c r="N856" s="122">
        <f>SUM(H856+K856+L856+M856)</f>
        <v>225068.24830794844</v>
      </c>
      <c r="O856" s="122">
        <f>N856/G856</f>
        <v>112534.12415397422</v>
      </c>
      <c r="P856" s="336">
        <f t="shared" si="165"/>
        <v>-86068.248307948437</v>
      </c>
      <c r="Q856" s="336">
        <f t="shared" si="166"/>
        <v>53097.124153974219</v>
      </c>
      <c r="R856" s="303">
        <f t="shared" si="167"/>
        <v>0.8933345248578195</v>
      </c>
    </row>
    <row r="857" spans="1:18" x14ac:dyDescent="0.3">
      <c r="A857" s="2">
        <v>2018</v>
      </c>
      <c r="B857" s="41" t="s">
        <v>1800</v>
      </c>
      <c r="C857" s="2">
        <v>14</v>
      </c>
      <c r="D857" s="2" t="s">
        <v>81</v>
      </c>
      <c r="E857" s="294">
        <v>30385</v>
      </c>
      <c r="F857" s="296">
        <v>38600</v>
      </c>
      <c r="G857" s="352">
        <v>2</v>
      </c>
      <c r="H857" s="296">
        <f t="shared" si="162"/>
        <v>60770</v>
      </c>
      <c r="I857" s="122">
        <f t="shared" si="163"/>
        <v>77200</v>
      </c>
      <c r="J857" s="331">
        <f t="shared" si="164"/>
        <v>16430</v>
      </c>
      <c r="K857" s="292">
        <f>'09-RESUMEN'!$F$43/1375</f>
        <v>81431.961035221175</v>
      </c>
      <c r="L857" s="122">
        <f>('ESTADO RESULTADOS'!$C$36+'ESTADO RESULTADOS'!$C$71)/1375</f>
        <v>24762.287272727273</v>
      </c>
      <c r="M857" s="122">
        <v>0</v>
      </c>
      <c r="N857" s="122">
        <f>SUM(H857+K857+L857+M857)</f>
        <v>166964.24830794844</v>
      </c>
      <c r="O857" s="122">
        <f>N857/G857</f>
        <v>83482.124153974219</v>
      </c>
      <c r="P857" s="336">
        <f t="shared" si="165"/>
        <v>-89764.248307948437</v>
      </c>
      <c r="Q857" s="336">
        <f t="shared" si="166"/>
        <v>53097.124153974219</v>
      </c>
      <c r="R857" s="303">
        <f t="shared" si="167"/>
        <v>1.7474781686349916</v>
      </c>
    </row>
    <row r="858" spans="1:18" x14ac:dyDescent="0.3">
      <c r="A858" s="2">
        <v>2020</v>
      </c>
      <c r="B858" s="41" t="s">
        <v>1801</v>
      </c>
      <c r="C858" s="2">
        <v>14</v>
      </c>
      <c r="D858" s="2" t="s">
        <v>81</v>
      </c>
      <c r="E858" s="294">
        <v>55643</v>
      </c>
      <c r="F858" s="296">
        <v>65000</v>
      </c>
      <c r="G858" s="352">
        <v>0</v>
      </c>
      <c r="H858" s="296">
        <f t="shared" si="162"/>
        <v>0</v>
      </c>
      <c r="I858" s="122">
        <f t="shared" si="163"/>
        <v>0</v>
      </c>
      <c r="J858" s="331">
        <f t="shared" si="164"/>
        <v>0</v>
      </c>
      <c r="K858" s="292">
        <f>'09-RESUMEN'!$F$43/1375</f>
        <v>81431.961035221175</v>
      </c>
      <c r="L858" s="122">
        <f>('ESTADO RESULTADOS'!$C$36+'ESTADO RESULTADOS'!$C$71)/1375</f>
        <v>24762.287272727273</v>
      </c>
      <c r="M858" s="122">
        <v>0</v>
      </c>
      <c r="N858" s="122">
        <f>SUM(E858+K858+L858+M858)</f>
        <v>161837.24830794844</v>
      </c>
      <c r="O858" s="122">
        <f>N858</f>
        <v>161837.24830794844</v>
      </c>
      <c r="P858" s="336">
        <f t="shared" si="165"/>
        <v>-161837.24830794844</v>
      </c>
      <c r="Q858" s="336">
        <f t="shared" si="166"/>
        <v>106194.24830794844</v>
      </c>
      <c r="R858" s="303">
        <f t="shared" si="167"/>
        <v>1.9084925023443817</v>
      </c>
    </row>
    <row r="859" spans="1:18" x14ac:dyDescent="0.3">
      <c r="A859" s="2">
        <v>2021</v>
      </c>
      <c r="B859" s="41" t="s">
        <v>699</v>
      </c>
      <c r="C859" s="2">
        <v>14</v>
      </c>
      <c r="D859" s="2" t="s">
        <v>81</v>
      </c>
      <c r="E859" s="294">
        <v>16516</v>
      </c>
      <c r="F859" s="296">
        <v>21000</v>
      </c>
      <c r="G859" s="352">
        <v>5</v>
      </c>
      <c r="H859" s="296">
        <f t="shared" si="162"/>
        <v>82580</v>
      </c>
      <c r="I859" s="122">
        <f t="shared" si="163"/>
        <v>105000</v>
      </c>
      <c r="J859" s="331">
        <f t="shared" si="164"/>
        <v>22420</v>
      </c>
      <c r="K859" s="292">
        <f>'09-RESUMEN'!$F$43/1375</f>
        <v>81431.961035221175</v>
      </c>
      <c r="L859" s="122">
        <f>('ESTADO RESULTADOS'!$C$36+'ESTADO RESULTADOS'!$C$71)/1375</f>
        <v>24762.287272727273</v>
      </c>
      <c r="M859" s="122">
        <v>0</v>
      </c>
      <c r="N859" s="122">
        <f>SUM(H859+K859+L859+M859)</f>
        <v>188774.24830794844</v>
      </c>
      <c r="O859" s="122">
        <f>N859/G859</f>
        <v>37754.849661589687</v>
      </c>
      <c r="P859" s="336">
        <f t="shared" si="165"/>
        <v>-83774.248307948437</v>
      </c>
      <c r="Q859" s="336">
        <f t="shared" si="166"/>
        <v>21238.849661589687</v>
      </c>
      <c r="R859" s="303">
        <f t="shared" si="167"/>
        <v>1.285956022135486</v>
      </c>
    </row>
    <row r="860" spans="1:18" x14ac:dyDescent="0.3">
      <c r="A860" s="2">
        <v>2022</v>
      </c>
      <c r="B860" s="41" t="s">
        <v>700</v>
      </c>
      <c r="C860" s="2">
        <v>14</v>
      </c>
      <c r="D860" s="2" t="s">
        <v>81</v>
      </c>
      <c r="E860" s="294">
        <v>9807</v>
      </c>
      <c r="F860" s="296">
        <v>13000</v>
      </c>
      <c r="G860" s="352">
        <v>10</v>
      </c>
      <c r="H860" s="296">
        <f t="shared" si="162"/>
        <v>98070</v>
      </c>
      <c r="I860" s="122">
        <f t="shared" si="163"/>
        <v>130000</v>
      </c>
      <c r="J860" s="331">
        <f t="shared" si="164"/>
        <v>31930</v>
      </c>
      <c r="K860" s="292">
        <f>'09-RESUMEN'!$F$43/1375</f>
        <v>81431.961035221175</v>
      </c>
      <c r="L860" s="122">
        <f>('ESTADO RESULTADOS'!$C$36+'ESTADO RESULTADOS'!$C$71)/1375</f>
        <v>24762.287272727273</v>
      </c>
      <c r="M860" s="122">
        <v>0</v>
      </c>
      <c r="N860" s="122">
        <f>SUM(H860+K860+L860+M860)</f>
        <v>204264.24830794844</v>
      </c>
      <c r="O860" s="122">
        <f>N860/G860</f>
        <v>20426.424830794844</v>
      </c>
      <c r="P860" s="336">
        <f t="shared" si="165"/>
        <v>-74264.248307948437</v>
      </c>
      <c r="Q860" s="336">
        <f t="shared" si="166"/>
        <v>10619.424830794844</v>
      </c>
      <c r="R860" s="303">
        <f t="shared" si="167"/>
        <v>1.0828413205664162</v>
      </c>
    </row>
    <row r="861" spans="1:18" x14ac:dyDescent="0.3">
      <c r="A861" s="2">
        <v>2025</v>
      </c>
      <c r="B861" s="41" t="s">
        <v>701</v>
      </c>
      <c r="C861" s="2">
        <v>12</v>
      </c>
      <c r="D861" s="2" t="s">
        <v>12</v>
      </c>
      <c r="E861" s="294">
        <v>900</v>
      </c>
      <c r="F861" s="296">
        <v>1000</v>
      </c>
      <c r="G861" s="352">
        <v>97</v>
      </c>
      <c r="H861" s="296">
        <f t="shared" si="162"/>
        <v>87300</v>
      </c>
      <c r="I861" s="122">
        <f t="shared" si="163"/>
        <v>97000</v>
      </c>
      <c r="J861" s="331">
        <f t="shared" si="164"/>
        <v>9700</v>
      </c>
      <c r="K861" s="292">
        <f>'09-RESUMEN'!$F$43/1375</f>
        <v>81431.961035221175</v>
      </c>
      <c r="L861" s="122">
        <f>('ESTADO RESULTADOS'!$C$36+'ESTADO RESULTADOS'!$C$71)/1375</f>
        <v>24762.287272727273</v>
      </c>
      <c r="M861" s="122">
        <v>0</v>
      </c>
      <c r="N861" s="122">
        <f>SUM(H861+K861+L861+M861)</f>
        <v>193494.24830794844</v>
      </c>
      <c r="O861" s="122">
        <f>N861/G861</f>
        <v>1994.7860650303962</v>
      </c>
      <c r="P861" s="336">
        <f t="shared" si="165"/>
        <v>-96494.248307948437</v>
      </c>
      <c r="Q861" s="336">
        <f t="shared" si="166"/>
        <v>1094.7860650303962</v>
      </c>
      <c r="R861" s="303">
        <f t="shared" si="167"/>
        <v>1.2164289611448846</v>
      </c>
    </row>
    <row r="862" spans="1:18" x14ac:dyDescent="0.3">
      <c r="A862" s="2">
        <v>2027</v>
      </c>
      <c r="B862" s="41" t="s">
        <v>702</v>
      </c>
      <c r="C862" s="2">
        <v>14</v>
      </c>
      <c r="D862" s="2" t="s">
        <v>81</v>
      </c>
      <c r="E862" s="294">
        <v>19157</v>
      </c>
      <c r="F862" s="296">
        <v>22500</v>
      </c>
      <c r="G862" s="352">
        <v>5</v>
      </c>
      <c r="H862" s="296">
        <f t="shared" si="162"/>
        <v>95785</v>
      </c>
      <c r="I862" s="122">
        <f t="shared" si="163"/>
        <v>112500</v>
      </c>
      <c r="J862" s="331">
        <f t="shared" si="164"/>
        <v>16715</v>
      </c>
      <c r="K862" s="292">
        <f>'09-RESUMEN'!$F$43/1375</f>
        <v>81431.961035221175</v>
      </c>
      <c r="L862" s="122">
        <f>('ESTADO RESULTADOS'!$C$36+'ESTADO RESULTADOS'!$C$71)/1375</f>
        <v>24762.287272727273</v>
      </c>
      <c r="M862" s="122">
        <v>0</v>
      </c>
      <c r="N862" s="122">
        <f>SUM(H862+K862+L862+M862)</f>
        <v>201979.24830794844</v>
      </c>
      <c r="O862" s="122">
        <f>N862/G862</f>
        <v>40395.849661589687</v>
      </c>
      <c r="P862" s="336">
        <f t="shared" si="165"/>
        <v>-89479.248307948437</v>
      </c>
      <c r="Q862" s="336">
        <f t="shared" si="166"/>
        <v>21238.849661589687</v>
      </c>
      <c r="R862" s="303">
        <f t="shared" si="167"/>
        <v>1.108673052231022</v>
      </c>
    </row>
    <row r="863" spans="1:18" x14ac:dyDescent="0.3">
      <c r="A863" s="2">
        <v>2028</v>
      </c>
      <c r="B863" s="41" t="s">
        <v>1802</v>
      </c>
      <c r="C863" s="2">
        <v>14</v>
      </c>
      <c r="D863" s="2" t="s">
        <v>81</v>
      </c>
      <c r="E863" s="294">
        <v>9600</v>
      </c>
      <c r="F863" s="296">
        <v>13500</v>
      </c>
      <c r="G863" s="352">
        <v>0</v>
      </c>
      <c r="H863" s="296">
        <f t="shared" si="162"/>
        <v>0</v>
      </c>
      <c r="I863" s="122">
        <f t="shared" si="163"/>
        <v>0</v>
      </c>
      <c r="J863" s="331">
        <f t="shared" si="164"/>
        <v>0</v>
      </c>
      <c r="K863" s="292">
        <f>'09-RESUMEN'!$F$43/1375</f>
        <v>81431.961035221175</v>
      </c>
      <c r="L863" s="122">
        <f>('ESTADO RESULTADOS'!$C$36+'ESTADO RESULTADOS'!$C$71)/1375</f>
        <v>24762.287272727273</v>
      </c>
      <c r="M863" s="122">
        <v>0</v>
      </c>
      <c r="N863" s="122">
        <f>SUM(E863+K863+L863+M863)</f>
        <v>115794.24830794845</v>
      </c>
      <c r="O863" s="122">
        <f>N863</f>
        <v>115794.24830794845</v>
      </c>
      <c r="P863" s="336">
        <f t="shared" si="165"/>
        <v>-115794.24830794845</v>
      </c>
      <c r="Q863" s="336">
        <f t="shared" si="166"/>
        <v>106194.24830794845</v>
      </c>
      <c r="R863" s="303">
        <f t="shared" si="167"/>
        <v>11.061900865411298</v>
      </c>
    </row>
    <row r="864" spans="1:18" x14ac:dyDescent="0.3">
      <c r="A864" s="2">
        <v>2029</v>
      </c>
      <c r="B864" s="41" t="s">
        <v>1803</v>
      </c>
      <c r="C864" s="2">
        <v>14</v>
      </c>
      <c r="D864" s="2" t="s">
        <v>81</v>
      </c>
      <c r="E864" s="294">
        <v>33950</v>
      </c>
      <c r="F864" s="296">
        <v>38000</v>
      </c>
      <c r="G864" s="352">
        <v>1</v>
      </c>
      <c r="H864" s="296">
        <f t="shared" si="162"/>
        <v>33950</v>
      </c>
      <c r="I864" s="122">
        <f t="shared" si="163"/>
        <v>38000</v>
      </c>
      <c r="J864" s="331">
        <f t="shared" si="164"/>
        <v>4050</v>
      </c>
      <c r="K864" s="292">
        <f>'09-RESUMEN'!$F$43/1375</f>
        <v>81431.961035221175</v>
      </c>
      <c r="L864" s="122">
        <f>('ESTADO RESULTADOS'!$C$36+'ESTADO RESULTADOS'!$C$71)/1375</f>
        <v>24762.287272727273</v>
      </c>
      <c r="M864" s="122">
        <v>0</v>
      </c>
      <c r="N864" s="122">
        <f>SUM(H864+K864+L864+M864)</f>
        <v>140144.24830794844</v>
      </c>
      <c r="O864" s="122">
        <f>N864/G864</f>
        <v>140144.24830794844</v>
      </c>
      <c r="P864" s="336">
        <f t="shared" si="165"/>
        <v>-102144.24830794844</v>
      </c>
      <c r="Q864" s="336">
        <f t="shared" si="166"/>
        <v>106194.24830794844</v>
      </c>
      <c r="R864" s="303">
        <f t="shared" si="167"/>
        <v>3.1279601858011321</v>
      </c>
    </row>
    <row r="865" spans="1:18" x14ac:dyDescent="0.3">
      <c r="A865" s="2">
        <v>2030</v>
      </c>
      <c r="B865" s="41" t="s">
        <v>703</v>
      </c>
      <c r="C865" s="2">
        <v>14</v>
      </c>
      <c r="D865" s="2" t="s">
        <v>23</v>
      </c>
      <c r="E865" s="294">
        <v>4892.8</v>
      </c>
      <c r="F865" s="296">
        <v>6000</v>
      </c>
      <c r="G865" s="352">
        <v>9</v>
      </c>
      <c r="H865" s="296">
        <f t="shared" si="162"/>
        <v>44035.200000000004</v>
      </c>
      <c r="I865" s="122">
        <f t="shared" si="163"/>
        <v>54000</v>
      </c>
      <c r="J865" s="331">
        <f t="shared" si="164"/>
        <v>9964.7999999999956</v>
      </c>
      <c r="K865" s="292">
        <f>'09-RESUMEN'!$F$43/1375</f>
        <v>81431.961035221175</v>
      </c>
      <c r="L865" s="122">
        <f>('ESTADO RESULTADOS'!$C$36+'ESTADO RESULTADOS'!$C$71)/1375</f>
        <v>24762.287272727273</v>
      </c>
      <c r="M865" s="122">
        <v>0</v>
      </c>
      <c r="N865" s="122">
        <f>SUM(H865+K865+L865+M865)</f>
        <v>150229.44830794845</v>
      </c>
      <c r="O865" s="122">
        <f>N865/G865</f>
        <v>16692.160923105384</v>
      </c>
      <c r="P865" s="336">
        <f t="shared" si="165"/>
        <v>-96229.448307948449</v>
      </c>
      <c r="Q865" s="336">
        <f t="shared" si="166"/>
        <v>11799.360923105385</v>
      </c>
      <c r="R865" s="303">
        <f t="shared" si="167"/>
        <v>2.4115763822566598</v>
      </c>
    </row>
    <row r="866" spans="1:18" x14ac:dyDescent="0.3">
      <c r="A866" s="2">
        <v>2031</v>
      </c>
      <c r="B866" s="41" t="s">
        <v>704</v>
      </c>
      <c r="C866" s="2">
        <v>14</v>
      </c>
      <c r="D866" s="2" t="s">
        <v>81</v>
      </c>
      <c r="E866" s="294">
        <v>22028</v>
      </c>
      <c r="F866" s="296">
        <v>26500</v>
      </c>
      <c r="G866" s="352">
        <v>1</v>
      </c>
      <c r="H866" s="296">
        <f t="shared" si="162"/>
        <v>22028</v>
      </c>
      <c r="I866" s="122">
        <f t="shared" si="163"/>
        <v>26500</v>
      </c>
      <c r="J866" s="331">
        <f t="shared" si="164"/>
        <v>4472</v>
      </c>
      <c r="K866" s="292">
        <f>'09-RESUMEN'!$F$43/1375</f>
        <v>81431.961035221175</v>
      </c>
      <c r="L866" s="122">
        <f>('ESTADO RESULTADOS'!$C$36+'ESTADO RESULTADOS'!$C$71)/1375</f>
        <v>24762.287272727273</v>
      </c>
      <c r="M866" s="122">
        <v>0</v>
      </c>
      <c r="N866" s="122">
        <f>SUM(H866+K866+L866+M866)</f>
        <v>128222.24830794845</v>
      </c>
      <c r="O866" s="122">
        <f>N866/G866</f>
        <v>128222.24830794845</v>
      </c>
      <c r="P866" s="336">
        <f t="shared" si="165"/>
        <v>-101722.24830794845</v>
      </c>
      <c r="Q866" s="336">
        <f t="shared" si="166"/>
        <v>106194.24830794845</v>
      </c>
      <c r="R866" s="303">
        <f t="shared" si="167"/>
        <v>4.8208756268362292</v>
      </c>
    </row>
    <row r="867" spans="1:18" x14ac:dyDescent="0.3">
      <c r="A867" s="2">
        <v>2032</v>
      </c>
      <c r="B867" s="41" t="s">
        <v>705</v>
      </c>
      <c r="C867" s="2">
        <v>14</v>
      </c>
      <c r="D867" s="2" t="s">
        <v>81</v>
      </c>
      <c r="E867" s="294">
        <v>6011</v>
      </c>
      <c r="F867" s="296">
        <v>9000</v>
      </c>
      <c r="G867" s="352">
        <v>11</v>
      </c>
      <c r="H867" s="296">
        <f t="shared" si="162"/>
        <v>66121</v>
      </c>
      <c r="I867" s="122">
        <f t="shared" si="163"/>
        <v>99000</v>
      </c>
      <c r="J867" s="331">
        <f t="shared" si="164"/>
        <v>32879</v>
      </c>
      <c r="K867" s="292">
        <f>'09-RESUMEN'!$F$43/1375</f>
        <v>81431.961035221175</v>
      </c>
      <c r="L867" s="122">
        <f>('ESTADO RESULTADOS'!$C$36+'ESTADO RESULTADOS'!$C$71)/1375</f>
        <v>24762.287272727273</v>
      </c>
      <c r="M867" s="122">
        <v>0</v>
      </c>
      <c r="N867" s="122">
        <f>SUM(H867+K867+L867+M867)</f>
        <v>172315.24830794844</v>
      </c>
      <c r="O867" s="122">
        <f>N867/G867</f>
        <v>15665.022573449858</v>
      </c>
      <c r="P867" s="336">
        <f t="shared" si="165"/>
        <v>-73315.248307948437</v>
      </c>
      <c r="Q867" s="336">
        <f t="shared" si="166"/>
        <v>9654.0225734498581</v>
      </c>
      <c r="R867" s="303">
        <f t="shared" si="167"/>
        <v>1.6060593201546927</v>
      </c>
    </row>
    <row r="868" spans="1:18" x14ac:dyDescent="0.3">
      <c r="A868" s="2">
        <v>3036</v>
      </c>
      <c r="B868" s="41" t="s">
        <v>706</v>
      </c>
      <c r="C868" s="2">
        <v>14</v>
      </c>
      <c r="D868" s="2" t="s">
        <v>12</v>
      </c>
      <c r="E868" s="294">
        <v>4763</v>
      </c>
      <c r="F868" s="296">
        <v>6500</v>
      </c>
      <c r="G868" s="352">
        <v>52</v>
      </c>
      <c r="H868" s="296">
        <f t="shared" si="162"/>
        <v>247676</v>
      </c>
      <c r="I868" s="122">
        <f t="shared" si="163"/>
        <v>338000</v>
      </c>
      <c r="J868" s="331">
        <f t="shared" si="164"/>
        <v>90324</v>
      </c>
      <c r="K868" s="292">
        <f>'09-RESUMEN'!$F$43/1375</f>
        <v>81431.961035221175</v>
      </c>
      <c r="L868" s="122">
        <f>('ESTADO RESULTADOS'!$C$36+'ESTADO RESULTADOS'!$C$71)/1375</f>
        <v>24762.287272727273</v>
      </c>
      <c r="M868" s="122">
        <v>0</v>
      </c>
      <c r="N868" s="122">
        <f>SUM(H868+K868+L868+M868)</f>
        <v>353870.24830794847</v>
      </c>
      <c r="O868" s="122">
        <f>N868/G868</f>
        <v>6805.1970828451631</v>
      </c>
      <c r="P868" s="336">
        <f t="shared" si="165"/>
        <v>-15870.248307948466</v>
      </c>
      <c r="Q868" s="336">
        <f t="shared" si="166"/>
        <v>2042.1970828451631</v>
      </c>
      <c r="R868" s="303">
        <f t="shared" si="167"/>
        <v>0.42876277195993345</v>
      </c>
    </row>
    <row r="869" spans="1:18" x14ac:dyDescent="0.3">
      <c r="A869" s="2">
        <v>3037</v>
      </c>
      <c r="B869" s="41" t="s">
        <v>707</v>
      </c>
      <c r="C869" s="2">
        <v>14</v>
      </c>
      <c r="D869" s="2" t="s">
        <v>41</v>
      </c>
      <c r="E869" s="294">
        <v>28800</v>
      </c>
      <c r="F869" s="296">
        <v>33000</v>
      </c>
      <c r="G869" s="352">
        <v>0</v>
      </c>
      <c r="H869" s="296">
        <f t="shared" si="162"/>
        <v>0</v>
      </c>
      <c r="I869" s="122">
        <f t="shared" si="163"/>
        <v>0</v>
      </c>
      <c r="J869" s="331">
        <f t="shared" si="164"/>
        <v>0</v>
      </c>
      <c r="K869" s="292">
        <f>'09-RESUMEN'!$F$43/1375</f>
        <v>81431.961035221175</v>
      </c>
      <c r="L869" s="122">
        <f>('ESTADO RESULTADOS'!$C$36+'ESTADO RESULTADOS'!$C$71)/1375</f>
        <v>24762.287272727273</v>
      </c>
      <c r="M869" s="122">
        <v>0</v>
      </c>
      <c r="N869" s="122">
        <f>SUM(E869+K869+L869+M869)</f>
        <v>134994.24830794844</v>
      </c>
      <c r="O869" s="122">
        <f>N869</f>
        <v>134994.24830794844</v>
      </c>
      <c r="P869" s="336">
        <f t="shared" si="165"/>
        <v>-134994.24830794844</v>
      </c>
      <c r="Q869" s="336">
        <f t="shared" si="166"/>
        <v>106194.24830794844</v>
      </c>
      <c r="R869" s="303">
        <f t="shared" si="167"/>
        <v>3.687300288470432</v>
      </c>
    </row>
    <row r="870" spans="1:18" x14ac:dyDescent="0.3">
      <c r="A870" s="2">
        <v>3038</v>
      </c>
      <c r="B870" s="41" t="s">
        <v>708</v>
      </c>
      <c r="C870" s="2">
        <v>14</v>
      </c>
      <c r="D870" s="2" t="s">
        <v>41</v>
      </c>
      <c r="E870" s="294">
        <v>31000</v>
      </c>
      <c r="F870" s="296">
        <v>36000</v>
      </c>
      <c r="G870" s="352">
        <v>0</v>
      </c>
      <c r="H870" s="296">
        <f t="shared" si="162"/>
        <v>0</v>
      </c>
      <c r="I870" s="122">
        <f t="shared" si="163"/>
        <v>0</v>
      </c>
      <c r="J870" s="331">
        <f t="shared" si="164"/>
        <v>0</v>
      </c>
      <c r="K870" s="292">
        <f>'09-RESUMEN'!$F$43/1375</f>
        <v>81431.961035221175</v>
      </c>
      <c r="L870" s="122">
        <f>('ESTADO RESULTADOS'!$C$36+'ESTADO RESULTADOS'!$C$71)/1375</f>
        <v>24762.287272727273</v>
      </c>
      <c r="M870" s="122">
        <v>0</v>
      </c>
      <c r="N870" s="122">
        <f>SUM(E870+K870+L870+M870)</f>
        <v>137194.24830794844</v>
      </c>
      <c r="O870" s="122">
        <f>N870</f>
        <v>137194.24830794844</v>
      </c>
      <c r="P870" s="336">
        <f t="shared" si="165"/>
        <v>-137194.24830794844</v>
      </c>
      <c r="Q870" s="336">
        <f t="shared" si="166"/>
        <v>106194.24830794844</v>
      </c>
      <c r="R870" s="303">
        <f t="shared" si="167"/>
        <v>3.4256209131596269</v>
      </c>
    </row>
    <row r="871" spans="1:18" x14ac:dyDescent="0.3">
      <c r="A871" s="2">
        <v>3041</v>
      </c>
      <c r="B871" s="41" t="s">
        <v>709</v>
      </c>
      <c r="C871" s="2">
        <v>5</v>
      </c>
      <c r="D871" s="2" t="s">
        <v>81</v>
      </c>
      <c r="E871" s="294">
        <v>387950</v>
      </c>
      <c r="F871" s="296">
        <v>515600</v>
      </c>
      <c r="G871" s="352">
        <v>8</v>
      </c>
      <c r="H871" s="296">
        <f t="shared" si="162"/>
        <v>3103600</v>
      </c>
      <c r="I871" s="122">
        <f t="shared" si="163"/>
        <v>4124800</v>
      </c>
      <c r="J871" s="331">
        <f t="shared" si="164"/>
        <v>1021200</v>
      </c>
      <c r="K871" s="292">
        <f>'09-RESUMEN'!$F$43/1375</f>
        <v>81431.961035221175</v>
      </c>
      <c r="L871" s="122">
        <f>('ESTADO RESULTADOS'!$C$36+'ESTADO RESULTADOS'!$C$71)/1375</f>
        <v>24762.287272727273</v>
      </c>
      <c r="M871" s="122">
        <v>0</v>
      </c>
      <c r="N871" s="122">
        <f>SUM(H871+K871+L871+M871)</f>
        <v>3209794.2483079485</v>
      </c>
      <c r="O871" s="122">
        <f>N871/G871</f>
        <v>401224.28103849356</v>
      </c>
      <c r="P871" s="336">
        <f t="shared" si="165"/>
        <v>915005.75169205153</v>
      </c>
      <c r="Q871" s="336">
        <f t="shared" si="166"/>
        <v>13274.281038493558</v>
      </c>
      <c r="R871" s="303">
        <f t="shared" si="167"/>
        <v>3.4216473871616339E-2</v>
      </c>
    </row>
    <row r="872" spans="1:18" x14ac:dyDescent="0.3">
      <c r="A872" s="2">
        <v>3043</v>
      </c>
      <c r="B872" s="41" t="s">
        <v>710</v>
      </c>
      <c r="C872" s="2">
        <v>14</v>
      </c>
      <c r="D872" s="2" t="s">
        <v>81</v>
      </c>
      <c r="E872" s="294">
        <v>6741.5</v>
      </c>
      <c r="F872" s="296">
        <v>8000</v>
      </c>
      <c r="G872" s="352">
        <v>10</v>
      </c>
      <c r="H872" s="296">
        <f t="shared" si="162"/>
        <v>67415</v>
      </c>
      <c r="I872" s="122">
        <f t="shared" si="163"/>
        <v>80000</v>
      </c>
      <c r="J872" s="331">
        <f t="shared" si="164"/>
        <v>12585</v>
      </c>
      <c r="K872" s="292">
        <f>'09-RESUMEN'!$F$43/1375</f>
        <v>81431.961035221175</v>
      </c>
      <c r="L872" s="122">
        <f>('ESTADO RESULTADOS'!$C$36+'ESTADO RESULTADOS'!$C$71)/1375</f>
        <v>24762.287272727273</v>
      </c>
      <c r="M872" s="122">
        <v>0</v>
      </c>
      <c r="N872" s="122">
        <f>SUM(H872+K872+L872+M872)</f>
        <v>173609.24830794844</v>
      </c>
      <c r="O872" s="122">
        <f>N872/G872</f>
        <v>17360.924830794844</v>
      </c>
      <c r="P872" s="336">
        <f t="shared" si="165"/>
        <v>-93609.248307948437</v>
      </c>
      <c r="Q872" s="336">
        <f t="shared" si="166"/>
        <v>10619.424830794844</v>
      </c>
      <c r="R872" s="303">
        <f t="shared" si="167"/>
        <v>1.5752317482451745</v>
      </c>
    </row>
    <row r="873" spans="1:18" x14ac:dyDescent="0.3">
      <c r="A873" s="2">
        <v>3047</v>
      </c>
      <c r="B873" s="41" t="s">
        <v>711</v>
      </c>
      <c r="C873" s="2">
        <v>2</v>
      </c>
      <c r="D873" s="2" t="s">
        <v>10</v>
      </c>
      <c r="E873" s="294">
        <v>75388.95</v>
      </c>
      <c r="F873" s="296">
        <v>89416.666666666672</v>
      </c>
      <c r="G873" s="352">
        <v>25</v>
      </c>
      <c r="H873" s="296">
        <f t="shared" si="162"/>
        <v>1884723.75</v>
      </c>
      <c r="I873" s="122">
        <f t="shared" si="163"/>
        <v>2235416.666666667</v>
      </c>
      <c r="J873" s="331">
        <f t="shared" si="164"/>
        <v>350692.91666666698</v>
      </c>
      <c r="K873" s="292">
        <f>'09-RESUMEN'!$F$43/1375</f>
        <v>81431.961035221175</v>
      </c>
      <c r="L873" s="122">
        <f>('ESTADO RESULTADOS'!$C$36+'ESTADO RESULTADOS'!$C$71)/1375</f>
        <v>24762.287272727273</v>
      </c>
      <c r="M873" s="122">
        <v>0</v>
      </c>
      <c r="N873" s="122">
        <f>SUM(H873+K873+L873+M873)</f>
        <v>1990917.9983079485</v>
      </c>
      <c r="O873" s="122">
        <f>N873/G873</f>
        <v>79636.719932317937</v>
      </c>
      <c r="P873" s="336">
        <f t="shared" si="165"/>
        <v>244498.66835871851</v>
      </c>
      <c r="Q873" s="336">
        <f t="shared" si="166"/>
        <v>4247.7699323179404</v>
      </c>
      <c r="R873" s="303">
        <f t="shared" si="167"/>
        <v>5.6344728668033452E-2</v>
      </c>
    </row>
    <row r="874" spans="1:18" x14ac:dyDescent="0.3">
      <c r="A874" s="2">
        <v>3051</v>
      </c>
      <c r="B874" s="41" t="s">
        <v>712</v>
      </c>
      <c r="C874" s="2">
        <v>5</v>
      </c>
      <c r="D874" s="2" t="s">
        <v>41</v>
      </c>
      <c r="E874" s="294">
        <v>90000</v>
      </c>
      <c r="F874" s="296">
        <v>110000</v>
      </c>
      <c r="G874" s="352">
        <v>4</v>
      </c>
      <c r="H874" s="296">
        <f t="shared" si="162"/>
        <v>360000</v>
      </c>
      <c r="I874" s="122">
        <f t="shared" si="163"/>
        <v>440000</v>
      </c>
      <c r="J874" s="331">
        <f t="shared" si="164"/>
        <v>80000</v>
      </c>
      <c r="K874" s="292">
        <f>'09-RESUMEN'!$F$43/1375</f>
        <v>81431.961035221175</v>
      </c>
      <c r="L874" s="122">
        <f>('ESTADO RESULTADOS'!$C$36+'ESTADO RESULTADOS'!$C$71)/1375</f>
        <v>24762.287272727273</v>
      </c>
      <c r="M874" s="122">
        <v>0</v>
      </c>
      <c r="N874" s="122">
        <f>SUM(H874+K874+L874+M874)</f>
        <v>466194.24830794847</v>
      </c>
      <c r="O874" s="122">
        <f>N874/G874</f>
        <v>116548.56207698712</v>
      </c>
      <c r="P874" s="336">
        <f t="shared" si="165"/>
        <v>-26194.248307948466</v>
      </c>
      <c r="Q874" s="336">
        <f t="shared" si="166"/>
        <v>26548.562076987117</v>
      </c>
      <c r="R874" s="303">
        <f t="shared" si="167"/>
        <v>0.29498402307763461</v>
      </c>
    </row>
    <row r="875" spans="1:18" x14ac:dyDescent="0.3">
      <c r="A875" s="2">
        <v>3053</v>
      </c>
      <c r="B875" s="41" t="s">
        <v>1804</v>
      </c>
      <c r="C875" s="2">
        <v>5</v>
      </c>
      <c r="D875" s="2" t="s">
        <v>41</v>
      </c>
      <c r="E875" s="294">
        <v>54000</v>
      </c>
      <c r="F875" s="296">
        <v>69000</v>
      </c>
      <c r="G875" s="352">
        <v>0</v>
      </c>
      <c r="H875" s="296">
        <f t="shared" si="162"/>
        <v>0</v>
      </c>
      <c r="I875" s="122">
        <f t="shared" si="163"/>
        <v>0</v>
      </c>
      <c r="J875" s="331">
        <f t="shared" si="164"/>
        <v>0</v>
      </c>
      <c r="K875" s="292">
        <f>'09-RESUMEN'!$F$43/1375</f>
        <v>81431.961035221175</v>
      </c>
      <c r="L875" s="122">
        <f>('ESTADO RESULTADOS'!$C$36+'ESTADO RESULTADOS'!$C$71)/1375</f>
        <v>24762.287272727273</v>
      </c>
      <c r="M875" s="122">
        <v>0</v>
      </c>
      <c r="N875" s="122">
        <f>SUM(E875+K875+L875+M875)</f>
        <v>160194.24830794844</v>
      </c>
      <c r="O875" s="122">
        <f>N875</f>
        <v>160194.24830794844</v>
      </c>
      <c r="P875" s="336">
        <f t="shared" si="165"/>
        <v>-160194.24830794844</v>
      </c>
      <c r="Q875" s="336">
        <f t="shared" si="166"/>
        <v>106194.24830794844</v>
      </c>
      <c r="R875" s="303">
        <f t="shared" si="167"/>
        <v>1.966560153850897</v>
      </c>
    </row>
    <row r="876" spans="1:18" x14ac:dyDescent="0.3">
      <c r="A876" s="2">
        <v>3056</v>
      </c>
      <c r="B876" s="41" t="s">
        <v>713</v>
      </c>
      <c r="C876" s="2">
        <v>4</v>
      </c>
      <c r="D876" s="2" t="s">
        <v>81</v>
      </c>
      <c r="E876" s="294">
        <v>37270</v>
      </c>
      <c r="F876" s="296">
        <v>43333.333333333336</v>
      </c>
      <c r="G876" s="352">
        <v>10</v>
      </c>
      <c r="H876" s="296">
        <f t="shared" si="162"/>
        <v>372700</v>
      </c>
      <c r="I876" s="122">
        <f t="shared" si="163"/>
        <v>433333.33333333337</v>
      </c>
      <c r="J876" s="331">
        <f t="shared" si="164"/>
        <v>60633.333333333372</v>
      </c>
      <c r="K876" s="292">
        <f>'09-RESUMEN'!$F$43/1375</f>
        <v>81431.961035221175</v>
      </c>
      <c r="L876" s="122">
        <f>('ESTADO RESULTADOS'!$C$36+'ESTADO RESULTADOS'!$C$71)/1375</f>
        <v>24762.287272727273</v>
      </c>
      <c r="M876" s="122">
        <v>0</v>
      </c>
      <c r="N876" s="122">
        <f>SUM(H876+K876+L876+M876)</f>
        <v>478894.24830794847</v>
      </c>
      <c r="O876" s="122">
        <f>N876/G876</f>
        <v>47889.424830794844</v>
      </c>
      <c r="P876" s="336">
        <f t="shared" si="165"/>
        <v>-45560.914974615094</v>
      </c>
      <c r="Q876" s="336">
        <f t="shared" si="166"/>
        <v>10619.424830794844</v>
      </c>
      <c r="R876" s="303">
        <f t="shared" si="167"/>
        <v>0.28493224660034461</v>
      </c>
    </row>
    <row r="877" spans="1:18" x14ac:dyDescent="0.3">
      <c r="A877" s="2">
        <v>3057</v>
      </c>
      <c r="B877" s="41" t="s">
        <v>714</v>
      </c>
      <c r="C877" s="2">
        <v>5</v>
      </c>
      <c r="D877" s="2" t="s">
        <v>5</v>
      </c>
      <c r="E877" s="294">
        <v>64903.384599999998</v>
      </c>
      <c r="F877" s="296">
        <v>84500</v>
      </c>
      <c r="G877" s="352">
        <v>60</v>
      </c>
      <c r="H877" s="296">
        <f t="shared" si="162"/>
        <v>3894203.0759999999</v>
      </c>
      <c r="I877" s="122">
        <f t="shared" si="163"/>
        <v>5070000</v>
      </c>
      <c r="J877" s="331">
        <f t="shared" si="164"/>
        <v>1175796.9240000001</v>
      </c>
      <c r="K877" s="292">
        <f>'09-RESUMEN'!$F$43/1375</f>
        <v>81431.961035221175</v>
      </c>
      <c r="L877" s="122">
        <f>('ESTADO RESULTADOS'!$C$36+'ESTADO RESULTADOS'!$C$71)/1375</f>
        <v>24762.287272727273</v>
      </c>
      <c r="M877" s="122">
        <v>0</v>
      </c>
      <c r="N877" s="122">
        <f>SUM(H877+K877+L877+M877)</f>
        <v>4000397.3243079484</v>
      </c>
      <c r="O877" s="122">
        <f>N877/G877</f>
        <v>66673.28873846581</v>
      </c>
      <c r="P877" s="336">
        <f t="shared" si="165"/>
        <v>1069602.6756920516</v>
      </c>
      <c r="Q877" s="336">
        <f t="shared" si="166"/>
        <v>1769.9041384658121</v>
      </c>
      <c r="R877" s="303">
        <f t="shared" si="167"/>
        <v>2.7269828058640446E-2</v>
      </c>
    </row>
    <row r="878" spans="1:18" x14ac:dyDescent="0.3">
      <c r="A878" s="2">
        <v>3058</v>
      </c>
      <c r="B878" s="41" t="s">
        <v>715</v>
      </c>
      <c r="C878" s="2">
        <v>5</v>
      </c>
      <c r="D878" s="2" t="s">
        <v>81</v>
      </c>
      <c r="E878" s="294">
        <v>115808</v>
      </c>
      <c r="F878" s="296">
        <v>133583.33333333334</v>
      </c>
      <c r="G878" s="352">
        <v>41</v>
      </c>
      <c r="H878" s="296">
        <f t="shared" si="162"/>
        <v>4748128</v>
      </c>
      <c r="I878" s="122">
        <f t="shared" si="163"/>
        <v>5476916.666666667</v>
      </c>
      <c r="J878" s="331">
        <f t="shared" si="164"/>
        <v>728788.66666666698</v>
      </c>
      <c r="K878" s="292">
        <f>'09-RESUMEN'!$F$43/1375</f>
        <v>81431.961035221175</v>
      </c>
      <c r="L878" s="122">
        <f>('ESTADO RESULTADOS'!$C$36+'ESTADO RESULTADOS'!$C$71)/1375</f>
        <v>24762.287272727273</v>
      </c>
      <c r="M878" s="122">
        <v>0</v>
      </c>
      <c r="N878" s="122">
        <f>SUM(H878+K878+L878+M878)</f>
        <v>4854322.248307948</v>
      </c>
      <c r="O878" s="122">
        <f>N878/G878</f>
        <v>118398.10361726703</v>
      </c>
      <c r="P878" s="336">
        <f t="shared" si="165"/>
        <v>622594.41835871898</v>
      </c>
      <c r="Q878" s="336">
        <f t="shared" si="166"/>
        <v>2590.1036172670283</v>
      </c>
      <c r="R878" s="303">
        <f t="shared" si="167"/>
        <v>2.2365498214864502E-2</v>
      </c>
    </row>
    <row r="879" spans="1:18" x14ac:dyDescent="0.3">
      <c r="A879" s="2">
        <v>3059</v>
      </c>
      <c r="B879" s="41" t="s">
        <v>1805</v>
      </c>
      <c r="C879" s="2">
        <v>2</v>
      </c>
      <c r="D879" s="2" t="s">
        <v>5</v>
      </c>
      <c r="E879" s="294">
        <v>129500</v>
      </c>
      <c r="F879" s="296">
        <v>143200</v>
      </c>
      <c r="G879" s="352">
        <v>0</v>
      </c>
      <c r="H879" s="296">
        <f t="shared" si="162"/>
        <v>0</v>
      </c>
      <c r="I879" s="122">
        <f t="shared" si="163"/>
        <v>0</v>
      </c>
      <c r="J879" s="331">
        <f t="shared" si="164"/>
        <v>0</v>
      </c>
      <c r="K879" s="292">
        <f>'09-RESUMEN'!$F$43/1375</f>
        <v>81431.961035221175</v>
      </c>
      <c r="L879" s="122">
        <f>('ESTADO RESULTADOS'!$C$36+'ESTADO RESULTADOS'!$C$71)/1375</f>
        <v>24762.287272727273</v>
      </c>
      <c r="M879" s="122">
        <v>0</v>
      </c>
      <c r="N879" s="122">
        <f>SUM(E879+K879+L879+M879)</f>
        <v>235694.24830794844</v>
      </c>
      <c r="O879" s="122">
        <f>N879</f>
        <v>235694.24830794844</v>
      </c>
      <c r="P879" s="336">
        <f t="shared" si="165"/>
        <v>-235694.24830794844</v>
      </c>
      <c r="Q879" s="336">
        <f t="shared" si="166"/>
        <v>106194.24830794844</v>
      </c>
      <c r="R879" s="303">
        <f t="shared" si="167"/>
        <v>0.82003280546678325</v>
      </c>
    </row>
    <row r="880" spans="1:18" x14ac:dyDescent="0.3">
      <c r="A880" s="2">
        <v>3060</v>
      </c>
      <c r="B880" s="41" t="s">
        <v>716</v>
      </c>
      <c r="C880" s="2">
        <v>2</v>
      </c>
      <c r="D880" s="2" t="s">
        <v>5</v>
      </c>
      <c r="E880" s="294">
        <v>29342.25</v>
      </c>
      <c r="F880" s="296">
        <v>32800</v>
      </c>
      <c r="G880" s="352">
        <v>76</v>
      </c>
      <c r="H880" s="296">
        <f t="shared" si="162"/>
        <v>2230011</v>
      </c>
      <c r="I880" s="122">
        <f t="shared" si="163"/>
        <v>2492800</v>
      </c>
      <c r="J880" s="331">
        <f t="shared" si="164"/>
        <v>262789</v>
      </c>
      <c r="K880" s="292">
        <f>'09-RESUMEN'!$F$43/1375</f>
        <v>81431.961035221175</v>
      </c>
      <c r="L880" s="122">
        <f>('ESTADO RESULTADOS'!$C$36+'ESTADO RESULTADOS'!$C$71)/1375</f>
        <v>24762.287272727273</v>
      </c>
      <c r="M880" s="122">
        <v>0</v>
      </c>
      <c r="N880" s="122">
        <f t="shared" ref="N880:N886" si="170">SUM(H880+K880+L880+M880)</f>
        <v>2336205.2483079485</v>
      </c>
      <c r="O880" s="122">
        <f t="shared" ref="O880:O886" si="171">N880/G880</f>
        <v>30739.54274089406</v>
      </c>
      <c r="P880" s="336">
        <f t="shared" si="165"/>
        <v>156594.75169205153</v>
      </c>
      <c r="Q880" s="336">
        <f t="shared" si="166"/>
        <v>1397.2927408940595</v>
      </c>
      <c r="R880" s="303">
        <f t="shared" si="167"/>
        <v>4.7620504252198097E-2</v>
      </c>
    </row>
    <row r="881" spans="1:18" x14ac:dyDescent="0.3">
      <c r="A881" s="2">
        <v>3063</v>
      </c>
      <c r="B881" s="41" t="s">
        <v>717</v>
      </c>
      <c r="C881" s="2">
        <v>2</v>
      </c>
      <c r="D881" s="2" t="s">
        <v>5</v>
      </c>
      <c r="E881" s="294">
        <v>10972.7415</v>
      </c>
      <c r="F881" s="296">
        <v>12466.666666666666</v>
      </c>
      <c r="G881" s="352">
        <v>20</v>
      </c>
      <c r="H881" s="296">
        <f t="shared" si="162"/>
        <v>219454.83000000002</v>
      </c>
      <c r="I881" s="122">
        <f t="shared" si="163"/>
        <v>249333.33333333331</v>
      </c>
      <c r="J881" s="331">
        <f t="shared" si="164"/>
        <v>29878.503333333298</v>
      </c>
      <c r="K881" s="292">
        <f>'09-RESUMEN'!$F$43/1375</f>
        <v>81431.961035221175</v>
      </c>
      <c r="L881" s="122">
        <f>('ESTADO RESULTADOS'!$C$36+'ESTADO RESULTADOS'!$C$71)/1375</f>
        <v>24762.287272727273</v>
      </c>
      <c r="M881" s="122">
        <v>0</v>
      </c>
      <c r="N881" s="122">
        <f t="shared" si="170"/>
        <v>325649.07830794848</v>
      </c>
      <c r="O881" s="122">
        <f t="shared" si="171"/>
        <v>16282.453915397424</v>
      </c>
      <c r="P881" s="336">
        <f t="shared" si="165"/>
        <v>-76315.744974615169</v>
      </c>
      <c r="Q881" s="336">
        <f t="shared" si="166"/>
        <v>5309.7124153974237</v>
      </c>
      <c r="R881" s="303">
        <f t="shared" si="167"/>
        <v>0.48390025550109095</v>
      </c>
    </row>
    <row r="882" spans="1:18" x14ac:dyDescent="0.3">
      <c r="A882" s="2">
        <v>3064</v>
      </c>
      <c r="B882" s="41" t="s">
        <v>718</v>
      </c>
      <c r="C882" s="2">
        <v>2</v>
      </c>
      <c r="D882" s="2" t="s">
        <v>5</v>
      </c>
      <c r="E882" s="294">
        <v>24864.0285</v>
      </c>
      <c r="F882" s="296">
        <v>27300</v>
      </c>
      <c r="G882" s="352">
        <v>19</v>
      </c>
      <c r="H882" s="296">
        <f t="shared" si="162"/>
        <v>472416.54149999999</v>
      </c>
      <c r="I882" s="122">
        <f t="shared" si="163"/>
        <v>518700</v>
      </c>
      <c r="J882" s="331">
        <f t="shared" si="164"/>
        <v>46283.458500000008</v>
      </c>
      <c r="K882" s="292">
        <f>'09-RESUMEN'!$F$43/1375</f>
        <v>81431.961035221175</v>
      </c>
      <c r="L882" s="122">
        <f>('ESTADO RESULTADOS'!$C$36+'ESTADO RESULTADOS'!$C$71)/1375</f>
        <v>24762.287272727273</v>
      </c>
      <c r="M882" s="122">
        <v>0</v>
      </c>
      <c r="N882" s="122">
        <f t="shared" si="170"/>
        <v>578610.7898079484</v>
      </c>
      <c r="O882" s="122">
        <f t="shared" si="171"/>
        <v>30453.199463576231</v>
      </c>
      <c r="P882" s="336">
        <f t="shared" si="165"/>
        <v>-59910.7898079484</v>
      </c>
      <c r="Q882" s="336">
        <f t="shared" si="166"/>
        <v>5589.1709635762309</v>
      </c>
      <c r="R882" s="303">
        <f t="shared" si="167"/>
        <v>0.22478943681938873</v>
      </c>
    </row>
    <row r="883" spans="1:18" x14ac:dyDescent="0.3">
      <c r="A883" s="2">
        <v>3067</v>
      </c>
      <c r="B883" s="41" t="s">
        <v>719</v>
      </c>
      <c r="C883" s="2">
        <v>14</v>
      </c>
      <c r="D883" s="2" t="s">
        <v>81</v>
      </c>
      <c r="E883" s="294">
        <v>7465</v>
      </c>
      <c r="F883" s="296">
        <v>20033.333333333332</v>
      </c>
      <c r="G883" s="352">
        <v>8</v>
      </c>
      <c r="H883" s="296">
        <f t="shared" si="162"/>
        <v>59720</v>
      </c>
      <c r="I883" s="122">
        <f t="shared" si="163"/>
        <v>160266.66666666666</v>
      </c>
      <c r="J883" s="331">
        <f t="shared" si="164"/>
        <v>100546.66666666666</v>
      </c>
      <c r="K883" s="292">
        <f>'09-RESUMEN'!$F$43/1375</f>
        <v>81431.961035221175</v>
      </c>
      <c r="L883" s="122">
        <f>('ESTADO RESULTADOS'!$C$36+'ESTADO RESULTADOS'!$C$71)/1375</f>
        <v>24762.287272727273</v>
      </c>
      <c r="M883" s="122">
        <v>0</v>
      </c>
      <c r="N883" s="122">
        <f t="shared" si="170"/>
        <v>165914.24830794844</v>
      </c>
      <c r="O883" s="122">
        <f t="shared" si="171"/>
        <v>20739.281038493555</v>
      </c>
      <c r="P883" s="336">
        <f t="shared" si="165"/>
        <v>-5647.5816412817803</v>
      </c>
      <c r="Q883" s="336">
        <f t="shared" si="166"/>
        <v>13274.281038493555</v>
      </c>
      <c r="R883" s="303">
        <f t="shared" si="167"/>
        <v>1.7782024164090495</v>
      </c>
    </row>
    <row r="884" spans="1:18" x14ac:dyDescent="0.3">
      <c r="A884" s="2">
        <v>3070</v>
      </c>
      <c r="B884" s="41" t="s">
        <v>720</v>
      </c>
      <c r="C884" s="2">
        <v>4</v>
      </c>
      <c r="D884" s="2" t="s">
        <v>81</v>
      </c>
      <c r="E884" s="294">
        <v>17000</v>
      </c>
      <c r="F884" s="296">
        <v>22000</v>
      </c>
      <c r="G884" s="352">
        <v>25</v>
      </c>
      <c r="H884" s="296">
        <f t="shared" si="162"/>
        <v>425000</v>
      </c>
      <c r="I884" s="122">
        <f t="shared" si="163"/>
        <v>550000</v>
      </c>
      <c r="J884" s="331">
        <f t="shared" si="164"/>
        <v>125000</v>
      </c>
      <c r="K884" s="292">
        <f>'09-RESUMEN'!$F$43/1375</f>
        <v>81431.961035221175</v>
      </c>
      <c r="L884" s="122">
        <f>('ESTADO RESULTADOS'!$C$36+'ESTADO RESULTADOS'!$C$71)/1375</f>
        <v>24762.287272727273</v>
      </c>
      <c r="M884" s="122">
        <v>0</v>
      </c>
      <c r="N884" s="122">
        <f t="shared" si="170"/>
        <v>531194.24830794847</v>
      </c>
      <c r="O884" s="122">
        <f t="shared" si="171"/>
        <v>21247.76993231794</v>
      </c>
      <c r="P884" s="336">
        <f t="shared" si="165"/>
        <v>18805.751692051534</v>
      </c>
      <c r="Q884" s="336">
        <f t="shared" si="166"/>
        <v>4247.7699323179404</v>
      </c>
      <c r="R884" s="303">
        <f t="shared" si="167"/>
        <v>0.24986881954811413</v>
      </c>
    </row>
    <row r="885" spans="1:18" x14ac:dyDescent="0.3">
      <c r="A885" s="2">
        <v>3071</v>
      </c>
      <c r="B885" s="41" t="s">
        <v>721</v>
      </c>
      <c r="C885" s="2">
        <v>2</v>
      </c>
      <c r="D885" s="2" t="s">
        <v>5</v>
      </c>
      <c r="E885" s="294">
        <v>51900</v>
      </c>
      <c r="F885" s="296">
        <v>57100</v>
      </c>
      <c r="G885" s="352">
        <v>3</v>
      </c>
      <c r="H885" s="296">
        <f t="shared" si="162"/>
        <v>155700</v>
      </c>
      <c r="I885" s="122">
        <f t="shared" si="163"/>
        <v>171300</v>
      </c>
      <c r="J885" s="331">
        <f t="shared" si="164"/>
        <v>15600</v>
      </c>
      <c r="K885" s="292">
        <f>'09-RESUMEN'!$F$43/1375</f>
        <v>81431.961035221175</v>
      </c>
      <c r="L885" s="122">
        <f>('ESTADO RESULTADOS'!$C$36+'ESTADO RESULTADOS'!$C$71)/1375</f>
        <v>24762.287272727273</v>
      </c>
      <c r="M885" s="122">
        <v>0</v>
      </c>
      <c r="N885" s="122">
        <f t="shared" si="170"/>
        <v>261894.24830794844</v>
      </c>
      <c r="O885" s="122">
        <f t="shared" si="171"/>
        <v>87298.082769316141</v>
      </c>
      <c r="P885" s="336">
        <f t="shared" si="165"/>
        <v>-90594.248307948437</v>
      </c>
      <c r="Q885" s="336">
        <f t="shared" si="166"/>
        <v>35398.082769316141</v>
      </c>
      <c r="R885" s="303">
        <f t="shared" si="167"/>
        <v>0.6820439839945307</v>
      </c>
    </row>
    <row r="886" spans="1:18" x14ac:dyDescent="0.3">
      <c r="A886" s="2">
        <v>3072</v>
      </c>
      <c r="B886" s="41" t="s">
        <v>722</v>
      </c>
      <c r="C886" s="2">
        <v>14</v>
      </c>
      <c r="D886" s="2" t="s">
        <v>16</v>
      </c>
      <c r="E886" s="294">
        <v>28700</v>
      </c>
      <c r="F886" s="296">
        <v>35833.333333333336</v>
      </c>
      <c r="G886" s="352">
        <v>3</v>
      </c>
      <c r="H886" s="296">
        <f t="shared" si="162"/>
        <v>86100</v>
      </c>
      <c r="I886" s="122">
        <f t="shared" si="163"/>
        <v>107500</v>
      </c>
      <c r="J886" s="331">
        <f t="shared" si="164"/>
        <v>21400</v>
      </c>
      <c r="K886" s="292">
        <f>'09-RESUMEN'!$F$43/1375</f>
        <v>81431.961035221175</v>
      </c>
      <c r="L886" s="122">
        <f>('ESTADO RESULTADOS'!$C$36+'ESTADO RESULTADOS'!$C$71)/1375</f>
        <v>24762.287272727273</v>
      </c>
      <c r="M886" s="122">
        <v>0</v>
      </c>
      <c r="N886" s="122">
        <f t="shared" si="170"/>
        <v>192294.24830794844</v>
      </c>
      <c r="O886" s="122">
        <f t="shared" si="171"/>
        <v>64098.082769316148</v>
      </c>
      <c r="P886" s="336">
        <f t="shared" si="165"/>
        <v>-84794.248307948437</v>
      </c>
      <c r="Q886" s="336">
        <f t="shared" si="166"/>
        <v>35398.082769316148</v>
      </c>
      <c r="R886" s="303">
        <f t="shared" si="167"/>
        <v>1.2333826748890644</v>
      </c>
    </row>
    <row r="887" spans="1:18" x14ac:dyDescent="0.3">
      <c r="A887" s="2">
        <v>3075</v>
      </c>
      <c r="B887" s="41" t="s">
        <v>1806</v>
      </c>
      <c r="C887" s="2">
        <v>1</v>
      </c>
      <c r="D887" s="2" t="s">
        <v>5</v>
      </c>
      <c r="E887" s="294">
        <v>195000</v>
      </c>
      <c r="F887" s="296">
        <v>206000</v>
      </c>
      <c r="G887" s="352">
        <v>0</v>
      </c>
      <c r="H887" s="296">
        <f t="shared" si="162"/>
        <v>0</v>
      </c>
      <c r="I887" s="122">
        <f t="shared" si="163"/>
        <v>0</v>
      </c>
      <c r="J887" s="331">
        <f t="shared" si="164"/>
        <v>0</v>
      </c>
      <c r="K887" s="292">
        <f>'09-RESUMEN'!$F$43/1375</f>
        <v>81431.961035221175</v>
      </c>
      <c r="L887" s="122">
        <f>('ESTADO RESULTADOS'!$C$36+'ESTADO RESULTADOS'!$C$71)/1375</f>
        <v>24762.287272727273</v>
      </c>
      <c r="M887" s="122">
        <v>0</v>
      </c>
      <c r="N887" s="122">
        <f>SUM(E887+K887+L887+M887)</f>
        <v>301194.24830794847</v>
      </c>
      <c r="O887" s="122">
        <f>N887</f>
        <v>301194.24830794847</v>
      </c>
      <c r="P887" s="336">
        <f t="shared" si="165"/>
        <v>-301194.24830794847</v>
      </c>
      <c r="Q887" s="336">
        <f t="shared" si="166"/>
        <v>106194.24830794847</v>
      </c>
      <c r="R887" s="303">
        <f t="shared" si="167"/>
        <v>0.54458588875871006</v>
      </c>
    </row>
    <row r="888" spans="1:18" x14ac:dyDescent="0.3">
      <c r="A888" s="2">
        <v>3077</v>
      </c>
      <c r="B888" s="41" t="s">
        <v>723</v>
      </c>
      <c r="C888" s="2">
        <v>14</v>
      </c>
      <c r="D888" s="2" t="s">
        <v>81</v>
      </c>
      <c r="E888" s="294">
        <v>23372</v>
      </c>
      <c r="F888" s="296">
        <v>34066.666666666664</v>
      </c>
      <c r="G888" s="352">
        <v>14</v>
      </c>
      <c r="H888" s="296">
        <f t="shared" si="162"/>
        <v>327208</v>
      </c>
      <c r="I888" s="122">
        <f t="shared" si="163"/>
        <v>476933.33333333331</v>
      </c>
      <c r="J888" s="331">
        <f t="shared" si="164"/>
        <v>149725.33333333331</v>
      </c>
      <c r="K888" s="292">
        <f>'09-RESUMEN'!$F$43/1375</f>
        <v>81431.961035221175</v>
      </c>
      <c r="L888" s="122">
        <f>('ESTADO RESULTADOS'!$C$36+'ESTADO RESULTADOS'!$C$71)/1375</f>
        <v>24762.287272727273</v>
      </c>
      <c r="M888" s="122">
        <v>0</v>
      </c>
      <c r="N888" s="122">
        <f t="shared" ref="N888:N904" si="172">SUM(H888+K888+L888+M888)</f>
        <v>433402.24830794847</v>
      </c>
      <c r="O888" s="122">
        <f t="shared" ref="O888:O904" si="173">N888/G888</f>
        <v>30957.303450567746</v>
      </c>
      <c r="P888" s="336">
        <f t="shared" si="165"/>
        <v>43531.085025384848</v>
      </c>
      <c r="Q888" s="336">
        <f t="shared" si="166"/>
        <v>7585.303450567746</v>
      </c>
      <c r="R888" s="303">
        <f t="shared" si="167"/>
        <v>0.32454661349340003</v>
      </c>
    </row>
    <row r="889" spans="1:18" x14ac:dyDescent="0.3">
      <c r="A889" s="2">
        <v>3080</v>
      </c>
      <c r="B889" s="41" t="s">
        <v>724</v>
      </c>
      <c r="C889" s="2">
        <v>14</v>
      </c>
      <c r="D889" s="2" t="s">
        <v>12</v>
      </c>
      <c r="E889" s="294">
        <v>74155</v>
      </c>
      <c r="F889" s="296">
        <v>84000</v>
      </c>
      <c r="G889" s="352">
        <v>7</v>
      </c>
      <c r="H889" s="296">
        <f t="shared" si="162"/>
        <v>519085</v>
      </c>
      <c r="I889" s="122">
        <f t="shared" si="163"/>
        <v>588000</v>
      </c>
      <c r="J889" s="331">
        <f t="shared" si="164"/>
        <v>68915</v>
      </c>
      <c r="K889" s="292">
        <f>'09-RESUMEN'!$F$43/1375</f>
        <v>81431.961035221175</v>
      </c>
      <c r="L889" s="122">
        <f>('ESTADO RESULTADOS'!$C$36+'ESTADO RESULTADOS'!$C$71)/1375</f>
        <v>24762.287272727273</v>
      </c>
      <c r="M889" s="122">
        <v>0</v>
      </c>
      <c r="N889" s="122">
        <f t="shared" si="172"/>
        <v>625279.24830794835</v>
      </c>
      <c r="O889" s="122">
        <f t="shared" si="173"/>
        <v>89325.606901135485</v>
      </c>
      <c r="P889" s="336">
        <f t="shared" si="165"/>
        <v>-37279.24830794835</v>
      </c>
      <c r="Q889" s="336">
        <f t="shared" si="166"/>
        <v>15170.606901135485</v>
      </c>
      <c r="R889" s="303">
        <f t="shared" si="167"/>
        <v>0.20457968985416336</v>
      </c>
    </row>
    <row r="890" spans="1:18" x14ac:dyDescent="0.3">
      <c r="A890" s="2">
        <v>3081</v>
      </c>
      <c r="B890" s="41" t="s">
        <v>725</v>
      </c>
      <c r="C890" s="2">
        <v>14</v>
      </c>
      <c r="D890" s="2" t="s">
        <v>12</v>
      </c>
      <c r="E890" s="294">
        <v>76504.2</v>
      </c>
      <c r="F890" s="296">
        <v>99750</v>
      </c>
      <c r="G890" s="352">
        <v>6</v>
      </c>
      <c r="H890" s="296">
        <f t="shared" si="162"/>
        <v>459025.19999999995</v>
      </c>
      <c r="I890" s="122">
        <f t="shared" si="163"/>
        <v>598500</v>
      </c>
      <c r="J890" s="331">
        <f t="shared" si="164"/>
        <v>139474.80000000005</v>
      </c>
      <c r="K890" s="292">
        <f>'09-RESUMEN'!$F$43/1375</f>
        <v>81431.961035221175</v>
      </c>
      <c r="L890" s="122">
        <f>('ESTADO RESULTADOS'!$C$36+'ESTADO RESULTADOS'!$C$71)/1375</f>
        <v>24762.287272727273</v>
      </c>
      <c r="M890" s="122">
        <v>0</v>
      </c>
      <c r="N890" s="122">
        <f t="shared" si="172"/>
        <v>565219.4483079483</v>
      </c>
      <c r="O890" s="122">
        <f t="shared" si="173"/>
        <v>94203.241384658046</v>
      </c>
      <c r="P890" s="336">
        <f t="shared" si="165"/>
        <v>33280.551692051697</v>
      </c>
      <c r="Q890" s="336">
        <f t="shared" si="166"/>
        <v>17699.041384658049</v>
      </c>
      <c r="R890" s="303">
        <f t="shared" si="167"/>
        <v>0.23134731667879738</v>
      </c>
    </row>
    <row r="891" spans="1:18" x14ac:dyDescent="0.3">
      <c r="A891" s="2">
        <v>3082</v>
      </c>
      <c r="B891" s="41" t="s">
        <v>726</v>
      </c>
      <c r="C891" s="2">
        <v>7</v>
      </c>
      <c r="D891" s="2" t="s">
        <v>21</v>
      </c>
      <c r="E891" s="294">
        <v>1190</v>
      </c>
      <c r="F891" s="296">
        <v>1266.6666666666667</v>
      </c>
      <c r="G891" s="352">
        <v>10</v>
      </c>
      <c r="H891" s="296">
        <f t="shared" si="162"/>
        <v>11900</v>
      </c>
      <c r="I891" s="122">
        <f t="shared" si="163"/>
        <v>12666.666666666668</v>
      </c>
      <c r="J891" s="331">
        <f t="shared" si="164"/>
        <v>766.66666666666788</v>
      </c>
      <c r="K891" s="292">
        <f>'09-RESUMEN'!$F$43/1375</f>
        <v>81431.961035221175</v>
      </c>
      <c r="L891" s="122">
        <f>('ESTADO RESULTADOS'!$C$36+'ESTADO RESULTADOS'!$C$71)/1375</f>
        <v>24762.287272727273</v>
      </c>
      <c r="M891" s="122">
        <v>0</v>
      </c>
      <c r="N891" s="122">
        <f t="shared" si="172"/>
        <v>118094.24830794845</v>
      </c>
      <c r="O891" s="122">
        <f t="shared" si="173"/>
        <v>11809.424830794846</v>
      </c>
      <c r="P891" s="336">
        <f t="shared" si="165"/>
        <v>-105427.58164128178</v>
      </c>
      <c r="Q891" s="336">
        <f t="shared" si="166"/>
        <v>10619.424830794846</v>
      </c>
      <c r="R891" s="303">
        <f t="shared" si="167"/>
        <v>8.923886412432644</v>
      </c>
    </row>
    <row r="892" spans="1:18" x14ac:dyDescent="0.3">
      <c r="A892" s="2">
        <v>3085</v>
      </c>
      <c r="B892" s="41" t="s">
        <v>727</v>
      </c>
      <c r="C892" s="2">
        <v>2</v>
      </c>
      <c r="D892" s="2" t="s">
        <v>5</v>
      </c>
      <c r="E892" s="294">
        <v>10972.7415</v>
      </c>
      <c r="F892" s="296">
        <v>12466.666666666666</v>
      </c>
      <c r="G892" s="352">
        <v>39</v>
      </c>
      <c r="H892" s="296">
        <f t="shared" si="162"/>
        <v>427936.91850000003</v>
      </c>
      <c r="I892" s="122">
        <f t="shared" si="163"/>
        <v>486200</v>
      </c>
      <c r="J892" s="331">
        <f t="shared" si="164"/>
        <v>58263.081499999971</v>
      </c>
      <c r="K892" s="292">
        <f>'09-RESUMEN'!$F$43/1375</f>
        <v>81431.961035221175</v>
      </c>
      <c r="L892" s="122">
        <f>('ESTADO RESULTADOS'!$C$36+'ESTADO RESULTADOS'!$C$71)/1375</f>
        <v>24762.287272727273</v>
      </c>
      <c r="M892" s="122">
        <v>0</v>
      </c>
      <c r="N892" s="122">
        <f t="shared" si="172"/>
        <v>534131.1668079485</v>
      </c>
      <c r="O892" s="122">
        <f t="shared" si="173"/>
        <v>13695.670943793551</v>
      </c>
      <c r="P892" s="336">
        <f t="shared" si="165"/>
        <v>-47931.166807948495</v>
      </c>
      <c r="Q892" s="336">
        <f t="shared" si="166"/>
        <v>2722.9294437935514</v>
      </c>
      <c r="R892" s="303">
        <f t="shared" si="167"/>
        <v>0.2481539771800467</v>
      </c>
    </row>
    <row r="893" spans="1:18" x14ac:dyDescent="0.3">
      <c r="A893" s="2">
        <v>3086</v>
      </c>
      <c r="B893" s="41" t="s">
        <v>728</v>
      </c>
      <c r="C893" s="2">
        <v>1</v>
      </c>
      <c r="D893" s="2" t="s">
        <v>5</v>
      </c>
      <c r="E893" s="294">
        <v>117500</v>
      </c>
      <c r="F893" s="296">
        <v>131666.66666666666</v>
      </c>
      <c r="G893" s="352">
        <v>40</v>
      </c>
      <c r="H893" s="296">
        <f t="shared" si="162"/>
        <v>4700000</v>
      </c>
      <c r="I893" s="122">
        <f t="shared" si="163"/>
        <v>5266666.666666666</v>
      </c>
      <c r="J893" s="331">
        <f t="shared" si="164"/>
        <v>566666.66666666605</v>
      </c>
      <c r="K893" s="292">
        <f>'09-RESUMEN'!$F$43/1375</f>
        <v>81431.961035221175</v>
      </c>
      <c r="L893" s="122">
        <f>('ESTADO RESULTADOS'!$C$36+'ESTADO RESULTADOS'!$C$71)/1375</f>
        <v>24762.287272727273</v>
      </c>
      <c r="M893" s="122">
        <v>0</v>
      </c>
      <c r="N893" s="122">
        <f t="shared" si="172"/>
        <v>4806194.248307948</v>
      </c>
      <c r="O893" s="122">
        <f t="shared" si="173"/>
        <v>120154.8562076987</v>
      </c>
      <c r="P893" s="336">
        <f t="shared" si="165"/>
        <v>460472.41835871805</v>
      </c>
      <c r="Q893" s="336">
        <f t="shared" si="166"/>
        <v>2654.8562076987</v>
      </c>
      <c r="R893" s="303">
        <f t="shared" si="167"/>
        <v>2.259452091658468E-2</v>
      </c>
    </row>
    <row r="894" spans="1:18" x14ac:dyDescent="0.3">
      <c r="A894" s="2">
        <v>3089</v>
      </c>
      <c r="B894" s="41" t="s">
        <v>729</v>
      </c>
      <c r="C894" s="2">
        <v>1</v>
      </c>
      <c r="D894" s="2" t="s">
        <v>5</v>
      </c>
      <c r="E894" s="294">
        <v>205000</v>
      </c>
      <c r="F894" s="296">
        <v>217133.33333333334</v>
      </c>
      <c r="G894" s="352">
        <v>155</v>
      </c>
      <c r="H894" s="296">
        <f t="shared" si="162"/>
        <v>31775000</v>
      </c>
      <c r="I894" s="122">
        <f t="shared" si="163"/>
        <v>33655666.666666672</v>
      </c>
      <c r="J894" s="331">
        <f t="shared" si="164"/>
        <v>1880666.6666666716</v>
      </c>
      <c r="K894" s="292">
        <f>'09-RESUMEN'!$F$43/1375</f>
        <v>81431.961035221175</v>
      </c>
      <c r="L894" s="122">
        <f>('ESTADO RESULTADOS'!$C$36+'ESTADO RESULTADOS'!$C$71)/1375</f>
        <v>24762.287272727273</v>
      </c>
      <c r="M894" s="122">
        <v>0</v>
      </c>
      <c r="N894" s="122">
        <f t="shared" si="172"/>
        <v>31881194.248307951</v>
      </c>
      <c r="O894" s="122">
        <f t="shared" si="173"/>
        <v>205685.12418263193</v>
      </c>
      <c r="P894" s="336">
        <f t="shared" si="165"/>
        <v>1774472.4183587208</v>
      </c>
      <c r="Q894" s="336">
        <f t="shared" si="166"/>
        <v>685.12418263193103</v>
      </c>
      <c r="R894" s="303">
        <f t="shared" si="167"/>
        <v>3.3420691835703955E-3</v>
      </c>
    </row>
    <row r="895" spans="1:18" x14ac:dyDescent="0.3">
      <c r="A895" s="2">
        <v>3091</v>
      </c>
      <c r="B895" s="41" t="s">
        <v>731</v>
      </c>
      <c r="C895" s="2">
        <v>1</v>
      </c>
      <c r="D895" s="2" t="s">
        <v>5</v>
      </c>
      <c r="E895" s="294">
        <v>226000</v>
      </c>
      <c r="F895" s="296">
        <v>248000</v>
      </c>
      <c r="G895" s="352">
        <v>32.999999970197699</v>
      </c>
      <c r="H895" s="296">
        <f t="shared" si="162"/>
        <v>7457999.9932646798</v>
      </c>
      <c r="I895" s="122">
        <f t="shared" si="163"/>
        <v>8183999.9926090296</v>
      </c>
      <c r="J895" s="331">
        <f t="shared" si="164"/>
        <v>725999.99934434984</v>
      </c>
      <c r="K895" s="292">
        <f>'09-RESUMEN'!$F$43/1375</f>
        <v>81431.961035221175</v>
      </c>
      <c r="L895" s="122">
        <f>('ESTADO RESULTADOS'!$C$36+'ESTADO RESULTADOS'!$C$71)/1375</f>
        <v>24762.287272727273</v>
      </c>
      <c r="M895" s="122">
        <v>0</v>
      </c>
      <c r="N895" s="122">
        <f t="shared" si="172"/>
        <v>7564194.2415726278</v>
      </c>
      <c r="O895" s="122">
        <f t="shared" si="173"/>
        <v>229218.00752738945</v>
      </c>
      <c r="P895" s="336">
        <f t="shared" si="165"/>
        <v>619805.75103640184</v>
      </c>
      <c r="Q895" s="336">
        <f t="shared" si="166"/>
        <v>3218.0075273894472</v>
      </c>
      <c r="R895" s="303">
        <f t="shared" si="167"/>
        <v>1.4238971360130297E-2</v>
      </c>
    </row>
    <row r="896" spans="1:18" x14ac:dyDescent="0.3">
      <c r="A896" s="2">
        <v>3093</v>
      </c>
      <c r="B896" s="41" t="s">
        <v>732</v>
      </c>
      <c r="C896" s="2">
        <v>14</v>
      </c>
      <c r="D896" s="2" t="s">
        <v>81</v>
      </c>
      <c r="E896" s="294">
        <v>100064</v>
      </c>
      <c r="F896" s="296">
        <v>124000</v>
      </c>
      <c r="G896" s="352">
        <v>1</v>
      </c>
      <c r="H896" s="296">
        <f t="shared" si="162"/>
        <v>100064</v>
      </c>
      <c r="I896" s="122">
        <f t="shared" si="163"/>
        <v>124000</v>
      </c>
      <c r="J896" s="331">
        <f t="shared" si="164"/>
        <v>23936</v>
      </c>
      <c r="K896" s="292">
        <f>'09-RESUMEN'!$F$43/1375</f>
        <v>81431.961035221175</v>
      </c>
      <c r="L896" s="122">
        <f>('ESTADO RESULTADOS'!$C$36+'ESTADO RESULTADOS'!$C$71)/1375</f>
        <v>24762.287272727273</v>
      </c>
      <c r="M896" s="122">
        <v>0</v>
      </c>
      <c r="N896" s="122">
        <f t="shared" si="172"/>
        <v>206258.24830794844</v>
      </c>
      <c r="O896" s="122">
        <f t="shared" si="173"/>
        <v>206258.24830794844</v>
      </c>
      <c r="P896" s="336">
        <f t="shared" si="165"/>
        <v>-82258.248307948437</v>
      </c>
      <c r="Q896" s="336">
        <f t="shared" si="166"/>
        <v>106194.24830794844</v>
      </c>
      <c r="R896" s="303">
        <f t="shared" si="167"/>
        <v>1.0612632745837507</v>
      </c>
    </row>
    <row r="897" spans="1:18" x14ac:dyDescent="0.3">
      <c r="A897" s="2">
        <v>3094</v>
      </c>
      <c r="B897" s="41" t="s">
        <v>733</v>
      </c>
      <c r="C897" s="2">
        <v>8</v>
      </c>
      <c r="D897" s="2" t="s">
        <v>41</v>
      </c>
      <c r="E897" s="294">
        <v>76800</v>
      </c>
      <c r="F897" s="296">
        <v>87500</v>
      </c>
      <c r="G897" s="352">
        <v>15</v>
      </c>
      <c r="H897" s="296">
        <f t="shared" si="162"/>
        <v>1152000</v>
      </c>
      <c r="I897" s="122">
        <f t="shared" si="163"/>
        <v>1312500</v>
      </c>
      <c r="J897" s="331">
        <f t="shared" si="164"/>
        <v>160500</v>
      </c>
      <c r="K897" s="292">
        <f>'09-RESUMEN'!$F$43/1375</f>
        <v>81431.961035221175</v>
      </c>
      <c r="L897" s="122">
        <f>('ESTADO RESULTADOS'!$C$36+'ESTADO RESULTADOS'!$C$71)/1375</f>
        <v>24762.287272727273</v>
      </c>
      <c r="M897" s="122">
        <v>0</v>
      </c>
      <c r="N897" s="122">
        <f t="shared" si="172"/>
        <v>1258194.2483079485</v>
      </c>
      <c r="O897" s="122">
        <f t="shared" si="173"/>
        <v>83879.616553863234</v>
      </c>
      <c r="P897" s="336">
        <f t="shared" si="165"/>
        <v>54305.751692051534</v>
      </c>
      <c r="Q897" s="336">
        <f t="shared" si="166"/>
        <v>7079.616553863234</v>
      </c>
      <c r="R897" s="303">
        <f t="shared" si="167"/>
        <v>9.2182507211760856E-2</v>
      </c>
    </row>
    <row r="898" spans="1:18" x14ac:dyDescent="0.3">
      <c r="A898" s="2">
        <v>3095</v>
      </c>
      <c r="B898" s="41" t="s">
        <v>1807</v>
      </c>
      <c r="C898" s="2">
        <v>8</v>
      </c>
      <c r="D898" s="2" t="s">
        <v>27</v>
      </c>
      <c r="E898" s="294">
        <v>690000</v>
      </c>
      <c r="F898" s="296">
        <v>775000</v>
      </c>
      <c r="G898" s="352">
        <v>3</v>
      </c>
      <c r="H898" s="296">
        <f t="shared" si="162"/>
        <v>2070000</v>
      </c>
      <c r="I898" s="122">
        <f t="shared" si="163"/>
        <v>2325000</v>
      </c>
      <c r="J898" s="331">
        <f t="shared" si="164"/>
        <v>255000</v>
      </c>
      <c r="K898" s="292">
        <f>'09-RESUMEN'!$F$43/1375</f>
        <v>81431.961035221175</v>
      </c>
      <c r="L898" s="122">
        <f>('ESTADO RESULTADOS'!$C$36+'ESTADO RESULTADOS'!$C$71)/1375</f>
        <v>24762.287272727273</v>
      </c>
      <c r="M898" s="122">
        <v>0</v>
      </c>
      <c r="N898" s="122">
        <f t="shared" si="172"/>
        <v>2176194.2483079485</v>
      </c>
      <c r="O898" s="122">
        <f t="shared" si="173"/>
        <v>725398.08276931616</v>
      </c>
      <c r="P898" s="336">
        <f t="shared" si="165"/>
        <v>148805.75169205153</v>
      </c>
      <c r="Q898" s="336">
        <f t="shared" si="166"/>
        <v>35398.082769316155</v>
      </c>
      <c r="R898" s="303">
        <f t="shared" si="167"/>
        <v>5.1301569230892977E-2</v>
      </c>
    </row>
    <row r="899" spans="1:18" x14ac:dyDescent="0.3">
      <c r="A899" s="2">
        <v>3096</v>
      </c>
      <c r="B899" s="41" t="s">
        <v>1808</v>
      </c>
      <c r="C899" s="2">
        <v>11</v>
      </c>
      <c r="D899" s="2" t="s">
        <v>12</v>
      </c>
      <c r="E899" s="294">
        <v>4920</v>
      </c>
      <c r="F899" s="296">
        <v>6000</v>
      </c>
      <c r="G899" s="352">
        <v>4124</v>
      </c>
      <c r="H899" s="296">
        <f t="shared" si="162"/>
        <v>20290080</v>
      </c>
      <c r="I899" s="122">
        <f t="shared" si="163"/>
        <v>24744000</v>
      </c>
      <c r="J899" s="331">
        <f t="shared" si="164"/>
        <v>4453920</v>
      </c>
      <c r="K899" s="292">
        <f>'09-RESUMEN'!$F$43/1375</f>
        <v>81431.961035221175</v>
      </c>
      <c r="L899" s="122">
        <f>('ESTADO RESULTADOS'!$C$36+'ESTADO RESULTADOS'!$C$71)/1375</f>
        <v>24762.287272727273</v>
      </c>
      <c r="M899" s="122">
        <v>0</v>
      </c>
      <c r="N899" s="122">
        <f t="shared" si="172"/>
        <v>20396274.248307951</v>
      </c>
      <c r="O899" s="122">
        <f t="shared" si="173"/>
        <v>4945.7503026934892</v>
      </c>
      <c r="P899" s="336">
        <f t="shared" si="165"/>
        <v>4347725.7516920492</v>
      </c>
      <c r="Q899" s="336">
        <f t="shared" si="166"/>
        <v>25.750302693489175</v>
      </c>
      <c r="R899" s="303">
        <f t="shared" si="167"/>
        <v>5.2338013604652798E-3</v>
      </c>
    </row>
    <row r="900" spans="1:18" x14ac:dyDescent="0.3">
      <c r="A900" s="2">
        <v>3097</v>
      </c>
      <c r="B900" s="41" t="s">
        <v>734</v>
      </c>
      <c r="C900" s="2">
        <v>6</v>
      </c>
      <c r="D900" s="2" t="s">
        <v>16</v>
      </c>
      <c r="E900" s="294">
        <v>40600</v>
      </c>
      <c r="F900" s="296">
        <v>52300</v>
      </c>
      <c r="G900" s="352">
        <v>1</v>
      </c>
      <c r="H900" s="296">
        <f t="shared" ref="H900:H963" si="174">E900*G900</f>
        <v>40600</v>
      </c>
      <c r="I900" s="122">
        <f t="shared" ref="I900:I963" si="175">F900*G900</f>
        <v>52300</v>
      </c>
      <c r="J900" s="331">
        <f t="shared" ref="J900:J963" si="176">I900-H900</f>
        <v>11700</v>
      </c>
      <c r="K900" s="292">
        <f>'09-RESUMEN'!$F$43/1375</f>
        <v>81431.961035221175</v>
      </c>
      <c r="L900" s="122">
        <f>('ESTADO RESULTADOS'!$C$36+'ESTADO RESULTADOS'!$C$71)/1375</f>
        <v>24762.287272727273</v>
      </c>
      <c r="M900" s="122">
        <v>0</v>
      </c>
      <c r="N900" s="122">
        <f t="shared" si="172"/>
        <v>146794.24830794844</v>
      </c>
      <c r="O900" s="122">
        <f t="shared" si="173"/>
        <v>146794.24830794844</v>
      </c>
      <c r="P900" s="336">
        <f t="shared" si="165"/>
        <v>-94494.248307948437</v>
      </c>
      <c r="Q900" s="336">
        <f t="shared" si="166"/>
        <v>106194.24830794844</v>
      </c>
      <c r="R900" s="303">
        <f t="shared" si="167"/>
        <v>2.615621879506119</v>
      </c>
    </row>
    <row r="901" spans="1:18" x14ac:dyDescent="0.3">
      <c r="A901" s="2">
        <v>3098</v>
      </c>
      <c r="B901" s="41" t="s">
        <v>735</v>
      </c>
      <c r="C901" s="2">
        <v>1</v>
      </c>
      <c r="D901" s="2" t="s">
        <v>5</v>
      </c>
      <c r="E901" s="294">
        <v>197500</v>
      </c>
      <c r="F901" s="296">
        <v>229166.66666666666</v>
      </c>
      <c r="G901" s="352">
        <v>106</v>
      </c>
      <c r="H901" s="296">
        <f t="shared" si="174"/>
        <v>20935000</v>
      </c>
      <c r="I901" s="122">
        <f t="shared" si="175"/>
        <v>24291666.666666664</v>
      </c>
      <c r="J901" s="331">
        <f t="shared" si="176"/>
        <v>3356666.6666666642</v>
      </c>
      <c r="K901" s="292">
        <f>'09-RESUMEN'!$F$43/1375</f>
        <v>81431.961035221175</v>
      </c>
      <c r="L901" s="122">
        <f>('ESTADO RESULTADOS'!$C$36+'ESTADO RESULTADOS'!$C$71)/1375</f>
        <v>24762.287272727273</v>
      </c>
      <c r="M901" s="122">
        <v>0</v>
      </c>
      <c r="N901" s="122">
        <f t="shared" si="172"/>
        <v>21041194.248307951</v>
      </c>
      <c r="O901" s="122">
        <f t="shared" si="173"/>
        <v>198501.8325312071</v>
      </c>
      <c r="P901" s="336">
        <f t="shared" ref="P901:P964" si="177">I901-N901</f>
        <v>3250472.4183587134</v>
      </c>
      <c r="Q901" s="336">
        <f t="shared" ref="Q901:Q964" si="178">O901-E901</f>
        <v>1001.8325312070956</v>
      </c>
      <c r="R901" s="303">
        <f t="shared" ref="R901:R964" si="179">Q901/E901</f>
        <v>5.0725697782637753E-3</v>
      </c>
    </row>
    <row r="902" spans="1:18" x14ac:dyDescent="0.3">
      <c r="A902" s="2">
        <v>3100</v>
      </c>
      <c r="B902" s="41" t="s">
        <v>736</v>
      </c>
      <c r="C902" s="2">
        <v>13</v>
      </c>
      <c r="D902" s="2" t="s">
        <v>12</v>
      </c>
      <c r="E902" s="294">
        <v>24990</v>
      </c>
      <c r="F902" s="296">
        <v>32000</v>
      </c>
      <c r="G902" s="352">
        <v>5</v>
      </c>
      <c r="H902" s="296">
        <f t="shared" si="174"/>
        <v>124950</v>
      </c>
      <c r="I902" s="122">
        <f t="shared" si="175"/>
        <v>160000</v>
      </c>
      <c r="J902" s="331">
        <f t="shared" si="176"/>
        <v>35050</v>
      </c>
      <c r="K902" s="292">
        <f>'09-RESUMEN'!$F$43/1375</f>
        <v>81431.961035221175</v>
      </c>
      <c r="L902" s="122">
        <f>('ESTADO RESULTADOS'!$C$36+'ESTADO RESULTADOS'!$C$71)/1375</f>
        <v>24762.287272727273</v>
      </c>
      <c r="M902" s="122">
        <v>0</v>
      </c>
      <c r="N902" s="122">
        <f t="shared" si="172"/>
        <v>231144.24830794844</v>
      </c>
      <c r="O902" s="122">
        <f t="shared" si="173"/>
        <v>46228.849661589687</v>
      </c>
      <c r="P902" s="336">
        <f t="shared" si="177"/>
        <v>-71144.248307948437</v>
      </c>
      <c r="Q902" s="336">
        <f t="shared" si="178"/>
        <v>21238.849661589687</v>
      </c>
      <c r="R902" s="303">
        <f t="shared" si="179"/>
        <v>0.849893944041204</v>
      </c>
    </row>
    <row r="903" spans="1:18" x14ac:dyDescent="0.3">
      <c r="A903" s="2">
        <v>3101</v>
      </c>
      <c r="B903" s="41" t="s">
        <v>737</v>
      </c>
      <c r="C903" s="2">
        <v>13</v>
      </c>
      <c r="D903" s="2" t="s">
        <v>12</v>
      </c>
      <c r="E903" s="294">
        <v>35503.65</v>
      </c>
      <c r="F903" s="296">
        <v>42000</v>
      </c>
      <c r="G903" s="352">
        <v>6</v>
      </c>
      <c r="H903" s="296">
        <f t="shared" si="174"/>
        <v>213021.90000000002</v>
      </c>
      <c r="I903" s="122">
        <f t="shared" si="175"/>
        <v>252000</v>
      </c>
      <c r="J903" s="331">
        <f t="shared" si="176"/>
        <v>38978.099999999977</v>
      </c>
      <c r="K903" s="292">
        <f>'09-RESUMEN'!$F$43/1375</f>
        <v>81431.961035221175</v>
      </c>
      <c r="L903" s="122">
        <f>('ESTADO RESULTADOS'!$C$36+'ESTADO RESULTADOS'!$C$71)/1375</f>
        <v>24762.287272727273</v>
      </c>
      <c r="M903" s="122">
        <v>0</v>
      </c>
      <c r="N903" s="122">
        <f t="shared" si="172"/>
        <v>319216.14830794849</v>
      </c>
      <c r="O903" s="122">
        <f t="shared" si="173"/>
        <v>53202.691384658079</v>
      </c>
      <c r="P903" s="336">
        <f t="shared" si="177"/>
        <v>-67216.14830794849</v>
      </c>
      <c r="Q903" s="336">
        <f t="shared" si="178"/>
        <v>17699.041384658078</v>
      </c>
      <c r="R903" s="303">
        <f t="shared" si="179"/>
        <v>0.49851329045487092</v>
      </c>
    </row>
    <row r="904" spans="1:18" x14ac:dyDescent="0.3">
      <c r="A904" s="2">
        <v>3106</v>
      </c>
      <c r="B904" s="41" t="s">
        <v>738</v>
      </c>
      <c r="C904" s="2">
        <v>7</v>
      </c>
      <c r="D904" s="2" t="s">
        <v>446</v>
      </c>
      <c r="E904" s="294">
        <v>3060</v>
      </c>
      <c r="F904" s="296">
        <v>4200</v>
      </c>
      <c r="G904" s="352">
        <v>11</v>
      </c>
      <c r="H904" s="296">
        <f t="shared" si="174"/>
        <v>33660</v>
      </c>
      <c r="I904" s="122">
        <f t="shared" si="175"/>
        <v>46200</v>
      </c>
      <c r="J904" s="331">
        <f t="shared" si="176"/>
        <v>12540</v>
      </c>
      <c r="K904" s="292">
        <f>'09-RESUMEN'!$F$43/1375</f>
        <v>81431.961035221175</v>
      </c>
      <c r="L904" s="122">
        <f>('ESTADO RESULTADOS'!$C$36+'ESTADO RESULTADOS'!$C$71)/1375</f>
        <v>24762.287272727273</v>
      </c>
      <c r="M904" s="122">
        <v>0</v>
      </c>
      <c r="N904" s="122">
        <f t="shared" si="172"/>
        <v>139854.24830794844</v>
      </c>
      <c r="O904" s="122">
        <f t="shared" si="173"/>
        <v>12714.022573449858</v>
      </c>
      <c r="P904" s="336">
        <f t="shared" si="177"/>
        <v>-93654.248307948437</v>
      </c>
      <c r="Q904" s="336">
        <f t="shared" si="178"/>
        <v>9654.0225734498581</v>
      </c>
      <c r="R904" s="303">
        <f t="shared" si="179"/>
        <v>3.1549093377287116</v>
      </c>
    </row>
    <row r="905" spans="1:18" x14ac:dyDescent="0.3">
      <c r="A905" s="2">
        <v>3108</v>
      </c>
      <c r="B905" s="41" t="s">
        <v>1809</v>
      </c>
      <c r="C905" s="2">
        <v>14</v>
      </c>
      <c r="D905" s="2" t="s">
        <v>81</v>
      </c>
      <c r="E905" s="294">
        <v>84600</v>
      </c>
      <c r="F905" s="296">
        <v>102000</v>
      </c>
      <c r="G905" s="352">
        <v>0</v>
      </c>
      <c r="H905" s="296">
        <f t="shared" si="174"/>
        <v>0</v>
      </c>
      <c r="I905" s="122">
        <f t="shared" si="175"/>
        <v>0</v>
      </c>
      <c r="J905" s="331">
        <f t="shared" si="176"/>
        <v>0</v>
      </c>
      <c r="K905" s="292">
        <f>'09-RESUMEN'!$F$43/1375</f>
        <v>81431.961035221175</v>
      </c>
      <c r="L905" s="122">
        <f>('ESTADO RESULTADOS'!$C$36+'ESTADO RESULTADOS'!$C$71)/1375</f>
        <v>24762.287272727273</v>
      </c>
      <c r="M905" s="122">
        <v>0</v>
      </c>
      <c r="N905" s="122">
        <f>SUM(E905+K905+L905+M905)</f>
        <v>190794.24830794844</v>
      </c>
      <c r="O905" s="122">
        <f>N905</f>
        <v>190794.24830794844</v>
      </c>
      <c r="P905" s="336">
        <f t="shared" si="177"/>
        <v>-190794.24830794844</v>
      </c>
      <c r="Q905" s="336">
        <f t="shared" si="178"/>
        <v>106194.24830794844</v>
      </c>
      <c r="R905" s="303">
        <f t="shared" si="179"/>
        <v>1.2552511620324875</v>
      </c>
    </row>
    <row r="906" spans="1:18" x14ac:dyDescent="0.3">
      <c r="A906" s="2">
        <v>3109</v>
      </c>
      <c r="B906" s="41" t="s">
        <v>739</v>
      </c>
      <c r="C906" s="2">
        <v>14</v>
      </c>
      <c r="D906" s="2" t="s">
        <v>81</v>
      </c>
      <c r="E906" s="294">
        <v>144241</v>
      </c>
      <c r="F906" s="296">
        <v>180000</v>
      </c>
      <c r="G906" s="352">
        <v>0</v>
      </c>
      <c r="H906" s="296">
        <f t="shared" si="174"/>
        <v>0</v>
      </c>
      <c r="I906" s="122">
        <f t="shared" si="175"/>
        <v>0</v>
      </c>
      <c r="J906" s="331">
        <f t="shared" si="176"/>
        <v>0</v>
      </c>
      <c r="K906" s="292">
        <f>'09-RESUMEN'!$F$43/1375</f>
        <v>81431.961035221175</v>
      </c>
      <c r="L906" s="122">
        <f>('ESTADO RESULTADOS'!$C$36+'ESTADO RESULTADOS'!$C$71)/1375</f>
        <v>24762.287272727273</v>
      </c>
      <c r="M906" s="122">
        <v>0</v>
      </c>
      <c r="N906" s="122">
        <f>SUM(E906+K906+L906+M906)</f>
        <v>250435.24830794844</v>
      </c>
      <c r="O906" s="122">
        <f>N906</f>
        <v>250435.24830794844</v>
      </c>
      <c r="P906" s="336">
        <f t="shared" si="177"/>
        <v>-250435.24830794844</v>
      </c>
      <c r="Q906" s="336">
        <f t="shared" si="178"/>
        <v>106194.24830794844</v>
      </c>
      <c r="R906" s="303">
        <f t="shared" si="179"/>
        <v>0.73622789850284198</v>
      </c>
    </row>
    <row r="907" spans="1:18" x14ac:dyDescent="0.3">
      <c r="A907" s="2">
        <v>3110</v>
      </c>
      <c r="B907" s="41" t="s">
        <v>1810</v>
      </c>
      <c r="C907" s="2">
        <v>2</v>
      </c>
      <c r="D907" s="2" t="s">
        <v>10</v>
      </c>
      <c r="E907" s="294">
        <v>80923.5</v>
      </c>
      <c r="F907" s="296">
        <v>109450</v>
      </c>
      <c r="G907" s="352">
        <v>0</v>
      </c>
      <c r="H907" s="296">
        <f t="shared" si="174"/>
        <v>0</v>
      </c>
      <c r="I907" s="122">
        <f t="shared" si="175"/>
        <v>0</v>
      </c>
      <c r="J907" s="331">
        <f t="shared" si="176"/>
        <v>0</v>
      </c>
      <c r="K907" s="292">
        <f>'09-RESUMEN'!$F$43/1375</f>
        <v>81431.961035221175</v>
      </c>
      <c r="L907" s="122">
        <f>('ESTADO RESULTADOS'!$C$36+'ESTADO RESULTADOS'!$C$71)/1375</f>
        <v>24762.287272727273</v>
      </c>
      <c r="M907" s="122">
        <v>0</v>
      </c>
      <c r="N907" s="122">
        <f>SUM(E907+K907+L907+M907)</f>
        <v>187117.74830794844</v>
      </c>
      <c r="O907" s="122">
        <f>N907</f>
        <v>187117.74830794844</v>
      </c>
      <c r="P907" s="336">
        <f t="shared" si="177"/>
        <v>-187117.74830794844</v>
      </c>
      <c r="Q907" s="336">
        <f t="shared" si="178"/>
        <v>106194.24830794844</v>
      </c>
      <c r="R907" s="303">
        <f t="shared" si="179"/>
        <v>1.3122794776294702</v>
      </c>
    </row>
    <row r="908" spans="1:18" x14ac:dyDescent="0.3">
      <c r="A908" s="2">
        <v>3111</v>
      </c>
      <c r="B908" s="41" t="s">
        <v>1811</v>
      </c>
      <c r="C908" s="2">
        <v>4</v>
      </c>
      <c r="D908" s="2" t="s">
        <v>16</v>
      </c>
      <c r="E908" s="294">
        <v>133900</v>
      </c>
      <c r="F908" s="296">
        <v>148000</v>
      </c>
      <c r="G908" s="352">
        <v>2</v>
      </c>
      <c r="H908" s="296">
        <f t="shared" si="174"/>
        <v>267800</v>
      </c>
      <c r="I908" s="122">
        <f t="shared" si="175"/>
        <v>296000</v>
      </c>
      <c r="J908" s="331">
        <f t="shared" si="176"/>
        <v>28200</v>
      </c>
      <c r="K908" s="292">
        <f>'09-RESUMEN'!$F$43/1375</f>
        <v>81431.961035221175</v>
      </c>
      <c r="L908" s="122">
        <f>('ESTADO RESULTADOS'!$C$36+'ESTADO RESULTADOS'!$C$71)/1375</f>
        <v>24762.287272727273</v>
      </c>
      <c r="M908" s="122">
        <v>0</v>
      </c>
      <c r="N908" s="122">
        <f t="shared" ref="N908:N916" si="180">SUM(H908+K908+L908+M908)</f>
        <v>373994.24830794847</v>
      </c>
      <c r="O908" s="122">
        <f t="shared" ref="O908:O916" si="181">N908/G908</f>
        <v>186997.12415397423</v>
      </c>
      <c r="P908" s="336">
        <f t="shared" si="177"/>
        <v>-77994.248307948466</v>
      </c>
      <c r="Q908" s="336">
        <f t="shared" si="178"/>
        <v>53097.124153974233</v>
      </c>
      <c r="R908" s="303">
        <f t="shared" si="179"/>
        <v>0.39654312288255589</v>
      </c>
    </row>
    <row r="909" spans="1:18" x14ac:dyDescent="0.3">
      <c r="A909" s="2">
        <v>3113</v>
      </c>
      <c r="B909" s="41" t="s">
        <v>740</v>
      </c>
      <c r="C909" s="2">
        <v>14</v>
      </c>
      <c r="D909" s="2" t="s">
        <v>23</v>
      </c>
      <c r="E909" s="294">
        <v>35670</v>
      </c>
      <c r="F909" s="296">
        <v>39800</v>
      </c>
      <c r="G909" s="352">
        <v>1</v>
      </c>
      <c r="H909" s="296">
        <f t="shared" si="174"/>
        <v>35670</v>
      </c>
      <c r="I909" s="122">
        <f t="shared" si="175"/>
        <v>39800</v>
      </c>
      <c r="J909" s="331">
        <f t="shared" si="176"/>
        <v>4130</v>
      </c>
      <c r="K909" s="292">
        <f>'09-RESUMEN'!$F$43/1375</f>
        <v>81431.961035221175</v>
      </c>
      <c r="L909" s="122">
        <f>('ESTADO RESULTADOS'!$C$36+'ESTADO RESULTADOS'!$C$71)/1375</f>
        <v>24762.287272727273</v>
      </c>
      <c r="M909" s="122">
        <v>0</v>
      </c>
      <c r="N909" s="122">
        <f t="shared" si="180"/>
        <v>141864.24830794844</v>
      </c>
      <c r="O909" s="122">
        <f t="shared" si="181"/>
        <v>141864.24830794844</v>
      </c>
      <c r="P909" s="336">
        <f t="shared" si="177"/>
        <v>-102064.24830794844</v>
      </c>
      <c r="Q909" s="336">
        <f t="shared" si="178"/>
        <v>106194.24830794844</v>
      </c>
      <c r="R909" s="303">
        <f t="shared" si="179"/>
        <v>2.9771305945598106</v>
      </c>
    </row>
    <row r="910" spans="1:18" x14ac:dyDescent="0.3">
      <c r="A910" s="2">
        <v>3115</v>
      </c>
      <c r="B910" s="41" t="s">
        <v>741</v>
      </c>
      <c r="C910" s="2">
        <v>5</v>
      </c>
      <c r="D910" s="2" t="s">
        <v>12</v>
      </c>
      <c r="E910" s="294">
        <v>61600</v>
      </c>
      <c r="F910" s="296">
        <v>72000</v>
      </c>
      <c r="G910" s="352">
        <v>24</v>
      </c>
      <c r="H910" s="296">
        <f t="shared" si="174"/>
        <v>1478400</v>
      </c>
      <c r="I910" s="122">
        <f t="shared" si="175"/>
        <v>1728000</v>
      </c>
      <c r="J910" s="331">
        <f t="shared" si="176"/>
        <v>249600</v>
      </c>
      <c r="K910" s="292">
        <f>'09-RESUMEN'!$F$43/1375</f>
        <v>81431.961035221175</v>
      </c>
      <c r="L910" s="122">
        <f>('ESTADO RESULTADOS'!$C$36+'ESTADO RESULTADOS'!$C$71)/1375</f>
        <v>24762.287272727273</v>
      </c>
      <c r="M910" s="122">
        <v>0</v>
      </c>
      <c r="N910" s="122">
        <f t="shared" si="180"/>
        <v>1584594.2483079485</v>
      </c>
      <c r="O910" s="122">
        <f t="shared" si="181"/>
        <v>66024.760346164519</v>
      </c>
      <c r="P910" s="336">
        <f t="shared" si="177"/>
        <v>143405.75169205153</v>
      </c>
      <c r="Q910" s="336">
        <f t="shared" si="178"/>
        <v>4424.7603461645194</v>
      </c>
      <c r="R910" s="303">
        <f t="shared" si="179"/>
        <v>7.1830525100073372E-2</v>
      </c>
    </row>
    <row r="911" spans="1:18" x14ac:dyDescent="0.3">
      <c r="A911" s="2">
        <v>3118</v>
      </c>
      <c r="B911" s="41" t="s">
        <v>743</v>
      </c>
      <c r="C911" s="2">
        <v>9</v>
      </c>
      <c r="D911" s="2" t="s">
        <v>338</v>
      </c>
      <c r="E911" s="294">
        <v>641.65599999999995</v>
      </c>
      <c r="F911" s="296">
        <v>800</v>
      </c>
      <c r="G911" s="352">
        <v>424</v>
      </c>
      <c r="H911" s="296">
        <f t="shared" si="174"/>
        <v>272062.14399999997</v>
      </c>
      <c r="I911" s="122">
        <f t="shared" si="175"/>
        <v>339200</v>
      </c>
      <c r="J911" s="331">
        <f t="shared" si="176"/>
        <v>67137.856000000029</v>
      </c>
      <c r="K911" s="292">
        <f>'09-RESUMEN'!$F$43/1375</f>
        <v>81431.961035221175</v>
      </c>
      <c r="L911" s="122">
        <f>('ESTADO RESULTADOS'!$C$36+'ESTADO RESULTADOS'!$C$71)/1375</f>
        <v>24762.287272727273</v>
      </c>
      <c r="M911" s="122">
        <v>0</v>
      </c>
      <c r="N911" s="122">
        <f t="shared" si="180"/>
        <v>378256.39230794844</v>
      </c>
      <c r="O911" s="122">
        <f t="shared" si="181"/>
        <v>892.11413280176521</v>
      </c>
      <c r="P911" s="336">
        <f t="shared" si="177"/>
        <v>-39056.392307948438</v>
      </c>
      <c r="Q911" s="336">
        <f t="shared" si="178"/>
        <v>250.45813280176526</v>
      </c>
      <c r="R911" s="303">
        <f t="shared" si="179"/>
        <v>0.39033085142469687</v>
      </c>
    </row>
    <row r="912" spans="1:18" x14ac:dyDescent="0.3">
      <c r="A912" s="2">
        <v>3119</v>
      </c>
      <c r="B912" s="41" t="s">
        <v>744</v>
      </c>
      <c r="C912" s="2">
        <v>9</v>
      </c>
      <c r="D912" s="2" t="s">
        <v>338</v>
      </c>
      <c r="E912" s="294">
        <v>1336.4358999999999</v>
      </c>
      <c r="F912" s="296">
        <v>1600</v>
      </c>
      <c r="G912" s="352">
        <v>300</v>
      </c>
      <c r="H912" s="296">
        <f t="shared" si="174"/>
        <v>400930.76999999996</v>
      </c>
      <c r="I912" s="122">
        <f t="shared" si="175"/>
        <v>480000</v>
      </c>
      <c r="J912" s="331">
        <f t="shared" si="176"/>
        <v>79069.23000000004</v>
      </c>
      <c r="K912" s="292">
        <f>'09-RESUMEN'!$F$43/1375</f>
        <v>81431.961035221175</v>
      </c>
      <c r="L912" s="122">
        <f>('ESTADO RESULTADOS'!$C$36+'ESTADO RESULTADOS'!$C$71)/1375</f>
        <v>24762.287272727273</v>
      </c>
      <c r="M912" s="122">
        <v>0</v>
      </c>
      <c r="N912" s="122">
        <f t="shared" si="180"/>
        <v>507125.01830794843</v>
      </c>
      <c r="O912" s="122">
        <f t="shared" si="181"/>
        <v>1690.4167276931614</v>
      </c>
      <c r="P912" s="336">
        <f t="shared" si="177"/>
        <v>-27125.018307948427</v>
      </c>
      <c r="Q912" s="336">
        <f t="shared" si="178"/>
        <v>353.98082769316147</v>
      </c>
      <c r="R912" s="303">
        <f t="shared" si="179"/>
        <v>0.26486928979770857</v>
      </c>
    </row>
    <row r="913" spans="1:18" x14ac:dyDescent="0.3">
      <c r="A913" s="2">
        <v>3120</v>
      </c>
      <c r="B913" s="41" t="s">
        <v>745</v>
      </c>
      <c r="C913" s="2">
        <v>9</v>
      </c>
      <c r="D913" s="2" t="s">
        <v>338</v>
      </c>
      <c r="E913" s="294">
        <v>2037.4609</v>
      </c>
      <c r="F913" s="296">
        <v>2400</v>
      </c>
      <c r="G913" s="352">
        <v>121</v>
      </c>
      <c r="H913" s="296">
        <f t="shared" si="174"/>
        <v>246532.7689</v>
      </c>
      <c r="I913" s="122">
        <f t="shared" si="175"/>
        <v>290400</v>
      </c>
      <c r="J913" s="331">
        <f t="shared" si="176"/>
        <v>43867.231100000005</v>
      </c>
      <c r="K913" s="292">
        <f>'09-RESUMEN'!$F$43/1375</f>
        <v>81431.961035221175</v>
      </c>
      <c r="L913" s="122">
        <f>('ESTADO RESULTADOS'!$C$36+'ESTADO RESULTADOS'!$C$71)/1375</f>
        <v>24762.287272727273</v>
      </c>
      <c r="M913" s="122">
        <v>0</v>
      </c>
      <c r="N913" s="122">
        <f t="shared" si="180"/>
        <v>352727.01720794843</v>
      </c>
      <c r="O913" s="122">
        <f t="shared" si="181"/>
        <v>2915.0993157681687</v>
      </c>
      <c r="P913" s="336">
        <f t="shared" si="177"/>
        <v>-62327.017207948433</v>
      </c>
      <c r="Q913" s="336">
        <f t="shared" si="178"/>
        <v>877.63841576816867</v>
      </c>
      <c r="R913" s="303">
        <f t="shared" si="179"/>
        <v>0.43075104693698352</v>
      </c>
    </row>
    <row r="914" spans="1:18" x14ac:dyDescent="0.3">
      <c r="A914" s="2">
        <v>3121</v>
      </c>
      <c r="B914" s="41" t="s">
        <v>747</v>
      </c>
      <c r="C914" s="2">
        <v>9</v>
      </c>
      <c r="D914" s="2" t="s">
        <v>338</v>
      </c>
      <c r="E914" s="294">
        <v>932.27470000000005</v>
      </c>
      <c r="F914" s="296">
        <v>1200</v>
      </c>
      <c r="G914" s="352">
        <v>164</v>
      </c>
      <c r="H914" s="296">
        <f t="shared" si="174"/>
        <v>152893.0508</v>
      </c>
      <c r="I914" s="122">
        <f t="shared" si="175"/>
        <v>196800</v>
      </c>
      <c r="J914" s="331">
        <f t="shared" si="176"/>
        <v>43906.949200000003</v>
      </c>
      <c r="K914" s="292">
        <f>'09-RESUMEN'!$F$43/1375</f>
        <v>81431.961035221175</v>
      </c>
      <c r="L914" s="122">
        <f>('ESTADO RESULTADOS'!$C$36+'ESTADO RESULTADOS'!$C$71)/1375</f>
        <v>24762.287272727273</v>
      </c>
      <c r="M914" s="122">
        <v>0</v>
      </c>
      <c r="N914" s="122">
        <f t="shared" si="180"/>
        <v>259087.29910794843</v>
      </c>
      <c r="O914" s="122">
        <f t="shared" si="181"/>
        <v>1579.8006043167588</v>
      </c>
      <c r="P914" s="336">
        <f t="shared" si="177"/>
        <v>-62287.299107948435</v>
      </c>
      <c r="Q914" s="336">
        <f t="shared" si="178"/>
        <v>647.52590431675878</v>
      </c>
      <c r="R914" s="303">
        <f t="shared" si="179"/>
        <v>0.69456556561790073</v>
      </c>
    </row>
    <row r="915" spans="1:18" x14ac:dyDescent="0.3">
      <c r="A915" s="2">
        <v>3123</v>
      </c>
      <c r="B915" s="41" t="s">
        <v>748</v>
      </c>
      <c r="C915" s="2">
        <v>14</v>
      </c>
      <c r="D915" s="2" t="s">
        <v>81</v>
      </c>
      <c r="E915" s="294">
        <v>3217</v>
      </c>
      <c r="F915" s="296">
        <v>6150</v>
      </c>
      <c r="G915" s="352">
        <v>3</v>
      </c>
      <c r="H915" s="296">
        <f t="shared" si="174"/>
        <v>9651</v>
      </c>
      <c r="I915" s="122">
        <f t="shared" si="175"/>
        <v>18450</v>
      </c>
      <c r="J915" s="331">
        <f t="shared" si="176"/>
        <v>8799</v>
      </c>
      <c r="K915" s="292">
        <f>'09-RESUMEN'!$F$43/1375</f>
        <v>81431.961035221175</v>
      </c>
      <c r="L915" s="122">
        <f>('ESTADO RESULTADOS'!$C$36+'ESTADO RESULTADOS'!$C$71)/1375</f>
        <v>24762.287272727273</v>
      </c>
      <c r="M915" s="122">
        <v>0</v>
      </c>
      <c r="N915" s="122">
        <f t="shared" si="180"/>
        <v>115845.24830794845</v>
      </c>
      <c r="O915" s="122">
        <f t="shared" si="181"/>
        <v>38615.082769316148</v>
      </c>
      <c r="P915" s="336">
        <f t="shared" si="177"/>
        <v>-97395.248307948452</v>
      </c>
      <c r="Q915" s="336">
        <f t="shared" si="178"/>
        <v>35398.082769316148</v>
      </c>
      <c r="R915" s="303">
        <f t="shared" si="179"/>
        <v>11.003445063511393</v>
      </c>
    </row>
    <row r="916" spans="1:18" x14ac:dyDescent="0.3">
      <c r="A916" s="2">
        <v>3125</v>
      </c>
      <c r="B916" s="41" t="s">
        <v>749</v>
      </c>
      <c r="C916" s="2">
        <v>5</v>
      </c>
      <c r="D916" s="2" t="s">
        <v>16</v>
      </c>
      <c r="E916" s="294">
        <v>19000</v>
      </c>
      <c r="F916" s="296">
        <v>26500</v>
      </c>
      <c r="G916" s="352">
        <v>2</v>
      </c>
      <c r="H916" s="296">
        <f t="shared" si="174"/>
        <v>38000</v>
      </c>
      <c r="I916" s="122">
        <f t="shared" si="175"/>
        <v>53000</v>
      </c>
      <c r="J916" s="331">
        <f t="shared" si="176"/>
        <v>15000</v>
      </c>
      <c r="K916" s="292">
        <f>'09-RESUMEN'!$F$43/1375</f>
        <v>81431.961035221175</v>
      </c>
      <c r="L916" s="122">
        <f>('ESTADO RESULTADOS'!$C$36+'ESTADO RESULTADOS'!$C$71)/1375</f>
        <v>24762.287272727273</v>
      </c>
      <c r="M916" s="122">
        <v>0</v>
      </c>
      <c r="N916" s="122">
        <f t="shared" si="180"/>
        <v>144194.24830794844</v>
      </c>
      <c r="O916" s="122">
        <f t="shared" si="181"/>
        <v>72097.124153974219</v>
      </c>
      <c r="P916" s="336">
        <f t="shared" si="177"/>
        <v>-91194.248307948437</v>
      </c>
      <c r="Q916" s="336">
        <f t="shared" si="178"/>
        <v>53097.124153974219</v>
      </c>
      <c r="R916" s="303">
        <f t="shared" si="179"/>
        <v>2.7945854817881166</v>
      </c>
    </row>
    <row r="917" spans="1:18" x14ac:dyDescent="0.3">
      <c r="A917" s="2">
        <v>3126</v>
      </c>
      <c r="B917" s="41" t="s">
        <v>1812</v>
      </c>
      <c r="C917" s="2">
        <v>6</v>
      </c>
      <c r="D917" s="2" t="s">
        <v>23</v>
      </c>
      <c r="E917" s="294">
        <v>36000</v>
      </c>
      <c r="F917" s="296">
        <v>42000</v>
      </c>
      <c r="G917" s="352">
        <v>0</v>
      </c>
      <c r="H917" s="296">
        <f t="shared" si="174"/>
        <v>0</v>
      </c>
      <c r="I917" s="122">
        <f t="shared" si="175"/>
        <v>0</v>
      </c>
      <c r="J917" s="331">
        <f t="shared" si="176"/>
        <v>0</v>
      </c>
      <c r="K917" s="292">
        <f>'09-RESUMEN'!$F$43/1375</f>
        <v>81431.961035221175</v>
      </c>
      <c r="L917" s="122">
        <f>('ESTADO RESULTADOS'!$C$36+'ESTADO RESULTADOS'!$C$71)/1375</f>
        <v>24762.287272727273</v>
      </c>
      <c r="M917" s="122">
        <v>0</v>
      </c>
      <c r="N917" s="122">
        <f>SUM(E917+K917+L917+M917)</f>
        <v>142194.24830794844</v>
      </c>
      <c r="O917" s="122">
        <f>N917</f>
        <v>142194.24830794844</v>
      </c>
      <c r="P917" s="336">
        <f t="shared" si="177"/>
        <v>-142194.24830794844</v>
      </c>
      <c r="Q917" s="336">
        <f t="shared" si="178"/>
        <v>106194.24830794844</v>
      </c>
      <c r="R917" s="303">
        <f t="shared" si="179"/>
        <v>2.9498402307763456</v>
      </c>
    </row>
    <row r="918" spans="1:18" x14ac:dyDescent="0.3">
      <c r="A918" s="2">
        <v>3128</v>
      </c>
      <c r="B918" s="41" t="s">
        <v>750</v>
      </c>
      <c r="C918" s="2">
        <v>14</v>
      </c>
      <c r="D918" s="2" t="s">
        <v>81</v>
      </c>
      <c r="E918" s="294">
        <v>23369</v>
      </c>
      <c r="F918" s="296">
        <v>31866.666666666668</v>
      </c>
      <c r="G918" s="352">
        <v>4</v>
      </c>
      <c r="H918" s="296">
        <f t="shared" si="174"/>
        <v>93476</v>
      </c>
      <c r="I918" s="122">
        <f t="shared" si="175"/>
        <v>127466.66666666667</v>
      </c>
      <c r="J918" s="331">
        <f t="shared" si="176"/>
        <v>33990.666666666672</v>
      </c>
      <c r="K918" s="292">
        <f>'09-RESUMEN'!$F$43/1375</f>
        <v>81431.961035221175</v>
      </c>
      <c r="L918" s="122">
        <f>('ESTADO RESULTADOS'!$C$36+'ESTADO RESULTADOS'!$C$71)/1375</f>
        <v>24762.287272727273</v>
      </c>
      <c r="M918" s="122">
        <v>0</v>
      </c>
      <c r="N918" s="122">
        <f>SUM(H918+K918+L918+M918)</f>
        <v>199670.24830794844</v>
      </c>
      <c r="O918" s="122">
        <f>N918/G918</f>
        <v>49917.562076987109</v>
      </c>
      <c r="P918" s="336">
        <f t="shared" si="177"/>
        <v>-72203.581641281766</v>
      </c>
      <c r="Q918" s="336">
        <f t="shared" si="178"/>
        <v>26548.562076987109</v>
      </c>
      <c r="R918" s="303">
        <f t="shared" si="179"/>
        <v>1.1360589703019859</v>
      </c>
    </row>
    <row r="919" spans="1:18" x14ac:dyDescent="0.3">
      <c r="A919" s="2">
        <v>3130</v>
      </c>
      <c r="B919" s="41" t="s">
        <v>1813</v>
      </c>
      <c r="C919" s="2">
        <v>2</v>
      </c>
      <c r="D919" s="2" t="s">
        <v>5</v>
      </c>
      <c r="E919" s="294">
        <v>44534.678999999996</v>
      </c>
      <c r="F919" s="296">
        <v>49866.666666666664</v>
      </c>
      <c r="G919" s="352">
        <v>11</v>
      </c>
      <c r="H919" s="296">
        <f t="shared" si="174"/>
        <v>489881.46899999998</v>
      </c>
      <c r="I919" s="122">
        <f t="shared" si="175"/>
        <v>548533.33333333326</v>
      </c>
      <c r="J919" s="331">
        <f t="shared" si="176"/>
        <v>58651.864333333273</v>
      </c>
      <c r="K919" s="292">
        <f>'09-RESUMEN'!$F$43/1375</f>
        <v>81431.961035221175</v>
      </c>
      <c r="L919" s="122">
        <f>('ESTADO RESULTADOS'!$C$36+'ESTADO RESULTADOS'!$C$71)/1375</f>
        <v>24762.287272727273</v>
      </c>
      <c r="M919" s="122">
        <v>0</v>
      </c>
      <c r="N919" s="122">
        <f>SUM(H919+K919+L919+M919)</f>
        <v>596075.71730794839</v>
      </c>
      <c r="O919" s="122">
        <f>N919/G919</f>
        <v>54188.701573449856</v>
      </c>
      <c r="P919" s="336">
        <f t="shared" si="177"/>
        <v>-47542.383974615135</v>
      </c>
      <c r="Q919" s="336">
        <f t="shared" si="178"/>
        <v>9654.0225734498599</v>
      </c>
      <c r="R919" s="303">
        <f t="shared" si="179"/>
        <v>0.21677539369824267</v>
      </c>
    </row>
    <row r="920" spans="1:18" x14ac:dyDescent="0.3">
      <c r="A920" s="2">
        <v>3131</v>
      </c>
      <c r="B920" s="41" t="s">
        <v>751</v>
      </c>
      <c r="C920" s="2">
        <v>14</v>
      </c>
      <c r="D920" s="2" t="s">
        <v>23</v>
      </c>
      <c r="E920" s="294">
        <v>2913.0880000000002</v>
      </c>
      <c r="F920" s="296">
        <v>3800</v>
      </c>
      <c r="G920" s="352">
        <v>249</v>
      </c>
      <c r="H920" s="296">
        <f t="shared" si="174"/>
        <v>725358.91200000001</v>
      </c>
      <c r="I920" s="122">
        <f t="shared" si="175"/>
        <v>946200</v>
      </c>
      <c r="J920" s="331">
        <f t="shared" si="176"/>
        <v>220841.08799999999</v>
      </c>
      <c r="K920" s="292">
        <f>'09-RESUMEN'!$F$43/1375</f>
        <v>81431.961035221175</v>
      </c>
      <c r="L920" s="122">
        <f>('ESTADO RESULTADOS'!$C$36+'ESTADO RESULTADOS'!$C$71)/1375</f>
        <v>24762.287272727273</v>
      </c>
      <c r="M920" s="122">
        <v>0</v>
      </c>
      <c r="N920" s="122">
        <f>SUM(H920+K920+L920+M920)</f>
        <v>831553.16030794836</v>
      </c>
      <c r="O920" s="122">
        <f>N920/G920</f>
        <v>3339.5709249315196</v>
      </c>
      <c r="P920" s="336">
        <f t="shared" si="177"/>
        <v>114646.83969205164</v>
      </c>
      <c r="Q920" s="336">
        <f t="shared" si="178"/>
        <v>426.48292493151939</v>
      </c>
      <c r="R920" s="303">
        <f t="shared" si="179"/>
        <v>0.14640234861820836</v>
      </c>
    </row>
    <row r="921" spans="1:18" x14ac:dyDescent="0.3">
      <c r="A921" s="2">
        <v>3133</v>
      </c>
      <c r="B921" s="41" t="s">
        <v>752</v>
      </c>
      <c r="C921" s="2">
        <v>14</v>
      </c>
      <c r="D921" s="2" t="s">
        <v>730</v>
      </c>
      <c r="E921" s="294">
        <v>3262</v>
      </c>
      <c r="F921" s="296">
        <v>3850</v>
      </c>
      <c r="G921" s="352">
        <v>30</v>
      </c>
      <c r="H921" s="296">
        <f t="shared" si="174"/>
        <v>97860</v>
      </c>
      <c r="I921" s="122">
        <f t="shared" si="175"/>
        <v>115500</v>
      </c>
      <c r="J921" s="331">
        <f t="shared" si="176"/>
        <v>17640</v>
      </c>
      <c r="K921" s="292">
        <f>'09-RESUMEN'!$F$43/1375</f>
        <v>81431.961035221175</v>
      </c>
      <c r="L921" s="122">
        <f>('ESTADO RESULTADOS'!$C$36+'ESTADO RESULTADOS'!$C$71)/1375</f>
        <v>24762.287272727273</v>
      </c>
      <c r="M921" s="122">
        <v>0</v>
      </c>
      <c r="N921" s="122">
        <f>SUM(H921+K921+L921+M921)</f>
        <v>204054.24830794844</v>
      </c>
      <c r="O921" s="122">
        <f>N921/G921</f>
        <v>6801.8082769316143</v>
      </c>
      <c r="P921" s="336">
        <f t="shared" si="177"/>
        <v>-88554.248307948437</v>
      </c>
      <c r="Q921" s="336">
        <f t="shared" si="178"/>
        <v>3539.8082769316143</v>
      </c>
      <c r="R921" s="303">
        <f t="shared" si="179"/>
        <v>1.0851650143873741</v>
      </c>
    </row>
    <row r="922" spans="1:18" x14ac:dyDescent="0.3">
      <c r="A922" s="2">
        <v>3134</v>
      </c>
      <c r="B922" s="41" t="s">
        <v>753</v>
      </c>
      <c r="C922" s="2">
        <v>2</v>
      </c>
      <c r="D922" s="2" t="s">
        <v>237</v>
      </c>
      <c r="E922" s="294">
        <v>155121.75</v>
      </c>
      <c r="F922" s="296">
        <v>167283.33333333334</v>
      </c>
      <c r="G922" s="352">
        <v>19</v>
      </c>
      <c r="H922" s="296">
        <f t="shared" si="174"/>
        <v>2947313.25</v>
      </c>
      <c r="I922" s="122">
        <f t="shared" si="175"/>
        <v>3178383.3333333335</v>
      </c>
      <c r="J922" s="331">
        <f t="shared" si="176"/>
        <v>231070.08333333349</v>
      </c>
      <c r="K922" s="292">
        <f>'09-RESUMEN'!$F$43/1375</f>
        <v>81431.961035221175</v>
      </c>
      <c r="L922" s="122">
        <f>('ESTADO RESULTADOS'!$C$36+'ESTADO RESULTADOS'!$C$71)/1375</f>
        <v>24762.287272727273</v>
      </c>
      <c r="M922" s="122">
        <v>0</v>
      </c>
      <c r="N922" s="122">
        <f>SUM(H922+K922+L922+M922)</f>
        <v>3053507.4983079485</v>
      </c>
      <c r="O922" s="122">
        <f>N922/G922</f>
        <v>160710.92096357624</v>
      </c>
      <c r="P922" s="336">
        <f t="shared" si="177"/>
        <v>124875.83502538502</v>
      </c>
      <c r="Q922" s="336">
        <f t="shared" si="178"/>
        <v>5589.1709635762381</v>
      </c>
      <c r="R922" s="303">
        <f t="shared" si="179"/>
        <v>3.6030865842966817E-2</v>
      </c>
    </row>
    <row r="923" spans="1:18" x14ac:dyDescent="0.3">
      <c r="A923" s="2">
        <v>3135</v>
      </c>
      <c r="B923" s="41" t="s">
        <v>1814</v>
      </c>
      <c r="C923" s="2">
        <v>1</v>
      </c>
      <c r="D923" s="2" t="s">
        <v>237</v>
      </c>
      <c r="E923" s="294">
        <v>59750</v>
      </c>
      <c r="F923" s="296">
        <v>95000</v>
      </c>
      <c r="G923" s="352">
        <v>0</v>
      </c>
      <c r="H923" s="296">
        <f t="shared" si="174"/>
        <v>0</v>
      </c>
      <c r="I923" s="122">
        <f t="shared" si="175"/>
        <v>0</v>
      </c>
      <c r="J923" s="331">
        <f t="shared" si="176"/>
        <v>0</v>
      </c>
      <c r="K923" s="292">
        <f>'09-RESUMEN'!$F$43/1375</f>
        <v>81431.961035221175</v>
      </c>
      <c r="L923" s="122">
        <f>('ESTADO RESULTADOS'!$C$36+'ESTADO RESULTADOS'!$C$71)/1375</f>
        <v>24762.287272727273</v>
      </c>
      <c r="M923" s="122">
        <v>0</v>
      </c>
      <c r="N923" s="122">
        <f>SUM(E923+K923+L923+M923)</f>
        <v>165944.24830794844</v>
      </c>
      <c r="O923" s="122">
        <f>N923</f>
        <v>165944.24830794844</v>
      </c>
      <c r="P923" s="336">
        <f t="shared" si="177"/>
        <v>-165944.24830794844</v>
      </c>
      <c r="Q923" s="336">
        <f t="shared" si="178"/>
        <v>106194.24830794844</v>
      </c>
      <c r="R923" s="303">
        <f t="shared" si="179"/>
        <v>1.7773095951121078</v>
      </c>
    </row>
    <row r="924" spans="1:18" x14ac:dyDescent="0.3">
      <c r="A924" s="2">
        <v>3136</v>
      </c>
      <c r="B924" s="41" t="s">
        <v>754</v>
      </c>
      <c r="C924" s="2">
        <v>12</v>
      </c>
      <c r="D924" s="2" t="s">
        <v>12</v>
      </c>
      <c r="E924" s="294">
        <v>11999.96</v>
      </c>
      <c r="F924" s="296">
        <v>15000</v>
      </c>
      <c r="G924" s="352">
        <v>2</v>
      </c>
      <c r="H924" s="296">
        <f t="shared" si="174"/>
        <v>23999.919999999998</v>
      </c>
      <c r="I924" s="122">
        <f t="shared" si="175"/>
        <v>30000</v>
      </c>
      <c r="J924" s="331">
        <f t="shared" si="176"/>
        <v>6000.0800000000017</v>
      </c>
      <c r="K924" s="292">
        <f>'09-RESUMEN'!$F$43/1375</f>
        <v>81431.961035221175</v>
      </c>
      <c r="L924" s="122">
        <f>('ESTADO RESULTADOS'!$C$36+'ESTADO RESULTADOS'!$C$71)/1375</f>
        <v>24762.287272727273</v>
      </c>
      <c r="M924" s="122">
        <v>0</v>
      </c>
      <c r="N924" s="122">
        <f>SUM(H924+K924+L924+M924)</f>
        <v>130194.16830794845</v>
      </c>
      <c r="O924" s="122">
        <f>N924/G924</f>
        <v>65097.084153974225</v>
      </c>
      <c r="P924" s="336">
        <f t="shared" si="177"/>
        <v>-100194.16830794845</v>
      </c>
      <c r="Q924" s="336">
        <f t="shared" si="178"/>
        <v>53097.124153974226</v>
      </c>
      <c r="R924" s="303">
        <f t="shared" si="179"/>
        <v>4.4247750954148373</v>
      </c>
    </row>
    <row r="925" spans="1:18" x14ac:dyDescent="0.3">
      <c r="A925" s="2">
        <v>3138</v>
      </c>
      <c r="B925" s="41" t="s">
        <v>755</v>
      </c>
      <c r="C925" s="2">
        <v>14</v>
      </c>
      <c r="D925" s="2" t="s">
        <v>23</v>
      </c>
      <c r="E925" s="294">
        <v>14847</v>
      </c>
      <c r="F925" s="296">
        <v>18600</v>
      </c>
      <c r="G925" s="352">
        <v>2</v>
      </c>
      <c r="H925" s="296">
        <f t="shared" si="174"/>
        <v>29694</v>
      </c>
      <c r="I925" s="122">
        <f t="shared" si="175"/>
        <v>37200</v>
      </c>
      <c r="J925" s="331">
        <f t="shared" si="176"/>
        <v>7506</v>
      </c>
      <c r="K925" s="292">
        <f>'09-RESUMEN'!$F$43/1375</f>
        <v>81431.961035221175</v>
      </c>
      <c r="L925" s="122">
        <f>('ESTADO RESULTADOS'!$C$36+'ESTADO RESULTADOS'!$C$71)/1375</f>
        <v>24762.287272727273</v>
      </c>
      <c r="M925" s="122">
        <v>0</v>
      </c>
      <c r="N925" s="122">
        <f>SUM(H925+K925+L925+M925)</f>
        <v>135888.24830794844</v>
      </c>
      <c r="O925" s="122">
        <f>N925/G925</f>
        <v>67944.124153974219</v>
      </c>
      <c r="P925" s="336">
        <f t="shared" si="177"/>
        <v>-98688.248307948437</v>
      </c>
      <c r="Q925" s="336">
        <f t="shared" si="178"/>
        <v>53097.124153974219</v>
      </c>
      <c r="R925" s="303">
        <f t="shared" si="179"/>
        <v>3.5762863981931852</v>
      </c>
    </row>
    <row r="926" spans="1:18" x14ac:dyDescent="0.3">
      <c r="A926" s="2">
        <v>3140</v>
      </c>
      <c r="B926" s="41" t="s">
        <v>756</v>
      </c>
      <c r="C926" s="2">
        <v>6</v>
      </c>
      <c r="D926" s="2" t="s">
        <v>176</v>
      </c>
      <c r="E926" s="294">
        <v>23600</v>
      </c>
      <c r="F926" s="296">
        <v>26300</v>
      </c>
      <c r="G926" s="352">
        <v>6</v>
      </c>
      <c r="H926" s="296">
        <f t="shared" si="174"/>
        <v>141600</v>
      </c>
      <c r="I926" s="122">
        <f t="shared" si="175"/>
        <v>157800</v>
      </c>
      <c r="J926" s="331">
        <f t="shared" si="176"/>
        <v>16200</v>
      </c>
      <c r="K926" s="292">
        <f>'09-RESUMEN'!$F$43/1375</f>
        <v>81431.961035221175</v>
      </c>
      <c r="L926" s="122">
        <f>('ESTADO RESULTADOS'!$C$36+'ESTADO RESULTADOS'!$C$71)/1375</f>
        <v>24762.287272727273</v>
      </c>
      <c r="M926" s="122">
        <v>0</v>
      </c>
      <c r="N926" s="122">
        <f>SUM(H926+K926+L926+M926)</f>
        <v>247794.24830794844</v>
      </c>
      <c r="O926" s="122">
        <f>N926/G926</f>
        <v>41299.04138465807</v>
      </c>
      <c r="P926" s="336">
        <f t="shared" si="177"/>
        <v>-89994.248307948437</v>
      </c>
      <c r="Q926" s="336">
        <f t="shared" si="178"/>
        <v>17699.04138465807</v>
      </c>
      <c r="R926" s="303">
        <f t="shared" si="179"/>
        <v>0.74995938070585044</v>
      </c>
    </row>
    <row r="927" spans="1:18" x14ac:dyDescent="0.3">
      <c r="A927" s="2">
        <v>3141</v>
      </c>
      <c r="B927" s="41" t="s">
        <v>1815</v>
      </c>
      <c r="C927" s="2">
        <v>6</v>
      </c>
      <c r="D927" s="2" t="s">
        <v>176</v>
      </c>
      <c r="E927" s="294">
        <v>12900</v>
      </c>
      <c r="F927" s="296">
        <v>15500</v>
      </c>
      <c r="G927" s="352">
        <v>8</v>
      </c>
      <c r="H927" s="296">
        <f t="shared" si="174"/>
        <v>103200</v>
      </c>
      <c r="I927" s="122">
        <f t="shared" si="175"/>
        <v>124000</v>
      </c>
      <c r="J927" s="331">
        <f t="shared" si="176"/>
        <v>20800</v>
      </c>
      <c r="K927" s="292">
        <f>'09-RESUMEN'!$F$43/1375</f>
        <v>81431.961035221175</v>
      </c>
      <c r="L927" s="122">
        <f>('ESTADO RESULTADOS'!$C$36+'ESTADO RESULTADOS'!$C$71)/1375</f>
        <v>24762.287272727273</v>
      </c>
      <c r="M927" s="122">
        <v>0</v>
      </c>
      <c r="N927" s="122">
        <f>SUM(H927+K927+L927+M927)</f>
        <v>209394.24830794844</v>
      </c>
      <c r="O927" s="122">
        <f>N927/G927</f>
        <v>26174.281038493555</v>
      </c>
      <c r="P927" s="336">
        <f t="shared" si="177"/>
        <v>-85394.248307948437</v>
      </c>
      <c r="Q927" s="336">
        <f t="shared" si="178"/>
        <v>13274.281038493555</v>
      </c>
      <c r="R927" s="303">
        <f t="shared" si="179"/>
        <v>1.0290140339917484</v>
      </c>
    </row>
    <row r="928" spans="1:18" x14ac:dyDescent="0.3">
      <c r="A928" s="2">
        <v>3143</v>
      </c>
      <c r="B928" s="41" t="s">
        <v>1816</v>
      </c>
      <c r="C928" s="2">
        <v>9</v>
      </c>
      <c r="D928" s="2" t="s">
        <v>12</v>
      </c>
      <c r="E928" s="294">
        <v>23638</v>
      </c>
      <c r="F928" s="296">
        <v>25500</v>
      </c>
      <c r="G928" s="352">
        <v>1</v>
      </c>
      <c r="H928" s="296">
        <f t="shared" si="174"/>
        <v>23638</v>
      </c>
      <c r="I928" s="122">
        <f t="shared" si="175"/>
        <v>25500</v>
      </c>
      <c r="J928" s="331">
        <f t="shared" si="176"/>
        <v>1862</v>
      </c>
      <c r="K928" s="292">
        <f>'09-RESUMEN'!$F$43/1375</f>
        <v>81431.961035221175</v>
      </c>
      <c r="L928" s="122">
        <f>('ESTADO RESULTADOS'!$C$36+'ESTADO RESULTADOS'!$C$71)/1375</f>
        <v>24762.287272727273</v>
      </c>
      <c r="M928" s="122">
        <v>0</v>
      </c>
      <c r="N928" s="122">
        <f>SUM(H928+K928+L928+M928)</f>
        <v>129832.24830794845</v>
      </c>
      <c r="O928" s="122">
        <f>N928/G928</f>
        <v>129832.24830794845</v>
      </c>
      <c r="P928" s="336">
        <f t="shared" si="177"/>
        <v>-104332.24830794845</v>
      </c>
      <c r="Q928" s="336">
        <f t="shared" si="178"/>
        <v>106194.24830794845</v>
      </c>
      <c r="R928" s="303">
        <f t="shared" si="179"/>
        <v>4.4925225614666404</v>
      </c>
    </row>
    <row r="929" spans="1:18" x14ac:dyDescent="0.3">
      <c r="A929" s="2">
        <v>3144</v>
      </c>
      <c r="B929" s="41" t="s">
        <v>758</v>
      </c>
      <c r="C929" s="2">
        <v>14</v>
      </c>
      <c r="D929" s="2" t="s">
        <v>81</v>
      </c>
      <c r="E929" s="294">
        <v>5286</v>
      </c>
      <c r="F929" s="296">
        <v>7500</v>
      </c>
      <c r="G929" s="352">
        <v>0</v>
      </c>
      <c r="H929" s="296">
        <f t="shared" si="174"/>
        <v>0</v>
      </c>
      <c r="I929" s="122">
        <f t="shared" si="175"/>
        <v>0</v>
      </c>
      <c r="J929" s="331">
        <f t="shared" si="176"/>
        <v>0</v>
      </c>
      <c r="K929" s="292">
        <f>'09-RESUMEN'!$F$43/1375</f>
        <v>81431.961035221175</v>
      </c>
      <c r="L929" s="122">
        <f>('ESTADO RESULTADOS'!$C$36+'ESTADO RESULTADOS'!$C$71)/1375</f>
        <v>24762.287272727273</v>
      </c>
      <c r="M929" s="122">
        <v>0</v>
      </c>
      <c r="N929" s="122">
        <f>SUM(E929+K929+L929+M929)</f>
        <v>111480.24830794845</v>
      </c>
      <c r="O929" s="122">
        <f>N929</f>
        <v>111480.24830794845</v>
      </c>
      <c r="P929" s="336">
        <f t="shared" si="177"/>
        <v>-111480.24830794845</v>
      </c>
      <c r="Q929" s="336">
        <f t="shared" si="178"/>
        <v>106194.24830794845</v>
      </c>
      <c r="R929" s="303">
        <f t="shared" si="179"/>
        <v>20.089717803244127</v>
      </c>
    </row>
    <row r="930" spans="1:18" x14ac:dyDescent="0.3">
      <c r="A930" s="2">
        <v>3145</v>
      </c>
      <c r="B930" s="41" t="s">
        <v>1817</v>
      </c>
      <c r="C930" s="2">
        <v>14</v>
      </c>
      <c r="D930" s="2" t="s">
        <v>81</v>
      </c>
      <c r="E930" s="294">
        <v>16623</v>
      </c>
      <c r="F930" s="296">
        <v>22500</v>
      </c>
      <c r="G930" s="352">
        <v>0</v>
      </c>
      <c r="H930" s="296">
        <f t="shared" si="174"/>
        <v>0</v>
      </c>
      <c r="I930" s="122">
        <f t="shared" si="175"/>
        <v>0</v>
      </c>
      <c r="J930" s="331">
        <f t="shared" si="176"/>
        <v>0</v>
      </c>
      <c r="K930" s="292">
        <f>'09-RESUMEN'!$F$43/1375</f>
        <v>81431.961035221175</v>
      </c>
      <c r="L930" s="122">
        <f>('ESTADO RESULTADOS'!$C$36+'ESTADO RESULTADOS'!$C$71)/1375</f>
        <v>24762.287272727273</v>
      </c>
      <c r="M930" s="122">
        <v>0</v>
      </c>
      <c r="N930" s="122">
        <f>SUM(E930+K930+L930+M930)</f>
        <v>122817.24830794845</v>
      </c>
      <c r="O930" s="122">
        <f>N930</f>
        <v>122817.24830794845</v>
      </c>
      <c r="P930" s="336">
        <f t="shared" si="177"/>
        <v>-122817.24830794845</v>
      </c>
      <c r="Q930" s="336">
        <f t="shared" si="178"/>
        <v>106194.24830794845</v>
      </c>
      <c r="R930" s="303">
        <f t="shared" si="179"/>
        <v>6.388392486792303</v>
      </c>
    </row>
    <row r="931" spans="1:18" x14ac:dyDescent="0.3">
      <c r="A931" s="2">
        <v>3146</v>
      </c>
      <c r="B931" s="41" t="s">
        <v>759</v>
      </c>
      <c r="C931" s="2">
        <v>6</v>
      </c>
      <c r="D931" s="2" t="s">
        <v>81</v>
      </c>
      <c r="E931" s="294">
        <v>375639.03999999998</v>
      </c>
      <c r="F931" s="296">
        <v>412433.33333333331</v>
      </c>
      <c r="G931" s="352">
        <v>6</v>
      </c>
      <c r="H931" s="296">
        <f t="shared" si="174"/>
        <v>2253834.2399999998</v>
      </c>
      <c r="I931" s="122">
        <f t="shared" si="175"/>
        <v>2474600</v>
      </c>
      <c r="J931" s="331">
        <f t="shared" si="176"/>
        <v>220765.76000000024</v>
      </c>
      <c r="K931" s="292">
        <f>'09-RESUMEN'!$F$43/1375</f>
        <v>81431.961035221175</v>
      </c>
      <c r="L931" s="122">
        <f>('ESTADO RESULTADOS'!$C$36+'ESTADO RESULTADOS'!$C$71)/1375</f>
        <v>24762.287272727273</v>
      </c>
      <c r="M931" s="122">
        <v>0</v>
      </c>
      <c r="N931" s="122">
        <f>SUM(H931+K931+L931+M931)</f>
        <v>2360028.4883079482</v>
      </c>
      <c r="O931" s="122">
        <f>N931/G931</f>
        <v>393338.08138465806</v>
      </c>
      <c r="P931" s="336">
        <f t="shared" si="177"/>
        <v>114571.51169205178</v>
      </c>
      <c r="Q931" s="336">
        <f t="shared" si="178"/>
        <v>17699.041384658078</v>
      </c>
      <c r="R931" s="303">
        <f t="shared" si="179"/>
        <v>4.7117151041217865E-2</v>
      </c>
    </row>
    <row r="932" spans="1:18" x14ac:dyDescent="0.3">
      <c r="A932" s="2">
        <v>3147</v>
      </c>
      <c r="B932" s="41" t="s">
        <v>760</v>
      </c>
      <c r="C932" s="2">
        <v>4</v>
      </c>
      <c r="D932" s="2" t="s">
        <v>16</v>
      </c>
      <c r="E932" s="294">
        <v>128187.8</v>
      </c>
      <c r="F932" s="296">
        <v>157000</v>
      </c>
      <c r="G932" s="352">
        <v>6</v>
      </c>
      <c r="H932" s="296">
        <f t="shared" si="174"/>
        <v>769126.8</v>
      </c>
      <c r="I932" s="122">
        <f t="shared" si="175"/>
        <v>942000</v>
      </c>
      <c r="J932" s="331">
        <f t="shared" si="176"/>
        <v>172873.19999999995</v>
      </c>
      <c r="K932" s="292">
        <f>'09-RESUMEN'!$F$43/1375</f>
        <v>81431.961035221175</v>
      </c>
      <c r="L932" s="122">
        <f>('ESTADO RESULTADOS'!$C$36+'ESTADO RESULTADOS'!$C$71)/1375</f>
        <v>24762.287272727273</v>
      </c>
      <c r="M932" s="122">
        <v>0</v>
      </c>
      <c r="N932" s="122">
        <f>SUM(H932+K932+L932+M932)</f>
        <v>875321.0483079484</v>
      </c>
      <c r="O932" s="122">
        <f>N932/G932</f>
        <v>145886.84138465807</v>
      </c>
      <c r="P932" s="336">
        <f t="shared" si="177"/>
        <v>66678.951692051603</v>
      </c>
      <c r="Q932" s="336">
        <f t="shared" si="178"/>
        <v>17699.041384658063</v>
      </c>
      <c r="R932" s="303">
        <f t="shared" si="179"/>
        <v>0.13807118450163014</v>
      </c>
    </row>
    <row r="933" spans="1:18" x14ac:dyDescent="0.3">
      <c r="A933" s="2">
        <v>3152</v>
      </c>
      <c r="B933" s="41" t="s">
        <v>761</v>
      </c>
      <c r="C933" s="2">
        <v>2</v>
      </c>
      <c r="D933" s="2" t="s">
        <v>5</v>
      </c>
      <c r="E933" s="294">
        <v>5880.6799000000001</v>
      </c>
      <c r="F933" s="296">
        <v>6733.333333333333</v>
      </c>
      <c r="G933" s="352">
        <v>23</v>
      </c>
      <c r="H933" s="296">
        <f t="shared" si="174"/>
        <v>135255.63769999999</v>
      </c>
      <c r="I933" s="122">
        <f t="shared" si="175"/>
        <v>154866.66666666666</v>
      </c>
      <c r="J933" s="331">
        <f t="shared" si="176"/>
        <v>19611.028966666665</v>
      </c>
      <c r="K933" s="292">
        <f>'09-RESUMEN'!$F$43/1375</f>
        <v>81431.961035221175</v>
      </c>
      <c r="L933" s="122">
        <f>('ESTADO RESULTADOS'!$C$36+'ESTADO RESULTADOS'!$C$71)/1375</f>
        <v>24762.287272727273</v>
      </c>
      <c r="M933" s="122">
        <v>0</v>
      </c>
      <c r="N933" s="122">
        <f>SUM(H933+K933+L933+M933)</f>
        <v>241449.88600794843</v>
      </c>
      <c r="O933" s="122">
        <f>N933/G933</f>
        <v>10497.821130780367</v>
      </c>
      <c r="P933" s="336">
        <f t="shared" si="177"/>
        <v>-86583.219341281772</v>
      </c>
      <c r="Q933" s="336">
        <f t="shared" si="178"/>
        <v>4617.1412307803666</v>
      </c>
      <c r="R933" s="303">
        <f t="shared" si="179"/>
        <v>0.78513731563256262</v>
      </c>
    </row>
    <row r="934" spans="1:18" x14ac:dyDescent="0.3">
      <c r="A934" s="2">
        <v>3153</v>
      </c>
      <c r="B934" s="41" t="s">
        <v>762</v>
      </c>
      <c r="C934" s="2">
        <v>2</v>
      </c>
      <c r="D934" s="2" t="s">
        <v>5</v>
      </c>
      <c r="E934" s="294">
        <v>11580.7755</v>
      </c>
      <c r="F934" s="296">
        <v>12800</v>
      </c>
      <c r="G934" s="352">
        <v>109</v>
      </c>
      <c r="H934" s="296">
        <f t="shared" si="174"/>
        <v>1262304.5294999999</v>
      </c>
      <c r="I934" s="122">
        <f t="shared" si="175"/>
        <v>1395200</v>
      </c>
      <c r="J934" s="331">
        <f t="shared" si="176"/>
        <v>132895.47050000005</v>
      </c>
      <c r="K934" s="292">
        <f>'09-RESUMEN'!$F$43/1375</f>
        <v>81431.961035221175</v>
      </c>
      <c r="L934" s="122">
        <f>('ESTADO RESULTADOS'!$C$36+'ESTADO RESULTADOS'!$C$71)/1375</f>
        <v>24762.287272727273</v>
      </c>
      <c r="M934" s="122">
        <v>0</v>
      </c>
      <c r="N934" s="122">
        <f>SUM(H934+K934+L934+M934)</f>
        <v>1368498.7778079484</v>
      </c>
      <c r="O934" s="122">
        <f>N934/G934</f>
        <v>12555.034658788518</v>
      </c>
      <c r="P934" s="336">
        <f t="shared" si="177"/>
        <v>26701.222192051588</v>
      </c>
      <c r="Q934" s="336">
        <f t="shared" si="178"/>
        <v>974.25915878851811</v>
      </c>
      <c r="R934" s="303">
        <f t="shared" si="179"/>
        <v>8.4127281354216571E-2</v>
      </c>
    </row>
    <row r="935" spans="1:18" x14ac:dyDescent="0.3">
      <c r="A935" s="2">
        <v>3156</v>
      </c>
      <c r="B935" s="41" t="s">
        <v>763</v>
      </c>
      <c r="C935" s="2">
        <v>14</v>
      </c>
      <c r="D935" s="2" t="s">
        <v>649</v>
      </c>
      <c r="E935" s="294">
        <v>266</v>
      </c>
      <c r="F935" s="296">
        <v>500</v>
      </c>
      <c r="G935" s="352">
        <v>0</v>
      </c>
      <c r="H935" s="296">
        <f t="shared" si="174"/>
        <v>0</v>
      </c>
      <c r="I935" s="122">
        <f t="shared" si="175"/>
        <v>0</v>
      </c>
      <c r="J935" s="331">
        <f t="shared" si="176"/>
        <v>0</v>
      </c>
      <c r="K935" s="292">
        <f>'09-RESUMEN'!$F$43/1375</f>
        <v>81431.961035221175</v>
      </c>
      <c r="L935" s="122">
        <f>('ESTADO RESULTADOS'!$C$36+'ESTADO RESULTADOS'!$C$71)/1375</f>
        <v>24762.287272727273</v>
      </c>
      <c r="M935" s="122">
        <v>0</v>
      </c>
      <c r="N935" s="122">
        <f>SUM(E935+K935+L935+M935)</f>
        <v>106460.24830794845</v>
      </c>
      <c r="O935" s="122">
        <f>N935</f>
        <v>106460.24830794845</v>
      </c>
      <c r="P935" s="336">
        <f t="shared" si="177"/>
        <v>-106460.24830794845</v>
      </c>
      <c r="Q935" s="336">
        <f t="shared" si="178"/>
        <v>106194.24830794845</v>
      </c>
      <c r="R935" s="303">
        <f t="shared" si="179"/>
        <v>399.22649739830246</v>
      </c>
    </row>
    <row r="936" spans="1:18" x14ac:dyDescent="0.3">
      <c r="A936" s="2">
        <v>3159</v>
      </c>
      <c r="B936" s="41" t="s">
        <v>1818</v>
      </c>
      <c r="C936" s="2">
        <v>14</v>
      </c>
      <c r="D936" s="2" t="s">
        <v>12</v>
      </c>
      <c r="E936" s="294">
        <v>3143</v>
      </c>
      <c r="F936" s="296">
        <v>4800</v>
      </c>
      <c r="G936" s="352">
        <v>0</v>
      </c>
      <c r="H936" s="296">
        <f t="shared" si="174"/>
        <v>0</v>
      </c>
      <c r="I936" s="122">
        <f t="shared" si="175"/>
        <v>0</v>
      </c>
      <c r="J936" s="331">
        <f t="shared" si="176"/>
        <v>0</v>
      </c>
      <c r="K936" s="292">
        <f>'09-RESUMEN'!$F$43/1375</f>
        <v>81431.961035221175</v>
      </c>
      <c r="L936" s="122">
        <f>('ESTADO RESULTADOS'!$C$36+'ESTADO RESULTADOS'!$C$71)/1375</f>
        <v>24762.287272727273</v>
      </c>
      <c r="M936" s="122">
        <v>0</v>
      </c>
      <c r="N936" s="122">
        <f>SUM(E936+K936+L936+M936)</f>
        <v>109337.24830794845</v>
      </c>
      <c r="O936" s="122">
        <f>N936</f>
        <v>109337.24830794845</v>
      </c>
      <c r="P936" s="336">
        <f t="shared" si="177"/>
        <v>-109337.24830794845</v>
      </c>
      <c r="Q936" s="336">
        <f t="shared" si="178"/>
        <v>106194.24830794845</v>
      </c>
      <c r="R936" s="303">
        <f t="shared" si="179"/>
        <v>33.787543209655887</v>
      </c>
    </row>
    <row r="937" spans="1:18" x14ac:dyDescent="0.3">
      <c r="A937" s="2">
        <v>3160</v>
      </c>
      <c r="B937" s="41" t="s">
        <v>764</v>
      </c>
      <c r="C937" s="2">
        <v>14</v>
      </c>
      <c r="D937" s="2" t="s">
        <v>742</v>
      </c>
      <c r="E937" s="294">
        <v>222</v>
      </c>
      <c r="F937" s="296">
        <v>400</v>
      </c>
      <c r="G937" s="352">
        <v>6</v>
      </c>
      <c r="H937" s="296">
        <f t="shared" si="174"/>
        <v>1332</v>
      </c>
      <c r="I937" s="122">
        <f t="shared" si="175"/>
        <v>2400</v>
      </c>
      <c r="J937" s="331">
        <f t="shared" si="176"/>
        <v>1068</v>
      </c>
      <c r="K937" s="292">
        <f>'09-RESUMEN'!$F$43/1375</f>
        <v>81431.961035221175</v>
      </c>
      <c r="L937" s="122">
        <f>('ESTADO RESULTADOS'!$C$36+'ESTADO RESULTADOS'!$C$71)/1375</f>
        <v>24762.287272727273</v>
      </c>
      <c r="M937" s="122">
        <v>0</v>
      </c>
      <c r="N937" s="122">
        <f>SUM(H937+K937+L937+M937)</f>
        <v>107526.24830794845</v>
      </c>
      <c r="O937" s="122">
        <f>N937/G937</f>
        <v>17921.041384658074</v>
      </c>
      <c r="P937" s="336">
        <f t="shared" si="177"/>
        <v>-105126.24830794845</v>
      </c>
      <c r="Q937" s="336">
        <f t="shared" si="178"/>
        <v>17699.041384658074</v>
      </c>
      <c r="R937" s="303">
        <f t="shared" si="179"/>
        <v>79.72541164260393</v>
      </c>
    </row>
    <row r="938" spans="1:18" x14ac:dyDescent="0.3">
      <c r="A938" s="2">
        <v>3162</v>
      </c>
      <c r="B938" s="41" t="s">
        <v>766</v>
      </c>
      <c r="C938" s="2">
        <v>14</v>
      </c>
      <c r="D938" s="2" t="s">
        <v>12</v>
      </c>
      <c r="E938" s="294">
        <v>6500</v>
      </c>
      <c r="F938" s="296">
        <v>9500</v>
      </c>
      <c r="G938" s="352">
        <v>0</v>
      </c>
      <c r="H938" s="296">
        <f t="shared" si="174"/>
        <v>0</v>
      </c>
      <c r="I938" s="122">
        <f t="shared" si="175"/>
        <v>0</v>
      </c>
      <c r="J938" s="331">
        <f t="shared" si="176"/>
        <v>0</v>
      </c>
      <c r="K938" s="292">
        <f>'09-RESUMEN'!$F$43/1375</f>
        <v>81431.961035221175</v>
      </c>
      <c r="L938" s="122">
        <f>('ESTADO RESULTADOS'!$C$36+'ESTADO RESULTADOS'!$C$71)/1375</f>
        <v>24762.287272727273</v>
      </c>
      <c r="M938" s="122">
        <v>0</v>
      </c>
      <c r="N938" s="122">
        <f>SUM(E938+K938+L938+M938)</f>
        <v>112694.24830794845</v>
      </c>
      <c r="O938" s="122">
        <f>N938</f>
        <v>112694.24830794845</v>
      </c>
      <c r="P938" s="336">
        <f t="shared" si="177"/>
        <v>-112694.24830794845</v>
      </c>
      <c r="Q938" s="336">
        <f t="shared" si="178"/>
        <v>106194.24830794845</v>
      </c>
      <c r="R938" s="303">
        <f t="shared" si="179"/>
        <v>16.3375766627613</v>
      </c>
    </row>
    <row r="939" spans="1:18" x14ac:dyDescent="0.3">
      <c r="A939" s="2">
        <v>3164</v>
      </c>
      <c r="B939" s="41" t="s">
        <v>767</v>
      </c>
      <c r="C939" s="2">
        <v>6</v>
      </c>
      <c r="D939" s="2" t="s">
        <v>16</v>
      </c>
      <c r="E939" s="294">
        <v>106422.8</v>
      </c>
      <c r="F939" s="296">
        <v>125900</v>
      </c>
      <c r="G939" s="352">
        <v>6</v>
      </c>
      <c r="H939" s="296">
        <f t="shared" si="174"/>
        <v>638536.80000000005</v>
      </c>
      <c r="I939" s="122">
        <f t="shared" si="175"/>
        <v>755400</v>
      </c>
      <c r="J939" s="331">
        <f t="shared" si="176"/>
        <v>116863.19999999995</v>
      </c>
      <c r="K939" s="292">
        <f>'09-RESUMEN'!$F$43/1375</f>
        <v>81431.961035221175</v>
      </c>
      <c r="L939" s="122">
        <f>('ESTADO RESULTADOS'!$C$36+'ESTADO RESULTADOS'!$C$71)/1375</f>
        <v>24762.287272727273</v>
      </c>
      <c r="M939" s="122">
        <v>0</v>
      </c>
      <c r="N939" s="122">
        <f>SUM(H939+K939+L939+M939)</f>
        <v>744731.0483079484</v>
      </c>
      <c r="O939" s="122">
        <f>N939/G939</f>
        <v>124121.84138465807</v>
      </c>
      <c r="P939" s="336">
        <f t="shared" si="177"/>
        <v>10668.951692051603</v>
      </c>
      <c r="Q939" s="336">
        <f t="shared" si="178"/>
        <v>17699.041384658063</v>
      </c>
      <c r="R939" s="303">
        <f t="shared" si="179"/>
        <v>0.16630873632960289</v>
      </c>
    </row>
    <row r="940" spans="1:18" x14ac:dyDescent="0.3">
      <c r="A940" s="2">
        <v>3165</v>
      </c>
      <c r="B940" s="41" t="s">
        <v>768</v>
      </c>
      <c r="C940" s="2">
        <v>14</v>
      </c>
      <c r="D940" s="2" t="s">
        <v>746</v>
      </c>
      <c r="E940" s="294">
        <v>18900</v>
      </c>
      <c r="F940" s="296">
        <v>22800</v>
      </c>
      <c r="G940" s="352">
        <v>0</v>
      </c>
      <c r="H940" s="296">
        <f t="shared" si="174"/>
        <v>0</v>
      </c>
      <c r="I940" s="122">
        <f t="shared" si="175"/>
        <v>0</v>
      </c>
      <c r="J940" s="331">
        <f t="shared" si="176"/>
        <v>0</v>
      </c>
      <c r="K940" s="292">
        <f>'09-RESUMEN'!$F$43/1375</f>
        <v>81431.961035221175</v>
      </c>
      <c r="L940" s="122">
        <f>('ESTADO RESULTADOS'!$C$36+'ESTADO RESULTADOS'!$C$71)/1375</f>
        <v>24762.287272727273</v>
      </c>
      <c r="M940" s="122">
        <v>0</v>
      </c>
      <c r="N940" s="122">
        <f>SUM(E940+K940+L940+M940)</f>
        <v>125094.24830794845</v>
      </c>
      <c r="O940" s="122">
        <f>N940</f>
        <v>125094.24830794845</v>
      </c>
      <c r="P940" s="336">
        <f t="shared" si="177"/>
        <v>-125094.24830794845</v>
      </c>
      <c r="Q940" s="336">
        <f t="shared" si="178"/>
        <v>106194.24830794845</v>
      </c>
      <c r="R940" s="303">
        <f t="shared" si="179"/>
        <v>5.6187432967168496</v>
      </c>
    </row>
    <row r="941" spans="1:18" x14ac:dyDescent="0.3">
      <c r="A941" s="2">
        <v>3168</v>
      </c>
      <c r="B941" s="41" t="s">
        <v>769</v>
      </c>
      <c r="C941" s="2">
        <v>5</v>
      </c>
      <c r="D941" s="2" t="s">
        <v>23</v>
      </c>
      <c r="E941" s="294">
        <v>4950</v>
      </c>
      <c r="F941" s="296">
        <v>7000</v>
      </c>
      <c r="G941" s="352">
        <v>175</v>
      </c>
      <c r="H941" s="296">
        <f t="shared" si="174"/>
        <v>866250</v>
      </c>
      <c r="I941" s="122">
        <f t="shared" si="175"/>
        <v>1225000</v>
      </c>
      <c r="J941" s="331">
        <f t="shared" si="176"/>
        <v>358750</v>
      </c>
      <c r="K941" s="292">
        <f>'09-RESUMEN'!$F$43/1375</f>
        <v>81431.961035221175</v>
      </c>
      <c r="L941" s="122">
        <f>('ESTADO RESULTADOS'!$C$36+'ESTADO RESULTADOS'!$C$71)/1375</f>
        <v>24762.287272727273</v>
      </c>
      <c r="M941" s="122">
        <v>0</v>
      </c>
      <c r="N941" s="122">
        <f>SUM(H941+K941+L941+M941)</f>
        <v>972444.24830794835</v>
      </c>
      <c r="O941" s="122">
        <f>N941/G941</f>
        <v>5556.8242760454195</v>
      </c>
      <c r="P941" s="336">
        <f t="shared" si="177"/>
        <v>252555.75169205165</v>
      </c>
      <c r="Q941" s="336">
        <f t="shared" si="178"/>
        <v>606.82427604541954</v>
      </c>
      <c r="R941" s="303">
        <f t="shared" si="179"/>
        <v>0.1225907628374585</v>
      </c>
    </row>
    <row r="942" spans="1:18" x14ac:dyDescent="0.3">
      <c r="A942" s="2">
        <v>3169</v>
      </c>
      <c r="B942" s="41" t="s">
        <v>770</v>
      </c>
      <c r="C942" s="2">
        <v>14</v>
      </c>
      <c r="D942" s="2" t="s">
        <v>32</v>
      </c>
      <c r="E942" s="294">
        <v>25462</v>
      </c>
      <c r="F942" s="296">
        <v>32666.666666666668</v>
      </c>
      <c r="G942" s="352">
        <v>0</v>
      </c>
      <c r="H942" s="296">
        <f t="shared" si="174"/>
        <v>0</v>
      </c>
      <c r="I942" s="122">
        <f t="shared" si="175"/>
        <v>0</v>
      </c>
      <c r="J942" s="331">
        <f t="shared" si="176"/>
        <v>0</v>
      </c>
      <c r="K942" s="292">
        <f>'09-RESUMEN'!$F$43/1375</f>
        <v>81431.961035221175</v>
      </c>
      <c r="L942" s="122">
        <f>('ESTADO RESULTADOS'!$C$36+'ESTADO RESULTADOS'!$C$71)/1375</f>
        <v>24762.287272727273</v>
      </c>
      <c r="M942" s="122">
        <v>0</v>
      </c>
      <c r="N942" s="122">
        <f>SUM(E942+K942+L942+M942)</f>
        <v>131656.24830794844</v>
      </c>
      <c r="O942" s="122">
        <f>N942</f>
        <v>131656.24830794844</v>
      </c>
      <c r="P942" s="336">
        <f t="shared" si="177"/>
        <v>-131656.24830794844</v>
      </c>
      <c r="Q942" s="336">
        <f t="shared" si="178"/>
        <v>106194.24830794844</v>
      </c>
      <c r="R942" s="303">
        <f t="shared" si="179"/>
        <v>4.1706954798503038</v>
      </c>
    </row>
    <row r="943" spans="1:18" x14ac:dyDescent="0.3">
      <c r="A943" s="2">
        <v>3170</v>
      </c>
      <c r="B943" s="41" t="s">
        <v>771</v>
      </c>
      <c r="C943" s="2">
        <v>14</v>
      </c>
      <c r="D943" s="2" t="s">
        <v>176</v>
      </c>
      <c r="E943" s="294">
        <v>18200</v>
      </c>
      <c r="F943" s="296">
        <v>21600</v>
      </c>
      <c r="G943" s="352">
        <v>3</v>
      </c>
      <c r="H943" s="296">
        <f t="shared" si="174"/>
        <v>54600</v>
      </c>
      <c r="I943" s="122">
        <f t="shared" si="175"/>
        <v>64800</v>
      </c>
      <c r="J943" s="331">
        <f t="shared" si="176"/>
        <v>10200</v>
      </c>
      <c r="K943" s="292">
        <f>'09-RESUMEN'!$F$43/1375</f>
        <v>81431.961035221175</v>
      </c>
      <c r="L943" s="122">
        <f>('ESTADO RESULTADOS'!$C$36+'ESTADO RESULTADOS'!$C$71)/1375</f>
        <v>24762.287272727273</v>
      </c>
      <c r="M943" s="122">
        <v>0</v>
      </c>
      <c r="N943" s="122">
        <f t="shared" ref="N943:N950" si="182">SUM(H943+K943+L943+M943)</f>
        <v>160794.24830794844</v>
      </c>
      <c r="O943" s="122">
        <f t="shared" ref="O943:O950" si="183">N943/G943</f>
        <v>53598.082769316148</v>
      </c>
      <c r="P943" s="336">
        <f t="shared" si="177"/>
        <v>-95994.248307948437</v>
      </c>
      <c r="Q943" s="336">
        <f t="shared" si="178"/>
        <v>35398.082769316148</v>
      </c>
      <c r="R943" s="303">
        <f t="shared" si="179"/>
        <v>1.9449496027096784</v>
      </c>
    </row>
    <row r="944" spans="1:18" x14ac:dyDescent="0.3">
      <c r="A944" s="2">
        <v>3174</v>
      </c>
      <c r="B944" s="41" t="s">
        <v>772</v>
      </c>
      <c r="C944" s="2">
        <v>14</v>
      </c>
      <c r="D944" s="2" t="s">
        <v>81</v>
      </c>
      <c r="E944" s="294">
        <v>128513</v>
      </c>
      <c r="F944" s="296">
        <v>153333.33333333334</v>
      </c>
      <c r="G944" s="352">
        <v>3</v>
      </c>
      <c r="H944" s="296">
        <f t="shared" si="174"/>
        <v>385539</v>
      </c>
      <c r="I944" s="122">
        <f t="shared" si="175"/>
        <v>460000</v>
      </c>
      <c r="J944" s="331">
        <f t="shared" si="176"/>
        <v>74461</v>
      </c>
      <c r="K944" s="292">
        <f>'09-RESUMEN'!$F$43/1375</f>
        <v>81431.961035221175</v>
      </c>
      <c r="L944" s="122">
        <f>('ESTADO RESULTADOS'!$C$36+'ESTADO RESULTADOS'!$C$71)/1375</f>
        <v>24762.287272727273</v>
      </c>
      <c r="M944" s="122">
        <v>0</v>
      </c>
      <c r="N944" s="122">
        <f t="shared" si="182"/>
        <v>491733.24830794847</v>
      </c>
      <c r="O944" s="122">
        <f t="shared" si="183"/>
        <v>163911.08276931616</v>
      </c>
      <c r="P944" s="336">
        <f t="shared" si="177"/>
        <v>-31733.248307948466</v>
      </c>
      <c r="Q944" s="336">
        <f t="shared" si="178"/>
        <v>35398.082769316155</v>
      </c>
      <c r="R944" s="303">
        <f t="shared" si="179"/>
        <v>0.2754435953507906</v>
      </c>
    </row>
    <row r="945" spans="1:18" x14ac:dyDescent="0.3">
      <c r="A945" s="2">
        <v>3176</v>
      </c>
      <c r="B945" s="41" t="s">
        <v>1819</v>
      </c>
      <c r="C945" s="2">
        <v>1</v>
      </c>
      <c r="D945" s="2" t="s">
        <v>243</v>
      </c>
      <c r="E945" s="294">
        <v>130000</v>
      </c>
      <c r="F945" s="296">
        <v>140000</v>
      </c>
      <c r="G945" s="352">
        <v>4</v>
      </c>
      <c r="H945" s="296">
        <f t="shared" si="174"/>
        <v>520000</v>
      </c>
      <c r="I945" s="122">
        <f t="shared" si="175"/>
        <v>560000</v>
      </c>
      <c r="J945" s="331">
        <f t="shared" si="176"/>
        <v>40000</v>
      </c>
      <c r="K945" s="292">
        <f>'09-RESUMEN'!$F$43/1375</f>
        <v>81431.961035221175</v>
      </c>
      <c r="L945" s="122">
        <f>('ESTADO RESULTADOS'!$C$36+'ESTADO RESULTADOS'!$C$71)/1375</f>
        <v>24762.287272727273</v>
      </c>
      <c r="M945" s="122">
        <v>0</v>
      </c>
      <c r="N945" s="122">
        <f t="shared" si="182"/>
        <v>626194.24830794835</v>
      </c>
      <c r="O945" s="122">
        <f t="shared" si="183"/>
        <v>156548.56207698709</v>
      </c>
      <c r="P945" s="336">
        <f t="shared" si="177"/>
        <v>-66194.24830794835</v>
      </c>
      <c r="Q945" s="336">
        <f t="shared" si="178"/>
        <v>26548.562076987087</v>
      </c>
      <c r="R945" s="303">
        <f t="shared" si="179"/>
        <v>0.20421970828451605</v>
      </c>
    </row>
    <row r="946" spans="1:18" x14ac:dyDescent="0.3">
      <c r="A946" s="2">
        <v>3178</v>
      </c>
      <c r="B946" s="41" t="s">
        <v>773</v>
      </c>
      <c r="C946" s="2">
        <v>2</v>
      </c>
      <c r="D946" s="2" t="s">
        <v>5</v>
      </c>
      <c r="E946" s="294">
        <v>17200</v>
      </c>
      <c r="F946" s="296">
        <v>18516.666666666668</v>
      </c>
      <c r="G946" s="352">
        <v>44</v>
      </c>
      <c r="H946" s="296">
        <f t="shared" si="174"/>
        <v>756800</v>
      </c>
      <c r="I946" s="122">
        <f t="shared" si="175"/>
        <v>814733.33333333337</v>
      </c>
      <c r="J946" s="331">
        <f t="shared" si="176"/>
        <v>57933.333333333372</v>
      </c>
      <c r="K946" s="292">
        <f>'09-RESUMEN'!$F$43/1375</f>
        <v>81431.961035221175</v>
      </c>
      <c r="L946" s="122">
        <f>('ESTADO RESULTADOS'!$C$36+'ESTADO RESULTADOS'!$C$71)/1375</f>
        <v>24762.287272727273</v>
      </c>
      <c r="M946" s="122">
        <v>0</v>
      </c>
      <c r="N946" s="122">
        <f t="shared" si="182"/>
        <v>862994.24830794835</v>
      </c>
      <c r="O946" s="122">
        <f t="shared" si="183"/>
        <v>19613.505643362463</v>
      </c>
      <c r="P946" s="336">
        <f t="shared" si="177"/>
        <v>-48260.914974614978</v>
      </c>
      <c r="Q946" s="336">
        <f t="shared" si="178"/>
        <v>2413.5056433624632</v>
      </c>
      <c r="R946" s="303">
        <f t="shared" si="179"/>
        <v>0.14032009554432925</v>
      </c>
    </row>
    <row r="947" spans="1:18" x14ac:dyDescent="0.3">
      <c r="A947" s="2">
        <v>3179</v>
      </c>
      <c r="B947" s="41" t="s">
        <v>774</v>
      </c>
      <c r="C947" s="2">
        <v>2</v>
      </c>
      <c r="D947" s="2" t="s">
        <v>5</v>
      </c>
      <c r="E947" s="294">
        <v>13700</v>
      </c>
      <c r="F947" s="296">
        <v>15000</v>
      </c>
      <c r="G947" s="352">
        <v>31</v>
      </c>
      <c r="H947" s="296">
        <f t="shared" si="174"/>
        <v>424700</v>
      </c>
      <c r="I947" s="122">
        <f t="shared" si="175"/>
        <v>465000</v>
      </c>
      <c r="J947" s="331">
        <f t="shared" si="176"/>
        <v>40300</v>
      </c>
      <c r="K947" s="292">
        <f>'09-RESUMEN'!$F$43/1375</f>
        <v>81431.961035221175</v>
      </c>
      <c r="L947" s="122">
        <f>('ESTADO RESULTADOS'!$C$36+'ESTADO RESULTADOS'!$C$71)/1375</f>
        <v>24762.287272727273</v>
      </c>
      <c r="M947" s="122">
        <v>0</v>
      </c>
      <c r="N947" s="122">
        <f t="shared" si="182"/>
        <v>530894.24830794847</v>
      </c>
      <c r="O947" s="122">
        <f t="shared" si="183"/>
        <v>17125.62091315963</v>
      </c>
      <c r="P947" s="336">
        <f t="shared" si="177"/>
        <v>-65894.248307948466</v>
      </c>
      <c r="Q947" s="336">
        <f t="shared" si="178"/>
        <v>3425.6209131596297</v>
      </c>
      <c r="R947" s="303">
        <f t="shared" si="179"/>
        <v>0.25004532212844011</v>
      </c>
    </row>
    <row r="948" spans="1:18" x14ac:dyDescent="0.3">
      <c r="A948" s="2">
        <v>3181</v>
      </c>
      <c r="B948" s="41" t="s">
        <v>775</v>
      </c>
      <c r="C948" s="2">
        <v>5</v>
      </c>
      <c r="D948" s="2" t="s">
        <v>16</v>
      </c>
      <c r="E948" s="294">
        <v>18629.032299999999</v>
      </c>
      <c r="F948" s="296">
        <v>22500</v>
      </c>
      <c r="G948" s="352">
        <v>22</v>
      </c>
      <c r="H948" s="296">
        <f t="shared" si="174"/>
        <v>409838.71059999999</v>
      </c>
      <c r="I948" s="122">
        <f t="shared" si="175"/>
        <v>495000</v>
      </c>
      <c r="J948" s="331">
        <f t="shared" si="176"/>
        <v>85161.289400000009</v>
      </c>
      <c r="K948" s="292">
        <f>'09-RESUMEN'!$F$43/1375</f>
        <v>81431.961035221175</v>
      </c>
      <c r="L948" s="122">
        <f>('ESTADO RESULTADOS'!$C$36+'ESTADO RESULTADOS'!$C$71)/1375</f>
        <v>24762.287272727273</v>
      </c>
      <c r="M948" s="122">
        <v>0</v>
      </c>
      <c r="N948" s="122">
        <f t="shared" si="182"/>
        <v>516032.95890794846</v>
      </c>
      <c r="O948" s="122">
        <f t="shared" si="183"/>
        <v>23456.043586724929</v>
      </c>
      <c r="P948" s="336">
        <f t="shared" si="177"/>
        <v>-21032.958907948458</v>
      </c>
      <c r="Q948" s="336">
        <f t="shared" si="178"/>
        <v>4827.01128672493</v>
      </c>
      <c r="R948" s="303">
        <f t="shared" si="179"/>
        <v>0.25911229359589066</v>
      </c>
    </row>
    <row r="949" spans="1:18" x14ac:dyDescent="0.3">
      <c r="A949" s="2">
        <v>3182</v>
      </c>
      <c r="B949" s="41" t="s">
        <v>776</v>
      </c>
      <c r="C949" s="2">
        <v>5</v>
      </c>
      <c r="D949" s="2" t="s">
        <v>16</v>
      </c>
      <c r="E949" s="294">
        <v>35900</v>
      </c>
      <c r="F949" s="296">
        <v>42000</v>
      </c>
      <c r="G949" s="352">
        <v>11</v>
      </c>
      <c r="H949" s="296">
        <f t="shared" si="174"/>
        <v>394900</v>
      </c>
      <c r="I949" s="122">
        <f t="shared" si="175"/>
        <v>462000</v>
      </c>
      <c r="J949" s="331">
        <f t="shared" si="176"/>
        <v>67100</v>
      </c>
      <c r="K949" s="292">
        <f>'09-RESUMEN'!$F$43/1375</f>
        <v>81431.961035221175</v>
      </c>
      <c r="L949" s="122">
        <f>('ESTADO RESULTADOS'!$C$36+'ESTADO RESULTADOS'!$C$71)/1375</f>
        <v>24762.287272727273</v>
      </c>
      <c r="M949" s="122">
        <v>0</v>
      </c>
      <c r="N949" s="122">
        <f t="shared" si="182"/>
        <v>501094.24830794847</v>
      </c>
      <c r="O949" s="122">
        <f t="shared" si="183"/>
        <v>45554.02257344986</v>
      </c>
      <c r="P949" s="336">
        <f t="shared" si="177"/>
        <v>-39094.248307948466</v>
      </c>
      <c r="Q949" s="336">
        <f t="shared" si="178"/>
        <v>9654.0225734498599</v>
      </c>
      <c r="R949" s="303">
        <f t="shared" si="179"/>
        <v>0.2689142778119738</v>
      </c>
    </row>
    <row r="950" spans="1:18" x14ac:dyDescent="0.3">
      <c r="A950" s="2">
        <v>3183</v>
      </c>
      <c r="B950" s="41" t="s">
        <v>777</v>
      </c>
      <c r="C950" s="2">
        <v>8</v>
      </c>
      <c r="D950" s="2" t="s">
        <v>757</v>
      </c>
      <c r="E950" s="294">
        <v>499950</v>
      </c>
      <c r="F950" s="296">
        <v>559666.66666666663</v>
      </c>
      <c r="G950" s="352">
        <v>10</v>
      </c>
      <c r="H950" s="296">
        <f t="shared" si="174"/>
        <v>4999500</v>
      </c>
      <c r="I950" s="122">
        <f t="shared" si="175"/>
        <v>5596666.666666666</v>
      </c>
      <c r="J950" s="331">
        <f t="shared" si="176"/>
        <v>597166.66666666605</v>
      </c>
      <c r="K950" s="292">
        <f>'09-RESUMEN'!$F$43/1375</f>
        <v>81431.961035221175</v>
      </c>
      <c r="L950" s="122">
        <f>('ESTADO RESULTADOS'!$C$36+'ESTADO RESULTADOS'!$C$71)/1375</f>
        <v>24762.287272727273</v>
      </c>
      <c r="M950" s="122">
        <v>0</v>
      </c>
      <c r="N950" s="122">
        <f t="shared" si="182"/>
        <v>5105694.248307948</v>
      </c>
      <c r="O950" s="122">
        <f t="shared" si="183"/>
        <v>510569.4248307948</v>
      </c>
      <c r="P950" s="336">
        <f t="shared" si="177"/>
        <v>490972.41835871805</v>
      </c>
      <c r="Q950" s="336">
        <f t="shared" si="178"/>
        <v>10619.4248307948</v>
      </c>
      <c r="R950" s="303">
        <f t="shared" si="179"/>
        <v>2.1240973758965498E-2</v>
      </c>
    </row>
    <row r="951" spans="1:18" x14ac:dyDescent="0.3">
      <c r="A951" s="2">
        <v>3184</v>
      </c>
      <c r="B951" s="41" t="s">
        <v>778</v>
      </c>
      <c r="C951" s="2">
        <v>14</v>
      </c>
      <c r="D951" s="2" t="s">
        <v>16</v>
      </c>
      <c r="E951" s="294">
        <v>26500</v>
      </c>
      <c r="F951" s="296">
        <v>33000</v>
      </c>
      <c r="G951" s="352">
        <v>0</v>
      </c>
      <c r="H951" s="296">
        <f t="shared" si="174"/>
        <v>0</v>
      </c>
      <c r="I951" s="122">
        <f t="shared" si="175"/>
        <v>0</v>
      </c>
      <c r="J951" s="331">
        <f t="shared" si="176"/>
        <v>0</v>
      </c>
      <c r="K951" s="292">
        <f>'09-RESUMEN'!$F$43/1375</f>
        <v>81431.961035221175</v>
      </c>
      <c r="L951" s="122">
        <f>('ESTADO RESULTADOS'!$C$36+'ESTADO RESULTADOS'!$C$71)/1375</f>
        <v>24762.287272727273</v>
      </c>
      <c r="M951" s="122">
        <v>0</v>
      </c>
      <c r="N951" s="122">
        <f>SUM(E951+K951+L951+M951)</f>
        <v>132694.24830794844</v>
      </c>
      <c r="O951" s="122">
        <f>N951</f>
        <v>132694.24830794844</v>
      </c>
      <c r="P951" s="336">
        <f t="shared" si="177"/>
        <v>-132694.24830794844</v>
      </c>
      <c r="Q951" s="336">
        <f t="shared" si="178"/>
        <v>106194.24830794844</v>
      </c>
      <c r="R951" s="303">
        <f t="shared" si="179"/>
        <v>4.0073301248282434</v>
      </c>
    </row>
    <row r="952" spans="1:18" x14ac:dyDescent="0.3">
      <c r="A952" s="2">
        <v>3185</v>
      </c>
      <c r="B952" s="41" t="s">
        <v>779</v>
      </c>
      <c r="C952" s="2">
        <v>14</v>
      </c>
      <c r="D952" s="2" t="s">
        <v>12</v>
      </c>
      <c r="E952" s="294">
        <v>3164.625</v>
      </c>
      <c r="F952" s="296">
        <v>3800</v>
      </c>
      <c r="G952" s="352">
        <v>61</v>
      </c>
      <c r="H952" s="296">
        <f t="shared" si="174"/>
        <v>193042.125</v>
      </c>
      <c r="I952" s="122">
        <f t="shared" si="175"/>
        <v>231800</v>
      </c>
      <c r="J952" s="331">
        <f t="shared" si="176"/>
        <v>38757.875</v>
      </c>
      <c r="K952" s="292">
        <f>'09-RESUMEN'!$F$43/1375</f>
        <v>81431.961035221175</v>
      </c>
      <c r="L952" s="122">
        <f>('ESTADO RESULTADOS'!$C$36+'ESTADO RESULTADOS'!$C$71)/1375</f>
        <v>24762.287272727273</v>
      </c>
      <c r="M952" s="122">
        <v>0</v>
      </c>
      <c r="N952" s="122">
        <f>SUM(H952+K952+L952+M952)</f>
        <v>299236.37330794847</v>
      </c>
      <c r="O952" s="122">
        <f>N952/G952</f>
        <v>4905.514316523745</v>
      </c>
      <c r="P952" s="336">
        <f t="shared" si="177"/>
        <v>-67436.373307948466</v>
      </c>
      <c r="Q952" s="336">
        <f t="shared" si="178"/>
        <v>1740.889316523745</v>
      </c>
      <c r="R952" s="303">
        <f t="shared" si="179"/>
        <v>0.55010919667377489</v>
      </c>
    </row>
    <row r="953" spans="1:18" x14ac:dyDescent="0.3">
      <c r="A953" s="2">
        <v>3188</v>
      </c>
      <c r="B953" s="41" t="s">
        <v>780</v>
      </c>
      <c r="C953" s="2">
        <v>5</v>
      </c>
      <c r="D953" s="2" t="s">
        <v>5</v>
      </c>
      <c r="E953" s="294">
        <v>110000</v>
      </c>
      <c r="F953" s="296">
        <v>138333</v>
      </c>
      <c r="G953" s="352">
        <v>69</v>
      </c>
      <c r="H953" s="296">
        <f t="shared" si="174"/>
        <v>7590000</v>
      </c>
      <c r="I953" s="122">
        <f t="shared" si="175"/>
        <v>9544977</v>
      </c>
      <c r="J953" s="331">
        <f t="shared" si="176"/>
        <v>1954977</v>
      </c>
      <c r="K953" s="292">
        <f>'09-RESUMEN'!$F$43/1375</f>
        <v>81431.961035221175</v>
      </c>
      <c r="L953" s="122">
        <f>('ESTADO RESULTADOS'!$C$36+'ESTADO RESULTADOS'!$C$71)/1375</f>
        <v>24762.287272727273</v>
      </c>
      <c r="M953" s="122">
        <v>0</v>
      </c>
      <c r="N953" s="122">
        <f>SUM(H953+K953+L953+M953)</f>
        <v>7696194.248307948</v>
      </c>
      <c r="O953" s="122">
        <f>N953/G953</f>
        <v>111539.04707692678</v>
      </c>
      <c r="P953" s="336">
        <f t="shared" si="177"/>
        <v>1848782.751692052</v>
      </c>
      <c r="Q953" s="336">
        <f t="shared" si="178"/>
        <v>1539.0470769267849</v>
      </c>
      <c r="R953" s="303">
        <f t="shared" si="179"/>
        <v>1.3991337062970772E-2</v>
      </c>
    </row>
    <row r="954" spans="1:18" x14ac:dyDescent="0.3">
      <c r="A954" s="2">
        <v>3190</v>
      </c>
      <c r="B954" s="41" t="s">
        <v>781</v>
      </c>
      <c r="C954" s="2">
        <v>9</v>
      </c>
      <c r="D954" s="2" t="s">
        <v>338</v>
      </c>
      <c r="E954" s="294">
        <v>434.50470000000001</v>
      </c>
      <c r="F954" s="296">
        <v>700</v>
      </c>
      <c r="G954" s="352">
        <v>181</v>
      </c>
      <c r="H954" s="296">
        <f t="shared" si="174"/>
        <v>78645.350699999995</v>
      </c>
      <c r="I954" s="122">
        <f t="shared" si="175"/>
        <v>126700</v>
      </c>
      <c r="J954" s="331">
        <f t="shared" si="176"/>
        <v>48054.649300000005</v>
      </c>
      <c r="K954" s="292">
        <f>'09-RESUMEN'!$F$43/1375</f>
        <v>81431.961035221175</v>
      </c>
      <c r="L954" s="122">
        <f>('ESTADO RESULTADOS'!$C$36+'ESTADO RESULTADOS'!$C$71)/1375</f>
        <v>24762.287272727273</v>
      </c>
      <c r="M954" s="122">
        <v>0</v>
      </c>
      <c r="N954" s="122">
        <f>SUM(H954+K954+L954+M954)</f>
        <v>184839.59900794845</v>
      </c>
      <c r="O954" s="122">
        <f>N954/G954</f>
        <v>1021.2132541875604</v>
      </c>
      <c r="P954" s="336">
        <f t="shared" si="177"/>
        <v>-58139.599007948447</v>
      </c>
      <c r="Q954" s="336">
        <f t="shared" si="178"/>
        <v>586.70855418756037</v>
      </c>
      <c r="R954" s="303">
        <f t="shared" si="179"/>
        <v>1.3502927682659367</v>
      </c>
    </row>
    <row r="955" spans="1:18" x14ac:dyDescent="0.3">
      <c r="A955" s="2">
        <v>3191</v>
      </c>
      <c r="B955" s="41" t="s">
        <v>782</v>
      </c>
      <c r="C955" s="2">
        <v>9</v>
      </c>
      <c r="D955" s="2" t="s">
        <v>12</v>
      </c>
      <c r="E955" s="294">
        <v>162792</v>
      </c>
      <c r="F955" s="296">
        <v>186200</v>
      </c>
      <c r="G955" s="352">
        <v>0</v>
      </c>
      <c r="H955" s="296">
        <f t="shared" si="174"/>
        <v>0</v>
      </c>
      <c r="I955" s="122">
        <f t="shared" si="175"/>
        <v>0</v>
      </c>
      <c r="J955" s="331">
        <f t="shared" si="176"/>
        <v>0</v>
      </c>
      <c r="K955" s="292">
        <f>'09-RESUMEN'!$F$43/1375</f>
        <v>81431.961035221175</v>
      </c>
      <c r="L955" s="122">
        <f>('ESTADO RESULTADOS'!$C$36+'ESTADO RESULTADOS'!$C$71)/1375</f>
        <v>24762.287272727273</v>
      </c>
      <c r="M955" s="122">
        <v>0</v>
      </c>
      <c r="N955" s="122">
        <f t="shared" ref="N955:N962" si="184">SUM(E955+K955+L955+M955)</f>
        <v>268986.24830794847</v>
      </c>
      <c r="O955" s="122">
        <f t="shared" ref="O955:O962" si="185">N955</f>
        <v>268986.24830794847</v>
      </c>
      <c r="P955" s="336">
        <f t="shared" si="177"/>
        <v>-268986.24830794847</v>
      </c>
      <c r="Q955" s="336">
        <f t="shared" si="178"/>
        <v>106194.24830794847</v>
      </c>
      <c r="R955" s="303">
        <f t="shared" si="179"/>
        <v>0.65233087810180146</v>
      </c>
    </row>
    <row r="956" spans="1:18" x14ac:dyDescent="0.3">
      <c r="A956" s="2">
        <v>3192</v>
      </c>
      <c r="B956" s="41" t="s">
        <v>783</v>
      </c>
      <c r="C956" s="2">
        <v>9</v>
      </c>
      <c r="D956" s="2" t="s">
        <v>12</v>
      </c>
      <c r="E956" s="294">
        <v>162792</v>
      </c>
      <c r="F956" s="296">
        <v>186200</v>
      </c>
      <c r="G956" s="352">
        <v>0</v>
      </c>
      <c r="H956" s="296">
        <f t="shared" si="174"/>
        <v>0</v>
      </c>
      <c r="I956" s="122">
        <f t="shared" si="175"/>
        <v>0</v>
      </c>
      <c r="J956" s="331">
        <f t="shared" si="176"/>
        <v>0</v>
      </c>
      <c r="K956" s="292">
        <f>'09-RESUMEN'!$F$43/1375</f>
        <v>81431.961035221175</v>
      </c>
      <c r="L956" s="122">
        <f>('ESTADO RESULTADOS'!$C$36+'ESTADO RESULTADOS'!$C$71)/1375</f>
        <v>24762.287272727273</v>
      </c>
      <c r="M956" s="122">
        <v>0</v>
      </c>
      <c r="N956" s="122">
        <f t="shared" si="184"/>
        <v>268986.24830794847</v>
      </c>
      <c r="O956" s="122">
        <f t="shared" si="185"/>
        <v>268986.24830794847</v>
      </c>
      <c r="P956" s="336">
        <f t="shared" si="177"/>
        <v>-268986.24830794847</v>
      </c>
      <c r="Q956" s="336">
        <f t="shared" si="178"/>
        <v>106194.24830794847</v>
      </c>
      <c r="R956" s="303">
        <f t="shared" si="179"/>
        <v>0.65233087810180146</v>
      </c>
    </row>
    <row r="957" spans="1:18" x14ac:dyDescent="0.3">
      <c r="A957" s="2">
        <v>3193</v>
      </c>
      <c r="B957" s="41" t="s">
        <v>784</v>
      </c>
      <c r="C957" s="2">
        <v>9</v>
      </c>
      <c r="D957" s="2" t="s">
        <v>765</v>
      </c>
      <c r="E957" s="294">
        <v>162792</v>
      </c>
      <c r="F957" s="296">
        <v>186200</v>
      </c>
      <c r="G957" s="352">
        <v>0</v>
      </c>
      <c r="H957" s="296">
        <f t="shared" si="174"/>
        <v>0</v>
      </c>
      <c r="I957" s="122">
        <f t="shared" si="175"/>
        <v>0</v>
      </c>
      <c r="J957" s="331">
        <f t="shared" si="176"/>
        <v>0</v>
      </c>
      <c r="K957" s="292">
        <f>'09-RESUMEN'!$F$43/1375</f>
        <v>81431.961035221175</v>
      </c>
      <c r="L957" s="122">
        <f>('ESTADO RESULTADOS'!$C$36+'ESTADO RESULTADOS'!$C$71)/1375</f>
        <v>24762.287272727273</v>
      </c>
      <c r="M957" s="122">
        <v>0</v>
      </c>
      <c r="N957" s="122">
        <f t="shared" si="184"/>
        <v>268986.24830794847</v>
      </c>
      <c r="O957" s="122">
        <f t="shared" si="185"/>
        <v>268986.24830794847</v>
      </c>
      <c r="P957" s="336">
        <f t="shared" si="177"/>
        <v>-268986.24830794847</v>
      </c>
      <c r="Q957" s="336">
        <f t="shared" si="178"/>
        <v>106194.24830794847</v>
      </c>
      <c r="R957" s="303">
        <f t="shared" si="179"/>
        <v>0.65233087810180146</v>
      </c>
    </row>
    <row r="958" spans="1:18" x14ac:dyDescent="0.3">
      <c r="A958" s="2">
        <v>3194</v>
      </c>
      <c r="B958" s="41" t="s">
        <v>785</v>
      </c>
      <c r="C958" s="2">
        <v>9</v>
      </c>
      <c r="D958" s="2" t="s">
        <v>765</v>
      </c>
      <c r="E958" s="294">
        <v>162792</v>
      </c>
      <c r="F958" s="296">
        <v>186200</v>
      </c>
      <c r="G958" s="352">
        <v>0</v>
      </c>
      <c r="H958" s="296">
        <f t="shared" si="174"/>
        <v>0</v>
      </c>
      <c r="I958" s="122">
        <f t="shared" si="175"/>
        <v>0</v>
      </c>
      <c r="J958" s="331">
        <f t="shared" si="176"/>
        <v>0</v>
      </c>
      <c r="K958" s="292">
        <f>'09-RESUMEN'!$F$43/1375</f>
        <v>81431.961035221175</v>
      </c>
      <c r="L958" s="122">
        <f>('ESTADO RESULTADOS'!$C$36+'ESTADO RESULTADOS'!$C$71)/1375</f>
        <v>24762.287272727273</v>
      </c>
      <c r="M958" s="122">
        <v>0</v>
      </c>
      <c r="N958" s="122">
        <f t="shared" si="184"/>
        <v>268986.24830794847</v>
      </c>
      <c r="O958" s="122">
        <f t="shared" si="185"/>
        <v>268986.24830794847</v>
      </c>
      <c r="P958" s="336">
        <f t="shared" si="177"/>
        <v>-268986.24830794847</v>
      </c>
      <c r="Q958" s="336">
        <f t="shared" si="178"/>
        <v>106194.24830794847</v>
      </c>
      <c r="R958" s="303">
        <f t="shared" si="179"/>
        <v>0.65233087810180146</v>
      </c>
    </row>
    <row r="959" spans="1:18" x14ac:dyDescent="0.3">
      <c r="A959" s="2">
        <v>3196</v>
      </c>
      <c r="B959" s="41" t="s">
        <v>786</v>
      </c>
      <c r="C959" s="2">
        <v>14</v>
      </c>
      <c r="D959" s="2" t="s">
        <v>81</v>
      </c>
      <c r="E959" s="294">
        <v>40900</v>
      </c>
      <c r="F959" s="296">
        <v>48500</v>
      </c>
      <c r="G959" s="352">
        <v>0</v>
      </c>
      <c r="H959" s="296">
        <f t="shared" si="174"/>
        <v>0</v>
      </c>
      <c r="I959" s="122">
        <f t="shared" si="175"/>
        <v>0</v>
      </c>
      <c r="J959" s="331">
        <f t="shared" si="176"/>
        <v>0</v>
      </c>
      <c r="K959" s="292">
        <f>'09-RESUMEN'!$F$43/1375</f>
        <v>81431.961035221175</v>
      </c>
      <c r="L959" s="122">
        <f>('ESTADO RESULTADOS'!$C$36+'ESTADO RESULTADOS'!$C$71)/1375</f>
        <v>24762.287272727273</v>
      </c>
      <c r="M959" s="122">
        <v>0</v>
      </c>
      <c r="N959" s="122">
        <f t="shared" si="184"/>
        <v>147094.24830794844</v>
      </c>
      <c r="O959" s="122">
        <f t="shared" si="185"/>
        <v>147094.24830794844</v>
      </c>
      <c r="P959" s="336">
        <f t="shared" si="177"/>
        <v>-147094.24830794844</v>
      </c>
      <c r="Q959" s="336">
        <f t="shared" si="178"/>
        <v>106194.24830794844</v>
      </c>
      <c r="R959" s="303">
        <f t="shared" si="179"/>
        <v>2.5964363889473945</v>
      </c>
    </row>
    <row r="960" spans="1:18" x14ac:dyDescent="0.3">
      <c r="A960" s="2">
        <v>3198</v>
      </c>
      <c r="B960" s="41" t="s">
        <v>1820</v>
      </c>
      <c r="C960" s="2">
        <v>14</v>
      </c>
      <c r="D960" s="2" t="s">
        <v>81</v>
      </c>
      <c r="E960" s="294">
        <v>47600</v>
      </c>
      <c r="F960" s="296">
        <v>53500</v>
      </c>
      <c r="G960" s="352">
        <v>0</v>
      </c>
      <c r="H960" s="296">
        <f t="shared" si="174"/>
        <v>0</v>
      </c>
      <c r="I960" s="122">
        <f t="shared" si="175"/>
        <v>0</v>
      </c>
      <c r="J960" s="331">
        <f t="shared" si="176"/>
        <v>0</v>
      </c>
      <c r="K960" s="292">
        <f>'09-RESUMEN'!$F$43/1375</f>
        <v>81431.961035221175</v>
      </c>
      <c r="L960" s="122">
        <f>('ESTADO RESULTADOS'!$C$36+'ESTADO RESULTADOS'!$C$71)/1375</f>
        <v>24762.287272727273</v>
      </c>
      <c r="M960" s="122">
        <v>0</v>
      </c>
      <c r="N960" s="122">
        <f t="shared" si="184"/>
        <v>153794.24830794844</v>
      </c>
      <c r="O960" s="122">
        <f t="shared" si="185"/>
        <v>153794.24830794844</v>
      </c>
      <c r="P960" s="336">
        <f t="shared" si="177"/>
        <v>-153794.24830794844</v>
      </c>
      <c r="Q960" s="336">
        <f t="shared" si="178"/>
        <v>106194.24830794844</v>
      </c>
      <c r="R960" s="303">
        <f t="shared" si="179"/>
        <v>2.2309716031081606</v>
      </c>
    </row>
    <row r="961" spans="1:18" x14ac:dyDescent="0.3">
      <c r="A961" s="2">
        <v>3200</v>
      </c>
      <c r="B961" s="41" t="s">
        <v>787</v>
      </c>
      <c r="C961" s="2">
        <v>9</v>
      </c>
      <c r="D961" s="2" t="s">
        <v>227</v>
      </c>
      <c r="E961" s="294">
        <v>162792</v>
      </c>
      <c r="F961" s="296">
        <v>186200</v>
      </c>
      <c r="G961" s="352">
        <v>0</v>
      </c>
      <c r="H961" s="296">
        <f t="shared" si="174"/>
        <v>0</v>
      </c>
      <c r="I961" s="122">
        <f t="shared" si="175"/>
        <v>0</v>
      </c>
      <c r="J961" s="331">
        <f t="shared" si="176"/>
        <v>0</v>
      </c>
      <c r="K961" s="292">
        <f>'09-RESUMEN'!$F$43/1375</f>
        <v>81431.961035221175</v>
      </c>
      <c r="L961" s="122">
        <f>('ESTADO RESULTADOS'!$C$36+'ESTADO RESULTADOS'!$C$71)/1375</f>
        <v>24762.287272727273</v>
      </c>
      <c r="M961" s="122">
        <v>0</v>
      </c>
      <c r="N961" s="122">
        <f t="shared" si="184"/>
        <v>268986.24830794847</v>
      </c>
      <c r="O961" s="122">
        <f t="shared" si="185"/>
        <v>268986.24830794847</v>
      </c>
      <c r="P961" s="336">
        <f t="shared" si="177"/>
        <v>-268986.24830794847</v>
      </c>
      <c r="Q961" s="336">
        <f t="shared" si="178"/>
        <v>106194.24830794847</v>
      </c>
      <c r="R961" s="303">
        <f t="shared" si="179"/>
        <v>0.65233087810180146</v>
      </c>
    </row>
    <row r="962" spans="1:18" x14ac:dyDescent="0.3">
      <c r="A962" s="2">
        <v>3201</v>
      </c>
      <c r="B962" s="41" t="s">
        <v>788</v>
      </c>
      <c r="C962" s="2">
        <v>9</v>
      </c>
      <c r="D962" s="2" t="s">
        <v>227</v>
      </c>
      <c r="E962" s="294">
        <v>162792</v>
      </c>
      <c r="F962" s="296">
        <v>186200</v>
      </c>
      <c r="G962" s="352">
        <v>0</v>
      </c>
      <c r="H962" s="296">
        <f t="shared" si="174"/>
        <v>0</v>
      </c>
      <c r="I962" s="122">
        <f t="shared" si="175"/>
        <v>0</v>
      </c>
      <c r="J962" s="331">
        <f t="shared" si="176"/>
        <v>0</v>
      </c>
      <c r="K962" s="292">
        <f>'09-RESUMEN'!$F$43/1375</f>
        <v>81431.961035221175</v>
      </c>
      <c r="L962" s="122">
        <f>('ESTADO RESULTADOS'!$C$36+'ESTADO RESULTADOS'!$C$71)/1375</f>
        <v>24762.287272727273</v>
      </c>
      <c r="M962" s="122">
        <v>0</v>
      </c>
      <c r="N962" s="122">
        <f t="shared" si="184"/>
        <v>268986.24830794847</v>
      </c>
      <c r="O962" s="122">
        <f t="shared" si="185"/>
        <v>268986.24830794847</v>
      </c>
      <c r="P962" s="336">
        <f t="shared" si="177"/>
        <v>-268986.24830794847</v>
      </c>
      <c r="Q962" s="336">
        <f t="shared" si="178"/>
        <v>106194.24830794847</v>
      </c>
      <c r="R962" s="303">
        <f t="shared" si="179"/>
        <v>0.65233087810180146</v>
      </c>
    </row>
    <row r="963" spans="1:18" x14ac:dyDescent="0.3">
      <c r="A963" s="2">
        <v>3202</v>
      </c>
      <c r="B963" s="41" t="s">
        <v>789</v>
      </c>
      <c r="C963" s="2">
        <v>2</v>
      </c>
      <c r="D963" s="2" t="s">
        <v>35</v>
      </c>
      <c r="E963" s="294">
        <v>3098.9007000000001</v>
      </c>
      <c r="F963" s="296">
        <v>3683.3333333333335</v>
      </c>
      <c r="G963" s="352">
        <v>141</v>
      </c>
      <c r="H963" s="296">
        <f t="shared" si="174"/>
        <v>436944.9987</v>
      </c>
      <c r="I963" s="122">
        <f t="shared" si="175"/>
        <v>519350</v>
      </c>
      <c r="J963" s="331">
        <f t="shared" si="176"/>
        <v>82405.001300000004</v>
      </c>
      <c r="K963" s="292">
        <f>'09-RESUMEN'!$F$43/1375</f>
        <v>81431.961035221175</v>
      </c>
      <c r="L963" s="122">
        <f>('ESTADO RESULTADOS'!$C$36+'ESTADO RESULTADOS'!$C$71)/1375</f>
        <v>24762.287272727273</v>
      </c>
      <c r="M963" s="122">
        <v>0</v>
      </c>
      <c r="N963" s="122">
        <f>SUM(H963+K963+L963+M963)</f>
        <v>543139.24700794846</v>
      </c>
      <c r="O963" s="122">
        <f>N963/G963</f>
        <v>3852.0513972194926</v>
      </c>
      <c r="P963" s="336">
        <f t="shared" si="177"/>
        <v>-23789.247007948463</v>
      </c>
      <c r="Q963" s="336">
        <f t="shared" si="178"/>
        <v>753.15069721949249</v>
      </c>
      <c r="R963" s="303">
        <f t="shared" si="179"/>
        <v>0.24303802223139723</v>
      </c>
    </row>
    <row r="964" spans="1:18" x14ac:dyDescent="0.3">
      <c r="A964" s="2">
        <v>3203</v>
      </c>
      <c r="B964" s="41" t="s">
        <v>790</v>
      </c>
      <c r="C964" s="2">
        <v>2</v>
      </c>
      <c r="D964" s="2" t="s">
        <v>5</v>
      </c>
      <c r="E964" s="294">
        <v>47578.754999999997</v>
      </c>
      <c r="F964" s="296">
        <v>50933.333333333336</v>
      </c>
      <c r="G964" s="352">
        <v>34</v>
      </c>
      <c r="H964" s="296">
        <f t="shared" ref="H964:H1027" si="186">E964*G964</f>
        <v>1617677.67</v>
      </c>
      <c r="I964" s="122">
        <f t="shared" ref="I964:I1027" si="187">F964*G964</f>
        <v>1731733.3333333335</v>
      </c>
      <c r="J964" s="331">
        <f t="shared" ref="J964:J1027" si="188">I964-H964</f>
        <v>114055.66333333356</v>
      </c>
      <c r="K964" s="292">
        <f>'09-RESUMEN'!$F$43/1375</f>
        <v>81431.961035221175</v>
      </c>
      <c r="L964" s="122">
        <f>('ESTADO RESULTADOS'!$C$36+'ESTADO RESULTADOS'!$C$71)/1375</f>
        <v>24762.287272727273</v>
      </c>
      <c r="M964" s="122">
        <v>0</v>
      </c>
      <c r="N964" s="122">
        <f>SUM(H964+K964+L964+M964)</f>
        <v>1723871.9183079484</v>
      </c>
      <c r="O964" s="122">
        <f>N964/G964</f>
        <v>50702.115244351422</v>
      </c>
      <c r="P964" s="336">
        <f t="shared" si="177"/>
        <v>7861.4150253850967</v>
      </c>
      <c r="Q964" s="336">
        <f t="shared" si="178"/>
        <v>3123.3602443514246</v>
      </c>
      <c r="R964" s="303">
        <f t="shared" si="179"/>
        <v>6.564611126019218E-2</v>
      </c>
    </row>
    <row r="965" spans="1:18" x14ac:dyDescent="0.3">
      <c r="A965" s="2">
        <v>3204</v>
      </c>
      <c r="B965" s="41" t="s">
        <v>791</v>
      </c>
      <c r="C965" s="2">
        <v>5</v>
      </c>
      <c r="D965" s="2" t="s">
        <v>12</v>
      </c>
      <c r="E965" s="294">
        <v>65600</v>
      </c>
      <c r="F965" s="296">
        <v>72000</v>
      </c>
      <c r="G965" s="352">
        <v>7</v>
      </c>
      <c r="H965" s="296">
        <f t="shared" si="186"/>
        <v>459200</v>
      </c>
      <c r="I965" s="122">
        <f t="shared" si="187"/>
        <v>504000</v>
      </c>
      <c r="J965" s="331">
        <f t="shared" si="188"/>
        <v>44800</v>
      </c>
      <c r="K965" s="292">
        <f>'09-RESUMEN'!$F$43/1375</f>
        <v>81431.961035221175</v>
      </c>
      <c r="L965" s="122">
        <f>('ESTADO RESULTADOS'!$C$36+'ESTADO RESULTADOS'!$C$71)/1375</f>
        <v>24762.287272727273</v>
      </c>
      <c r="M965" s="122">
        <v>0</v>
      </c>
      <c r="N965" s="122">
        <f>SUM(H965+K965+L965+M965)</f>
        <v>565394.24830794835</v>
      </c>
      <c r="O965" s="122">
        <f>N965/G965</f>
        <v>80770.606901135485</v>
      </c>
      <c r="P965" s="336">
        <f t="shared" ref="P965:P1028" si="189">I965-N965</f>
        <v>-61394.24830794835</v>
      </c>
      <c r="Q965" s="336">
        <f t="shared" ref="Q965:Q1028" si="190">O965-E965</f>
        <v>15170.606901135485</v>
      </c>
      <c r="R965" s="303">
        <f t="shared" ref="R965:R1028" si="191">Q965/E965</f>
        <v>0.23125925154169946</v>
      </c>
    </row>
    <row r="966" spans="1:18" x14ac:dyDescent="0.3">
      <c r="A966" s="2">
        <v>3205</v>
      </c>
      <c r="B966" s="41" t="s">
        <v>792</v>
      </c>
      <c r="C966" s="2">
        <v>12</v>
      </c>
      <c r="D966" s="2" t="s">
        <v>12</v>
      </c>
      <c r="E966" s="294">
        <v>1400</v>
      </c>
      <c r="F966" s="296">
        <v>2250</v>
      </c>
      <c r="G966" s="352">
        <v>18</v>
      </c>
      <c r="H966" s="296">
        <f t="shared" si="186"/>
        <v>25200</v>
      </c>
      <c r="I966" s="122">
        <f t="shared" si="187"/>
        <v>40500</v>
      </c>
      <c r="J966" s="331">
        <f t="shared" si="188"/>
        <v>15300</v>
      </c>
      <c r="K966" s="292">
        <f>'09-RESUMEN'!$F$43/1375</f>
        <v>81431.961035221175</v>
      </c>
      <c r="L966" s="122">
        <f>('ESTADO RESULTADOS'!$C$36+'ESTADO RESULTADOS'!$C$71)/1375</f>
        <v>24762.287272727273</v>
      </c>
      <c r="M966" s="122">
        <v>0</v>
      </c>
      <c r="N966" s="122">
        <f>SUM(H966+K966+L966+M966)</f>
        <v>131394.24830794844</v>
      </c>
      <c r="O966" s="122">
        <f>N966/G966</f>
        <v>7299.6804615526908</v>
      </c>
      <c r="P966" s="336">
        <f t="shared" si="189"/>
        <v>-90894.248307948437</v>
      </c>
      <c r="Q966" s="336">
        <f t="shared" si="190"/>
        <v>5899.6804615526908</v>
      </c>
      <c r="R966" s="303">
        <f t="shared" si="191"/>
        <v>4.2140574725376361</v>
      </c>
    </row>
    <row r="967" spans="1:18" x14ac:dyDescent="0.3">
      <c r="A967" s="2">
        <v>3206</v>
      </c>
      <c r="B967" s="41" t="s">
        <v>793</v>
      </c>
      <c r="C967" s="2">
        <v>12</v>
      </c>
      <c r="D967" s="2" t="s">
        <v>12</v>
      </c>
      <c r="E967" s="294">
        <v>1300</v>
      </c>
      <c r="F967" s="296">
        <v>1800</v>
      </c>
      <c r="G967" s="352">
        <v>11</v>
      </c>
      <c r="H967" s="296">
        <f t="shared" si="186"/>
        <v>14300</v>
      </c>
      <c r="I967" s="122">
        <f t="shared" si="187"/>
        <v>19800</v>
      </c>
      <c r="J967" s="331">
        <f t="shared" si="188"/>
        <v>5500</v>
      </c>
      <c r="K967" s="292">
        <f>'09-RESUMEN'!$F$43/1375</f>
        <v>81431.961035221175</v>
      </c>
      <c r="L967" s="122">
        <f>('ESTADO RESULTADOS'!$C$36+'ESTADO RESULTADOS'!$C$71)/1375</f>
        <v>24762.287272727273</v>
      </c>
      <c r="M967" s="122">
        <v>0</v>
      </c>
      <c r="N967" s="122">
        <f>SUM(H967+K967+L967+M967)</f>
        <v>120494.24830794845</v>
      </c>
      <c r="O967" s="122">
        <f>N967/G967</f>
        <v>10954.02257344986</v>
      </c>
      <c r="P967" s="336">
        <f t="shared" si="189"/>
        <v>-100694.24830794845</v>
      </c>
      <c r="Q967" s="336">
        <f t="shared" si="190"/>
        <v>9654.0225734498599</v>
      </c>
      <c r="R967" s="303">
        <f t="shared" si="191"/>
        <v>7.4261712103460464</v>
      </c>
    </row>
    <row r="968" spans="1:18" x14ac:dyDescent="0.3">
      <c r="A968" s="2">
        <v>3207</v>
      </c>
      <c r="B968" s="41" t="s">
        <v>794</v>
      </c>
      <c r="C968" s="2">
        <v>12</v>
      </c>
      <c r="D968" s="2" t="s">
        <v>12</v>
      </c>
      <c r="E968" s="294">
        <v>10900</v>
      </c>
      <c r="F968" s="296">
        <v>13000</v>
      </c>
      <c r="G968" s="352">
        <v>0</v>
      </c>
      <c r="H968" s="296">
        <f t="shared" si="186"/>
        <v>0</v>
      </c>
      <c r="I968" s="122">
        <f t="shared" si="187"/>
        <v>0</v>
      </c>
      <c r="J968" s="331">
        <f t="shared" si="188"/>
        <v>0</v>
      </c>
      <c r="K968" s="292">
        <f>'09-RESUMEN'!$F$43/1375</f>
        <v>81431.961035221175</v>
      </c>
      <c r="L968" s="122">
        <f>('ESTADO RESULTADOS'!$C$36+'ESTADO RESULTADOS'!$C$71)/1375</f>
        <v>24762.287272727273</v>
      </c>
      <c r="M968" s="122">
        <v>0</v>
      </c>
      <c r="N968" s="122">
        <f>SUM(E968+K968+L968+M968)</f>
        <v>117094.24830794845</v>
      </c>
      <c r="O968" s="122">
        <f>N968</f>
        <v>117094.24830794845</v>
      </c>
      <c r="P968" s="336">
        <f t="shared" si="189"/>
        <v>-117094.24830794845</v>
      </c>
      <c r="Q968" s="336">
        <f t="shared" si="190"/>
        <v>106194.24830794845</v>
      </c>
      <c r="R968" s="303">
        <f t="shared" si="191"/>
        <v>9.7425915878851796</v>
      </c>
    </row>
    <row r="969" spans="1:18" x14ac:dyDescent="0.3">
      <c r="A969" s="2">
        <v>3208</v>
      </c>
      <c r="B969" s="41" t="s">
        <v>796</v>
      </c>
      <c r="C969" s="2">
        <v>12</v>
      </c>
      <c r="D969" s="2" t="s">
        <v>12</v>
      </c>
      <c r="E969" s="294">
        <v>14545.37</v>
      </c>
      <c r="F969" s="296">
        <v>18866.666666666668</v>
      </c>
      <c r="G969" s="352">
        <v>4</v>
      </c>
      <c r="H969" s="296">
        <f t="shared" si="186"/>
        <v>58181.48</v>
      </c>
      <c r="I969" s="122">
        <f t="shared" si="187"/>
        <v>75466.666666666672</v>
      </c>
      <c r="J969" s="331">
        <f t="shared" si="188"/>
        <v>17285.186666666668</v>
      </c>
      <c r="K969" s="292">
        <f>'09-RESUMEN'!$F$43/1375</f>
        <v>81431.961035221175</v>
      </c>
      <c r="L969" s="122">
        <f>('ESTADO RESULTADOS'!$C$36+'ESTADO RESULTADOS'!$C$71)/1375</f>
        <v>24762.287272727273</v>
      </c>
      <c r="M969" s="122">
        <v>0</v>
      </c>
      <c r="N969" s="122">
        <f t="shared" ref="N969:N974" si="192">SUM(H969+K969+L969+M969)</f>
        <v>164375.72830794845</v>
      </c>
      <c r="O969" s="122">
        <f t="shared" ref="O969:O974" si="193">N969/G969</f>
        <v>41093.932076987112</v>
      </c>
      <c r="P969" s="336">
        <f t="shared" si="189"/>
        <v>-88909.061641281776</v>
      </c>
      <c r="Q969" s="336">
        <f t="shared" si="190"/>
        <v>26548.562076987109</v>
      </c>
      <c r="R969" s="303">
        <f t="shared" si="191"/>
        <v>1.825224251908828</v>
      </c>
    </row>
    <row r="970" spans="1:18" x14ac:dyDescent="0.3">
      <c r="A970" s="2">
        <v>3209</v>
      </c>
      <c r="B970" s="41" t="s">
        <v>797</v>
      </c>
      <c r="C970" s="2">
        <v>12</v>
      </c>
      <c r="D970" s="2" t="s">
        <v>12</v>
      </c>
      <c r="E970" s="294">
        <v>23000</v>
      </c>
      <c r="F970" s="296">
        <v>28500</v>
      </c>
      <c r="G970" s="352">
        <v>1</v>
      </c>
      <c r="H970" s="296">
        <f t="shared" si="186"/>
        <v>23000</v>
      </c>
      <c r="I970" s="122">
        <f t="shared" si="187"/>
        <v>28500</v>
      </c>
      <c r="J970" s="331">
        <f t="shared" si="188"/>
        <v>5500</v>
      </c>
      <c r="K970" s="292">
        <f>'09-RESUMEN'!$F$43/1375</f>
        <v>81431.961035221175</v>
      </c>
      <c r="L970" s="122">
        <f>('ESTADO RESULTADOS'!$C$36+'ESTADO RESULTADOS'!$C$71)/1375</f>
        <v>24762.287272727273</v>
      </c>
      <c r="M970" s="122">
        <v>0</v>
      </c>
      <c r="N970" s="122">
        <f t="shared" si="192"/>
        <v>129194.24830794845</v>
      </c>
      <c r="O970" s="122">
        <f t="shared" si="193"/>
        <v>129194.24830794845</v>
      </c>
      <c r="P970" s="336">
        <f t="shared" si="189"/>
        <v>-100694.24830794845</v>
      </c>
      <c r="Q970" s="336">
        <f t="shared" si="190"/>
        <v>106194.24830794845</v>
      </c>
      <c r="R970" s="303">
        <f t="shared" si="191"/>
        <v>4.6171412307803674</v>
      </c>
    </row>
    <row r="971" spans="1:18" x14ac:dyDescent="0.3">
      <c r="A971" s="2">
        <v>3210</v>
      </c>
      <c r="B971" s="41" t="s">
        <v>798</v>
      </c>
      <c r="C971" s="2">
        <v>12</v>
      </c>
      <c r="D971" s="2" t="s">
        <v>12</v>
      </c>
      <c r="E971" s="294">
        <v>10400</v>
      </c>
      <c r="F971" s="296">
        <v>11700</v>
      </c>
      <c r="G971" s="352">
        <v>4</v>
      </c>
      <c r="H971" s="296">
        <f t="shared" si="186"/>
        <v>41600</v>
      </c>
      <c r="I971" s="122">
        <f t="shared" si="187"/>
        <v>46800</v>
      </c>
      <c r="J971" s="331">
        <f t="shared" si="188"/>
        <v>5200</v>
      </c>
      <c r="K971" s="292">
        <f>'09-RESUMEN'!$F$43/1375</f>
        <v>81431.961035221175</v>
      </c>
      <c r="L971" s="122">
        <f>('ESTADO RESULTADOS'!$C$36+'ESTADO RESULTADOS'!$C$71)/1375</f>
        <v>24762.287272727273</v>
      </c>
      <c r="M971" s="122">
        <v>0</v>
      </c>
      <c r="N971" s="122">
        <f t="shared" si="192"/>
        <v>147794.24830794844</v>
      </c>
      <c r="O971" s="122">
        <f t="shared" si="193"/>
        <v>36948.562076987109</v>
      </c>
      <c r="P971" s="336">
        <f t="shared" si="189"/>
        <v>-100994.24830794844</v>
      </c>
      <c r="Q971" s="336">
        <f t="shared" si="190"/>
        <v>26548.562076987109</v>
      </c>
      <c r="R971" s="303">
        <f t="shared" si="191"/>
        <v>2.552746353556453</v>
      </c>
    </row>
    <row r="972" spans="1:18" x14ac:dyDescent="0.3">
      <c r="A972" s="2">
        <v>3211</v>
      </c>
      <c r="B972" s="41" t="s">
        <v>799</v>
      </c>
      <c r="C972" s="2">
        <v>12</v>
      </c>
      <c r="D972" s="2" t="s">
        <v>12</v>
      </c>
      <c r="E972" s="294">
        <v>4130.49</v>
      </c>
      <c r="F972" s="296">
        <v>6500</v>
      </c>
      <c r="G972" s="352">
        <v>18</v>
      </c>
      <c r="H972" s="296">
        <f t="shared" si="186"/>
        <v>74348.819999999992</v>
      </c>
      <c r="I972" s="122">
        <f t="shared" si="187"/>
        <v>117000</v>
      </c>
      <c r="J972" s="331">
        <f t="shared" si="188"/>
        <v>42651.180000000008</v>
      </c>
      <c r="K972" s="292">
        <f>'09-RESUMEN'!$F$43/1375</f>
        <v>81431.961035221175</v>
      </c>
      <c r="L972" s="122">
        <f>('ESTADO RESULTADOS'!$C$36+'ESTADO RESULTADOS'!$C$71)/1375</f>
        <v>24762.287272727273</v>
      </c>
      <c r="M972" s="122">
        <v>0</v>
      </c>
      <c r="N972" s="122">
        <f t="shared" si="192"/>
        <v>180543.06830794844</v>
      </c>
      <c r="O972" s="122">
        <f t="shared" si="193"/>
        <v>10030.170461552691</v>
      </c>
      <c r="P972" s="336">
        <f t="shared" si="189"/>
        <v>-63543.068307948444</v>
      </c>
      <c r="Q972" s="336">
        <f t="shared" si="190"/>
        <v>5899.6804615526908</v>
      </c>
      <c r="R972" s="303">
        <f t="shared" si="191"/>
        <v>1.4283245962471016</v>
      </c>
    </row>
    <row r="973" spans="1:18" x14ac:dyDescent="0.3">
      <c r="A973" s="2">
        <v>3212</v>
      </c>
      <c r="B973" s="41" t="s">
        <v>800</v>
      </c>
      <c r="C973" s="2">
        <v>12</v>
      </c>
      <c r="D973" s="2" t="s">
        <v>12</v>
      </c>
      <c r="E973" s="294">
        <v>4300</v>
      </c>
      <c r="F973" s="296">
        <v>5000</v>
      </c>
      <c r="G973" s="352">
        <v>3</v>
      </c>
      <c r="H973" s="296">
        <f t="shared" si="186"/>
        <v>12900</v>
      </c>
      <c r="I973" s="122">
        <f t="shared" si="187"/>
        <v>15000</v>
      </c>
      <c r="J973" s="331">
        <f t="shared" si="188"/>
        <v>2100</v>
      </c>
      <c r="K973" s="292">
        <f>'09-RESUMEN'!$F$43/1375</f>
        <v>81431.961035221175</v>
      </c>
      <c r="L973" s="122">
        <f>('ESTADO RESULTADOS'!$C$36+'ESTADO RESULTADOS'!$C$71)/1375</f>
        <v>24762.287272727273</v>
      </c>
      <c r="M973" s="122">
        <v>0</v>
      </c>
      <c r="N973" s="122">
        <f t="shared" si="192"/>
        <v>119094.24830794845</v>
      </c>
      <c r="O973" s="122">
        <f t="shared" si="193"/>
        <v>39698.082769316148</v>
      </c>
      <c r="P973" s="336">
        <f t="shared" si="189"/>
        <v>-104094.24830794845</v>
      </c>
      <c r="Q973" s="336">
        <f t="shared" si="190"/>
        <v>35398.082769316148</v>
      </c>
      <c r="R973" s="303">
        <f t="shared" si="191"/>
        <v>8.2321122719339872</v>
      </c>
    </row>
    <row r="974" spans="1:18" x14ac:dyDescent="0.3">
      <c r="A974" s="2">
        <v>3213</v>
      </c>
      <c r="B974" s="41" t="s">
        <v>801</v>
      </c>
      <c r="C974" s="2">
        <v>12</v>
      </c>
      <c r="D974" s="2" t="s">
        <v>12</v>
      </c>
      <c r="E974" s="294">
        <v>3500</v>
      </c>
      <c r="F974" s="296">
        <v>4200</v>
      </c>
      <c r="G974" s="352">
        <v>8</v>
      </c>
      <c r="H974" s="296">
        <f t="shared" si="186"/>
        <v>28000</v>
      </c>
      <c r="I974" s="122">
        <f t="shared" si="187"/>
        <v>33600</v>
      </c>
      <c r="J974" s="331">
        <f t="shared" si="188"/>
        <v>5600</v>
      </c>
      <c r="K974" s="292">
        <f>'09-RESUMEN'!$F$43/1375</f>
        <v>81431.961035221175</v>
      </c>
      <c r="L974" s="122">
        <f>('ESTADO RESULTADOS'!$C$36+'ESTADO RESULTADOS'!$C$71)/1375</f>
        <v>24762.287272727273</v>
      </c>
      <c r="M974" s="122">
        <v>0</v>
      </c>
      <c r="N974" s="122">
        <f t="shared" si="192"/>
        <v>134194.24830794844</v>
      </c>
      <c r="O974" s="122">
        <f t="shared" si="193"/>
        <v>16774.281038493555</v>
      </c>
      <c r="P974" s="336">
        <f t="shared" si="189"/>
        <v>-100594.24830794844</v>
      </c>
      <c r="Q974" s="336">
        <f t="shared" si="190"/>
        <v>13274.281038493555</v>
      </c>
      <c r="R974" s="303">
        <f t="shared" si="191"/>
        <v>3.7926517252838727</v>
      </c>
    </row>
    <row r="975" spans="1:18" x14ac:dyDescent="0.3">
      <c r="A975" s="2">
        <v>3215</v>
      </c>
      <c r="B975" s="41" t="s">
        <v>802</v>
      </c>
      <c r="C975" s="2">
        <v>12</v>
      </c>
      <c r="D975" s="2" t="s">
        <v>12</v>
      </c>
      <c r="E975" s="294">
        <v>21420</v>
      </c>
      <c r="F975" s="296">
        <v>25000</v>
      </c>
      <c r="G975" s="352">
        <v>0</v>
      </c>
      <c r="H975" s="296">
        <f t="shared" si="186"/>
        <v>0</v>
      </c>
      <c r="I975" s="122">
        <f t="shared" si="187"/>
        <v>0</v>
      </c>
      <c r="J975" s="331">
        <f t="shared" si="188"/>
        <v>0</v>
      </c>
      <c r="K975" s="292">
        <f>'09-RESUMEN'!$F$43/1375</f>
        <v>81431.961035221175</v>
      </c>
      <c r="L975" s="122">
        <f>('ESTADO RESULTADOS'!$C$36+'ESTADO RESULTADOS'!$C$71)/1375</f>
        <v>24762.287272727273</v>
      </c>
      <c r="M975" s="122">
        <v>0</v>
      </c>
      <c r="N975" s="122">
        <f>SUM(E975+K975+L975+M975)</f>
        <v>127614.24830794845</v>
      </c>
      <c r="O975" s="122">
        <f>N975</f>
        <v>127614.24830794845</v>
      </c>
      <c r="P975" s="336">
        <f t="shared" si="189"/>
        <v>-127614.24830794845</v>
      </c>
      <c r="Q975" s="336">
        <f t="shared" si="190"/>
        <v>106194.24830794845</v>
      </c>
      <c r="R975" s="303">
        <f t="shared" si="191"/>
        <v>4.9577146735736903</v>
      </c>
    </row>
    <row r="976" spans="1:18" x14ac:dyDescent="0.3">
      <c r="A976" s="2">
        <v>3218</v>
      </c>
      <c r="B976" s="41" t="s">
        <v>1821</v>
      </c>
      <c r="C976" s="2">
        <v>1</v>
      </c>
      <c r="D976" s="2" t="s">
        <v>12</v>
      </c>
      <c r="E976" s="294">
        <v>6857</v>
      </c>
      <c r="F976" s="296">
        <v>10833.333333333334</v>
      </c>
      <c r="G976" s="352">
        <v>10</v>
      </c>
      <c r="H976" s="296">
        <f t="shared" si="186"/>
        <v>68570</v>
      </c>
      <c r="I976" s="122">
        <f t="shared" si="187"/>
        <v>108333.33333333334</v>
      </c>
      <c r="J976" s="331">
        <f t="shared" si="188"/>
        <v>39763.333333333343</v>
      </c>
      <c r="K976" s="292">
        <f>'09-RESUMEN'!$F$43/1375</f>
        <v>81431.961035221175</v>
      </c>
      <c r="L976" s="122">
        <f>('ESTADO RESULTADOS'!$C$36+'ESTADO RESULTADOS'!$C$71)/1375</f>
        <v>24762.287272727273</v>
      </c>
      <c r="M976" s="122">
        <v>0</v>
      </c>
      <c r="N976" s="122">
        <f>SUM(H976+K976+L976+M976)</f>
        <v>174764.24830794844</v>
      </c>
      <c r="O976" s="122">
        <f>N976/G976</f>
        <v>17476.424830794844</v>
      </c>
      <c r="P976" s="336">
        <f t="shared" si="189"/>
        <v>-66430.914974615094</v>
      </c>
      <c r="Q976" s="336">
        <f t="shared" si="190"/>
        <v>10619.424830794844</v>
      </c>
      <c r="R976" s="303">
        <f t="shared" si="191"/>
        <v>1.5486983857072836</v>
      </c>
    </row>
    <row r="977" spans="1:18" x14ac:dyDescent="0.3">
      <c r="A977" s="2">
        <v>3219</v>
      </c>
      <c r="B977" s="41" t="s">
        <v>803</v>
      </c>
      <c r="C977" s="2">
        <v>14</v>
      </c>
      <c r="D977" s="2" t="s">
        <v>16</v>
      </c>
      <c r="E977" s="294">
        <v>70401.45</v>
      </c>
      <c r="F977" s="296">
        <v>83500</v>
      </c>
      <c r="G977" s="352">
        <v>5</v>
      </c>
      <c r="H977" s="296">
        <f t="shared" si="186"/>
        <v>352007.25</v>
      </c>
      <c r="I977" s="122">
        <f t="shared" si="187"/>
        <v>417500</v>
      </c>
      <c r="J977" s="331">
        <f t="shared" si="188"/>
        <v>65492.75</v>
      </c>
      <c r="K977" s="292">
        <f>'09-RESUMEN'!$F$43/1375</f>
        <v>81431.961035221175</v>
      </c>
      <c r="L977" s="122">
        <f>('ESTADO RESULTADOS'!$C$36+'ESTADO RESULTADOS'!$C$71)/1375</f>
        <v>24762.287272727273</v>
      </c>
      <c r="M977" s="122">
        <v>0</v>
      </c>
      <c r="N977" s="122">
        <f>SUM(H977+K977+L977+M977)</f>
        <v>458201.49830794847</v>
      </c>
      <c r="O977" s="122">
        <f>N977/G977</f>
        <v>91640.299661589699</v>
      </c>
      <c r="P977" s="336">
        <f t="shared" si="189"/>
        <v>-40701.498307948466</v>
      </c>
      <c r="Q977" s="336">
        <f t="shared" si="190"/>
        <v>21238.849661589702</v>
      </c>
      <c r="R977" s="303">
        <f t="shared" si="191"/>
        <v>0.30168199179973854</v>
      </c>
    </row>
    <row r="978" spans="1:18" x14ac:dyDescent="0.3">
      <c r="A978" s="2">
        <v>3223</v>
      </c>
      <c r="B978" s="41" t="s">
        <v>1822</v>
      </c>
      <c r="C978" s="2">
        <v>14</v>
      </c>
      <c r="D978" s="2" t="s">
        <v>81</v>
      </c>
      <c r="E978" s="294">
        <v>19488</v>
      </c>
      <c r="F978" s="296">
        <v>24800</v>
      </c>
      <c r="G978" s="352">
        <v>0</v>
      </c>
      <c r="H978" s="296">
        <f t="shared" si="186"/>
        <v>0</v>
      </c>
      <c r="I978" s="122">
        <f t="shared" si="187"/>
        <v>0</v>
      </c>
      <c r="J978" s="331">
        <f t="shared" si="188"/>
        <v>0</v>
      </c>
      <c r="K978" s="292">
        <f>'09-RESUMEN'!$F$43/1375</f>
        <v>81431.961035221175</v>
      </c>
      <c r="L978" s="122">
        <f>('ESTADO RESULTADOS'!$C$36+'ESTADO RESULTADOS'!$C$71)/1375</f>
        <v>24762.287272727273</v>
      </c>
      <c r="M978" s="122">
        <v>0</v>
      </c>
      <c r="N978" s="122">
        <f>SUM(E978+K978+L978+M978)</f>
        <v>125682.24830794845</v>
      </c>
      <c r="O978" s="122">
        <f>N978</f>
        <v>125682.24830794845</v>
      </c>
      <c r="P978" s="336">
        <f t="shared" si="189"/>
        <v>-125682.24830794845</v>
      </c>
      <c r="Q978" s="336">
        <f t="shared" si="190"/>
        <v>106194.24830794845</v>
      </c>
      <c r="R978" s="303">
        <f t="shared" si="191"/>
        <v>5.4492122489710821</v>
      </c>
    </row>
    <row r="979" spans="1:18" x14ac:dyDescent="0.3">
      <c r="A979" s="2">
        <v>3227</v>
      </c>
      <c r="B979" s="41" t="s">
        <v>1823</v>
      </c>
      <c r="C979" s="2">
        <v>14</v>
      </c>
      <c r="D979" s="2" t="s">
        <v>81</v>
      </c>
      <c r="E979" s="294">
        <v>3877</v>
      </c>
      <c r="F979" s="296">
        <v>6200</v>
      </c>
      <c r="G979" s="352">
        <v>0</v>
      </c>
      <c r="H979" s="296">
        <f t="shared" si="186"/>
        <v>0</v>
      </c>
      <c r="I979" s="122">
        <f t="shared" si="187"/>
        <v>0</v>
      </c>
      <c r="J979" s="331">
        <f t="shared" si="188"/>
        <v>0</v>
      </c>
      <c r="K979" s="292">
        <f>'09-RESUMEN'!$F$43/1375</f>
        <v>81431.961035221175</v>
      </c>
      <c r="L979" s="122">
        <f>('ESTADO RESULTADOS'!$C$36+'ESTADO RESULTADOS'!$C$71)/1375</f>
        <v>24762.287272727273</v>
      </c>
      <c r="M979" s="122">
        <v>0</v>
      </c>
      <c r="N979" s="122">
        <f>SUM(E979+K979+L979+M979)</f>
        <v>110071.24830794845</v>
      </c>
      <c r="O979" s="122">
        <f>N979</f>
        <v>110071.24830794845</v>
      </c>
      <c r="P979" s="336">
        <f t="shared" si="189"/>
        <v>-110071.24830794845</v>
      </c>
      <c r="Q979" s="336">
        <f t="shared" si="190"/>
        <v>106194.24830794845</v>
      </c>
      <c r="R979" s="303">
        <f t="shared" si="191"/>
        <v>27.390830102643399</v>
      </c>
    </row>
    <row r="980" spans="1:18" x14ac:dyDescent="0.3">
      <c r="A980" s="2">
        <v>3228</v>
      </c>
      <c r="B980" s="41" t="s">
        <v>804</v>
      </c>
      <c r="C980" s="2">
        <v>14</v>
      </c>
      <c r="D980" s="2" t="s">
        <v>81</v>
      </c>
      <c r="E980" s="294">
        <v>5997</v>
      </c>
      <c r="F980" s="296">
        <v>8500</v>
      </c>
      <c r="G980" s="352">
        <v>4</v>
      </c>
      <c r="H980" s="296">
        <f t="shared" si="186"/>
        <v>23988</v>
      </c>
      <c r="I980" s="122">
        <f t="shared" si="187"/>
        <v>34000</v>
      </c>
      <c r="J980" s="331">
        <f t="shared" si="188"/>
        <v>10012</v>
      </c>
      <c r="K980" s="292">
        <f>'09-RESUMEN'!$F$43/1375</f>
        <v>81431.961035221175</v>
      </c>
      <c r="L980" s="122">
        <f>('ESTADO RESULTADOS'!$C$36+'ESTADO RESULTADOS'!$C$71)/1375</f>
        <v>24762.287272727273</v>
      </c>
      <c r="M980" s="122">
        <v>0</v>
      </c>
      <c r="N980" s="122">
        <f t="shared" ref="N980:N996" si="194">SUM(H980+K980+L980+M980)</f>
        <v>130182.24830794845</v>
      </c>
      <c r="O980" s="122">
        <f t="shared" ref="O980:O996" si="195">N980/G980</f>
        <v>32545.562076987113</v>
      </c>
      <c r="P980" s="336">
        <f t="shared" si="189"/>
        <v>-96182.248307948452</v>
      </c>
      <c r="Q980" s="336">
        <f t="shared" si="190"/>
        <v>26548.562076987113</v>
      </c>
      <c r="R980" s="303">
        <f t="shared" si="191"/>
        <v>4.4269738330810595</v>
      </c>
    </row>
    <row r="981" spans="1:18" x14ac:dyDescent="0.3">
      <c r="A981" s="2">
        <v>3229</v>
      </c>
      <c r="B981" s="41" t="s">
        <v>805</v>
      </c>
      <c r="C981" s="2">
        <v>14</v>
      </c>
      <c r="D981" s="2" t="s">
        <v>81</v>
      </c>
      <c r="E981" s="294">
        <v>2812</v>
      </c>
      <c r="F981" s="296">
        <v>4800</v>
      </c>
      <c r="G981" s="352">
        <v>3</v>
      </c>
      <c r="H981" s="296">
        <f t="shared" si="186"/>
        <v>8436</v>
      </c>
      <c r="I981" s="122">
        <f t="shared" si="187"/>
        <v>14400</v>
      </c>
      <c r="J981" s="331">
        <f t="shared" si="188"/>
        <v>5964</v>
      </c>
      <c r="K981" s="292">
        <f>'09-RESUMEN'!$F$43/1375</f>
        <v>81431.961035221175</v>
      </c>
      <c r="L981" s="122">
        <f>('ESTADO RESULTADOS'!$C$36+'ESTADO RESULTADOS'!$C$71)/1375</f>
        <v>24762.287272727273</v>
      </c>
      <c r="M981" s="122">
        <v>0</v>
      </c>
      <c r="N981" s="122">
        <f t="shared" si="194"/>
        <v>114630.24830794845</v>
      </c>
      <c r="O981" s="122">
        <f t="shared" si="195"/>
        <v>38210.082769316148</v>
      </c>
      <c r="P981" s="336">
        <f t="shared" si="189"/>
        <v>-100230.24830794845</v>
      </c>
      <c r="Q981" s="336">
        <f t="shared" si="190"/>
        <v>35398.082769316148</v>
      </c>
      <c r="R981" s="303">
        <f t="shared" si="191"/>
        <v>12.588222890937464</v>
      </c>
    </row>
    <row r="982" spans="1:18" x14ac:dyDescent="0.3">
      <c r="A982" s="2">
        <v>3230</v>
      </c>
      <c r="B982" s="41" t="s">
        <v>806</v>
      </c>
      <c r="C982" s="2">
        <v>14</v>
      </c>
      <c r="D982" s="2" t="s">
        <v>81</v>
      </c>
      <c r="E982" s="294">
        <v>14415</v>
      </c>
      <c r="F982" s="296">
        <v>16583.333333333332</v>
      </c>
      <c r="G982" s="352">
        <v>4</v>
      </c>
      <c r="H982" s="296">
        <f t="shared" si="186"/>
        <v>57660</v>
      </c>
      <c r="I982" s="122">
        <f t="shared" si="187"/>
        <v>66333.333333333328</v>
      </c>
      <c r="J982" s="331">
        <f t="shared" si="188"/>
        <v>8673.3333333333285</v>
      </c>
      <c r="K982" s="292">
        <f>'09-RESUMEN'!$F$43/1375</f>
        <v>81431.961035221175</v>
      </c>
      <c r="L982" s="122">
        <f>('ESTADO RESULTADOS'!$C$36+'ESTADO RESULTADOS'!$C$71)/1375</f>
        <v>24762.287272727273</v>
      </c>
      <c r="M982" s="122">
        <v>0</v>
      </c>
      <c r="N982" s="122">
        <f t="shared" si="194"/>
        <v>163854.24830794844</v>
      </c>
      <c r="O982" s="122">
        <f t="shared" si="195"/>
        <v>40963.562076987109</v>
      </c>
      <c r="P982" s="336">
        <f t="shared" si="189"/>
        <v>-97520.914974615109</v>
      </c>
      <c r="Q982" s="336">
        <f t="shared" si="190"/>
        <v>26548.562076987109</v>
      </c>
      <c r="R982" s="303">
        <f t="shared" si="191"/>
        <v>1.8417316737417349</v>
      </c>
    </row>
    <row r="983" spans="1:18" x14ac:dyDescent="0.3">
      <c r="A983" s="2">
        <v>3231</v>
      </c>
      <c r="B983" s="41" t="s">
        <v>807</v>
      </c>
      <c r="C983" s="2">
        <v>14</v>
      </c>
      <c r="D983" s="2" t="s">
        <v>81</v>
      </c>
      <c r="E983" s="294">
        <v>5610</v>
      </c>
      <c r="F983" s="296">
        <v>7300</v>
      </c>
      <c r="G983" s="352">
        <v>5</v>
      </c>
      <c r="H983" s="296">
        <f t="shared" si="186"/>
        <v>28050</v>
      </c>
      <c r="I983" s="122">
        <f t="shared" si="187"/>
        <v>36500</v>
      </c>
      <c r="J983" s="331">
        <f t="shared" si="188"/>
        <v>8450</v>
      </c>
      <c r="K983" s="292">
        <f>'09-RESUMEN'!$F$43/1375</f>
        <v>81431.961035221175</v>
      </c>
      <c r="L983" s="122">
        <f>('ESTADO RESULTADOS'!$C$36+'ESTADO RESULTADOS'!$C$71)/1375</f>
        <v>24762.287272727273</v>
      </c>
      <c r="M983" s="122">
        <v>0</v>
      </c>
      <c r="N983" s="122">
        <f t="shared" si="194"/>
        <v>134244.24830794844</v>
      </c>
      <c r="O983" s="122">
        <f t="shared" si="195"/>
        <v>26848.849661589687</v>
      </c>
      <c r="P983" s="336">
        <f t="shared" si="189"/>
        <v>-97744.248307948437</v>
      </c>
      <c r="Q983" s="336">
        <f t="shared" si="190"/>
        <v>21238.849661589687</v>
      </c>
      <c r="R983" s="303">
        <f t="shared" si="191"/>
        <v>3.7858912052744542</v>
      </c>
    </row>
    <row r="984" spans="1:18" x14ac:dyDescent="0.3">
      <c r="A984" s="2">
        <v>3232</v>
      </c>
      <c r="B984" s="41" t="s">
        <v>808</v>
      </c>
      <c r="C984" s="2">
        <v>14</v>
      </c>
      <c r="D984" s="2" t="s">
        <v>81</v>
      </c>
      <c r="E984" s="294">
        <v>37676</v>
      </c>
      <c r="F984" s="296">
        <v>42500</v>
      </c>
      <c r="G984" s="352">
        <v>6</v>
      </c>
      <c r="H984" s="296">
        <f t="shared" si="186"/>
        <v>226056</v>
      </c>
      <c r="I984" s="122">
        <f t="shared" si="187"/>
        <v>255000</v>
      </c>
      <c r="J984" s="331">
        <f t="shared" si="188"/>
        <v>28944</v>
      </c>
      <c r="K984" s="292">
        <f>'09-RESUMEN'!$F$43/1375</f>
        <v>81431.961035221175</v>
      </c>
      <c r="L984" s="122">
        <f>('ESTADO RESULTADOS'!$C$36+'ESTADO RESULTADOS'!$C$71)/1375</f>
        <v>24762.287272727273</v>
      </c>
      <c r="M984" s="122">
        <v>0</v>
      </c>
      <c r="N984" s="122">
        <f t="shared" si="194"/>
        <v>332250.24830794847</v>
      </c>
      <c r="O984" s="122">
        <f t="shared" si="195"/>
        <v>55375.041384658078</v>
      </c>
      <c r="P984" s="336">
        <f t="shared" si="189"/>
        <v>-77250.248307948466</v>
      </c>
      <c r="Q984" s="336">
        <f t="shared" si="190"/>
        <v>17699.041384658078</v>
      </c>
      <c r="R984" s="303">
        <f t="shared" si="191"/>
        <v>0.46976965136049681</v>
      </c>
    </row>
    <row r="985" spans="1:18" x14ac:dyDescent="0.3">
      <c r="A985" s="2">
        <v>3233</v>
      </c>
      <c r="B985" s="41" t="s">
        <v>809</v>
      </c>
      <c r="C985" s="2">
        <v>14</v>
      </c>
      <c r="D985" s="2" t="s">
        <v>81</v>
      </c>
      <c r="E985" s="294">
        <v>31941</v>
      </c>
      <c r="F985" s="296">
        <v>37500</v>
      </c>
      <c r="G985" s="352">
        <v>7</v>
      </c>
      <c r="H985" s="296">
        <f t="shared" si="186"/>
        <v>223587</v>
      </c>
      <c r="I985" s="122">
        <f t="shared" si="187"/>
        <v>262500</v>
      </c>
      <c r="J985" s="331">
        <f t="shared" si="188"/>
        <v>38913</v>
      </c>
      <c r="K985" s="292">
        <f>'09-RESUMEN'!$F$43/1375</f>
        <v>81431.961035221175</v>
      </c>
      <c r="L985" s="122">
        <f>('ESTADO RESULTADOS'!$C$36+'ESTADO RESULTADOS'!$C$71)/1375</f>
        <v>24762.287272727273</v>
      </c>
      <c r="M985" s="122">
        <v>0</v>
      </c>
      <c r="N985" s="122">
        <f t="shared" si="194"/>
        <v>329781.24830794847</v>
      </c>
      <c r="O985" s="122">
        <f t="shared" si="195"/>
        <v>47111.606901135492</v>
      </c>
      <c r="P985" s="336">
        <f t="shared" si="189"/>
        <v>-67281.248307948466</v>
      </c>
      <c r="Q985" s="336">
        <f t="shared" si="190"/>
        <v>15170.606901135492</v>
      </c>
      <c r="R985" s="303">
        <f t="shared" si="191"/>
        <v>0.47495716793887144</v>
      </c>
    </row>
    <row r="986" spans="1:18" x14ac:dyDescent="0.3">
      <c r="A986" s="2">
        <v>3234</v>
      </c>
      <c r="B986" s="41" t="s">
        <v>810</v>
      </c>
      <c r="C986" s="2">
        <v>14</v>
      </c>
      <c r="D986" s="2" t="s">
        <v>81</v>
      </c>
      <c r="E986" s="294">
        <v>8907</v>
      </c>
      <c r="F986" s="296">
        <v>12500</v>
      </c>
      <c r="G986" s="352">
        <v>5</v>
      </c>
      <c r="H986" s="296">
        <f t="shared" si="186"/>
        <v>44535</v>
      </c>
      <c r="I986" s="122">
        <f t="shared" si="187"/>
        <v>62500</v>
      </c>
      <c r="J986" s="331">
        <f t="shared" si="188"/>
        <v>17965</v>
      </c>
      <c r="K986" s="292">
        <f>'09-RESUMEN'!$F$43/1375</f>
        <v>81431.961035221175</v>
      </c>
      <c r="L986" s="122">
        <f>('ESTADO RESULTADOS'!$C$36+'ESTADO RESULTADOS'!$C$71)/1375</f>
        <v>24762.287272727273</v>
      </c>
      <c r="M986" s="122">
        <v>0</v>
      </c>
      <c r="N986" s="122">
        <f t="shared" si="194"/>
        <v>150729.24830794844</v>
      </c>
      <c r="O986" s="122">
        <f t="shared" si="195"/>
        <v>30145.849661589687</v>
      </c>
      <c r="P986" s="336">
        <f t="shared" si="189"/>
        <v>-88229.248307948437</v>
      </c>
      <c r="Q986" s="336">
        <f t="shared" si="190"/>
        <v>21238.849661589687</v>
      </c>
      <c r="R986" s="303">
        <f t="shared" si="191"/>
        <v>2.3845121434365879</v>
      </c>
    </row>
    <row r="987" spans="1:18" x14ac:dyDescent="0.3">
      <c r="A987" s="2">
        <v>3237</v>
      </c>
      <c r="B987" s="41" t="s">
        <v>811</v>
      </c>
      <c r="C987" s="2">
        <v>14</v>
      </c>
      <c r="D987" s="2" t="s">
        <v>81</v>
      </c>
      <c r="E987" s="294">
        <v>11810</v>
      </c>
      <c r="F987" s="296">
        <v>15050</v>
      </c>
      <c r="G987" s="352">
        <v>14</v>
      </c>
      <c r="H987" s="296">
        <f t="shared" si="186"/>
        <v>165340</v>
      </c>
      <c r="I987" s="122">
        <f t="shared" si="187"/>
        <v>210700</v>
      </c>
      <c r="J987" s="331">
        <f t="shared" si="188"/>
        <v>45360</v>
      </c>
      <c r="K987" s="292">
        <f>'09-RESUMEN'!$F$43/1375</f>
        <v>81431.961035221175</v>
      </c>
      <c r="L987" s="122">
        <f>('ESTADO RESULTADOS'!$C$36+'ESTADO RESULTADOS'!$C$71)/1375</f>
        <v>24762.287272727273</v>
      </c>
      <c r="M987" s="122">
        <v>0</v>
      </c>
      <c r="N987" s="122">
        <f t="shared" si="194"/>
        <v>271534.24830794847</v>
      </c>
      <c r="O987" s="122">
        <f t="shared" si="195"/>
        <v>19395.303450567746</v>
      </c>
      <c r="P987" s="336">
        <f t="shared" si="189"/>
        <v>-60834.248307948466</v>
      </c>
      <c r="Q987" s="336">
        <f t="shared" si="190"/>
        <v>7585.303450567746</v>
      </c>
      <c r="R987" s="303">
        <f t="shared" si="191"/>
        <v>0.64227802291005476</v>
      </c>
    </row>
    <row r="988" spans="1:18" x14ac:dyDescent="0.3">
      <c r="A988" s="2">
        <v>3238</v>
      </c>
      <c r="B988" s="41" t="s">
        <v>812</v>
      </c>
      <c r="C988" s="2">
        <v>14</v>
      </c>
      <c r="D988" s="2" t="s">
        <v>81</v>
      </c>
      <c r="E988" s="294">
        <v>18379</v>
      </c>
      <c r="F988" s="296">
        <v>23500</v>
      </c>
      <c r="G988" s="352">
        <v>8</v>
      </c>
      <c r="H988" s="296">
        <f t="shared" si="186"/>
        <v>147032</v>
      </c>
      <c r="I988" s="122">
        <f t="shared" si="187"/>
        <v>188000</v>
      </c>
      <c r="J988" s="331">
        <f t="shared" si="188"/>
        <v>40968</v>
      </c>
      <c r="K988" s="292">
        <f>'09-RESUMEN'!$F$43/1375</f>
        <v>81431.961035221175</v>
      </c>
      <c r="L988" s="122">
        <f>('ESTADO RESULTADOS'!$C$36+'ESTADO RESULTADOS'!$C$71)/1375</f>
        <v>24762.287272727273</v>
      </c>
      <c r="M988" s="122">
        <v>0</v>
      </c>
      <c r="N988" s="122">
        <f t="shared" si="194"/>
        <v>253226.24830794844</v>
      </c>
      <c r="O988" s="122">
        <f t="shared" si="195"/>
        <v>31653.281038493555</v>
      </c>
      <c r="P988" s="336">
        <f t="shared" si="189"/>
        <v>-65226.248307948437</v>
      </c>
      <c r="Q988" s="336">
        <f t="shared" si="190"/>
        <v>13274.281038493555</v>
      </c>
      <c r="R988" s="303">
        <f t="shared" si="191"/>
        <v>0.72225262737328222</v>
      </c>
    </row>
    <row r="989" spans="1:18" x14ac:dyDescent="0.3">
      <c r="A989" s="2">
        <v>3242</v>
      </c>
      <c r="B989" s="41" t="s">
        <v>813</v>
      </c>
      <c r="C989" s="2">
        <v>2</v>
      </c>
      <c r="D989" s="2" t="s">
        <v>5</v>
      </c>
      <c r="E989" s="294">
        <v>135600</v>
      </c>
      <c r="F989" s="296">
        <v>148900</v>
      </c>
      <c r="G989" s="352">
        <v>15</v>
      </c>
      <c r="H989" s="296">
        <f t="shared" si="186"/>
        <v>2034000</v>
      </c>
      <c r="I989" s="122">
        <f t="shared" si="187"/>
        <v>2233500</v>
      </c>
      <c r="J989" s="331">
        <f t="shared" si="188"/>
        <v>199500</v>
      </c>
      <c r="K989" s="292">
        <f>'09-RESUMEN'!$F$43/1375</f>
        <v>81431.961035221175</v>
      </c>
      <c r="L989" s="122">
        <f>('ESTADO RESULTADOS'!$C$36+'ESTADO RESULTADOS'!$C$71)/1375</f>
        <v>24762.287272727273</v>
      </c>
      <c r="M989" s="122">
        <v>0</v>
      </c>
      <c r="N989" s="122">
        <f t="shared" si="194"/>
        <v>2140194.2483079485</v>
      </c>
      <c r="O989" s="122">
        <f t="shared" si="195"/>
        <v>142679.61655386322</v>
      </c>
      <c r="P989" s="336">
        <f t="shared" si="189"/>
        <v>93305.751692051534</v>
      </c>
      <c r="Q989" s="336">
        <f t="shared" si="190"/>
        <v>7079.6165538632195</v>
      </c>
      <c r="R989" s="303">
        <f t="shared" si="191"/>
        <v>5.2209561606660911E-2</v>
      </c>
    </row>
    <row r="990" spans="1:18" x14ac:dyDescent="0.3">
      <c r="A990" s="2">
        <v>3245</v>
      </c>
      <c r="B990" s="41" t="s">
        <v>814</v>
      </c>
      <c r="C990" s="2">
        <v>14</v>
      </c>
      <c r="D990" s="2" t="s">
        <v>12</v>
      </c>
      <c r="E990" s="294">
        <v>9900</v>
      </c>
      <c r="F990" s="296">
        <v>12800</v>
      </c>
      <c r="G990" s="352">
        <v>1</v>
      </c>
      <c r="H990" s="296">
        <f t="shared" si="186"/>
        <v>9900</v>
      </c>
      <c r="I990" s="122">
        <f t="shared" si="187"/>
        <v>12800</v>
      </c>
      <c r="J990" s="331">
        <f t="shared" si="188"/>
        <v>2900</v>
      </c>
      <c r="K990" s="292">
        <f>'09-RESUMEN'!$F$43/1375</f>
        <v>81431.961035221175</v>
      </c>
      <c r="L990" s="122">
        <f>('ESTADO RESULTADOS'!$C$36+'ESTADO RESULTADOS'!$C$71)/1375</f>
        <v>24762.287272727273</v>
      </c>
      <c r="M990" s="122">
        <v>0</v>
      </c>
      <c r="N990" s="122">
        <f t="shared" si="194"/>
        <v>116094.24830794845</v>
      </c>
      <c r="O990" s="122">
        <f t="shared" si="195"/>
        <v>116094.24830794845</v>
      </c>
      <c r="P990" s="336">
        <f t="shared" si="189"/>
        <v>-103294.24830794845</v>
      </c>
      <c r="Q990" s="336">
        <f t="shared" si="190"/>
        <v>106194.24830794845</v>
      </c>
      <c r="R990" s="303">
        <f t="shared" si="191"/>
        <v>10.726691748277622</v>
      </c>
    </row>
    <row r="991" spans="1:18" x14ac:dyDescent="0.3">
      <c r="A991" s="2">
        <v>3246</v>
      </c>
      <c r="B991" s="41" t="s">
        <v>815</v>
      </c>
      <c r="C991" s="2">
        <v>2</v>
      </c>
      <c r="D991" s="2" t="s">
        <v>10</v>
      </c>
      <c r="E991" s="294">
        <v>75600</v>
      </c>
      <c r="F991" s="296">
        <v>88141.666666666672</v>
      </c>
      <c r="G991" s="352">
        <v>6</v>
      </c>
      <c r="H991" s="296">
        <f t="shared" si="186"/>
        <v>453600</v>
      </c>
      <c r="I991" s="122">
        <f t="shared" si="187"/>
        <v>528850</v>
      </c>
      <c r="J991" s="331">
        <f t="shared" si="188"/>
        <v>75250</v>
      </c>
      <c r="K991" s="292">
        <f>'09-RESUMEN'!$F$43/1375</f>
        <v>81431.961035221175</v>
      </c>
      <c r="L991" s="122">
        <f>('ESTADO RESULTADOS'!$C$36+'ESTADO RESULTADOS'!$C$71)/1375</f>
        <v>24762.287272727273</v>
      </c>
      <c r="M991" s="122">
        <v>0</v>
      </c>
      <c r="N991" s="122">
        <f t="shared" si="194"/>
        <v>559794.24830794835</v>
      </c>
      <c r="O991" s="122">
        <f t="shared" si="195"/>
        <v>93299.041384658063</v>
      </c>
      <c r="P991" s="336">
        <f t="shared" si="189"/>
        <v>-30944.24830794835</v>
      </c>
      <c r="Q991" s="336">
        <f t="shared" si="190"/>
        <v>17699.041384658063</v>
      </c>
      <c r="R991" s="303">
        <f t="shared" si="191"/>
        <v>0.23411430402986855</v>
      </c>
    </row>
    <row r="992" spans="1:18" x14ac:dyDescent="0.3">
      <c r="A992" s="2">
        <v>3247</v>
      </c>
      <c r="B992" s="41" t="s">
        <v>816</v>
      </c>
      <c r="C992" s="2">
        <v>6</v>
      </c>
      <c r="D992" s="2" t="s">
        <v>23</v>
      </c>
      <c r="E992" s="294">
        <v>22700</v>
      </c>
      <c r="F992" s="296">
        <v>26000</v>
      </c>
      <c r="G992" s="352">
        <v>19</v>
      </c>
      <c r="H992" s="296">
        <f t="shared" si="186"/>
        <v>431300</v>
      </c>
      <c r="I992" s="122">
        <f t="shared" si="187"/>
        <v>494000</v>
      </c>
      <c r="J992" s="331">
        <f t="shared" si="188"/>
        <v>62700</v>
      </c>
      <c r="K992" s="292">
        <f>'09-RESUMEN'!$F$43/1375</f>
        <v>81431.961035221175</v>
      </c>
      <c r="L992" s="122">
        <f>('ESTADO RESULTADOS'!$C$36+'ESTADO RESULTADOS'!$C$71)/1375</f>
        <v>24762.287272727273</v>
      </c>
      <c r="M992" s="122">
        <v>0</v>
      </c>
      <c r="N992" s="122">
        <f t="shared" si="194"/>
        <v>537494.24830794847</v>
      </c>
      <c r="O992" s="122">
        <f t="shared" si="195"/>
        <v>28289.170963576234</v>
      </c>
      <c r="P992" s="336">
        <f t="shared" si="189"/>
        <v>-43494.248307948466</v>
      </c>
      <c r="Q992" s="336">
        <f t="shared" si="190"/>
        <v>5589.1709635762345</v>
      </c>
      <c r="R992" s="303">
        <f t="shared" si="191"/>
        <v>0.2462189851795698</v>
      </c>
    </row>
    <row r="993" spans="1:18" x14ac:dyDescent="0.3">
      <c r="A993" s="2">
        <v>3251</v>
      </c>
      <c r="B993" s="41" t="s">
        <v>817</v>
      </c>
      <c r="C993" s="2">
        <v>16</v>
      </c>
      <c r="D993" s="2" t="s">
        <v>795</v>
      </c>
      <c r="E993" s="294">
        <v>182.07</v>
      </c>
      <c r="F993" s="296">
        <v>300</v>
      </c>
      <c r="G993" s="352">
        <v>48</v>
      </c>
      <c r="H993" s="296">
        <f t="shared" si="186"/>
        <v>8739.36</v>
      </c>
      <c r="I993" s="122">
        <f t="shared" si="187"/>
        <v>14400</v>
      </c>
      <c r="J993" s="331">
        <f t="shared" si="188"/>
        <v>5660.6399999999994</v>
      </c>
      <c r="K993" s="292">
        <f>'09-RESUMEN'!$F$43/1375</f>
        <v>81431.961035221175</v>
      </c>
      <c r="L993" s="122">
        <f>('ESTADO RESULTADOS'!$C$36+'ESTADO RESULTADOS'!$C$71)/1375</f>
        <v>24762.287272727273</v>
      </c>
      <c r="M993" s="122">
        <v>0</v>
      </c>
      <c r="N993" s="122">
        <f t="shared" si="194"/>
        <v>114933.60830794845</v>
      </c>
      <c r="O993" s="122">
        <f t="shared" si="195"/>
        <v>2394.4501730822594</v>
      </c>
      <c r="P993" s="336">
        <f t="shared" si="189"/>
        <v>-100533.60830794845</v>
      </c>
      <c r="Q993" s="336">
        <f t="shared" si="190"/>
        <v>2212.3801730822593</v>
      </c>
      <c r="R993" s="303">
        <f t="shared" si="191"/>
        <v>12.151261454837476</v>
      </c>
    </row>
    <row r="994" spans="1:18" x14ac:dyDescent="0.3">
      <c r="A994" s="2">
        <v>3252</v>
      </c>
      <c r="B994" s="41" t="s">
        <v>818</v>
      </c>
      <c r="C994" s="2">
        <v>16</v>
      </c>
      <c r="D994" s="2" t="s">
        <v>12</v>
      </c>
      <c r="E994" s="294">
        <v>291.66669999999999</v>
      </c>
      <c r="F994" s="296">
        <v>500</v>
      </c>
      <c r="G994" s="352">
        <v>24</v>
      </c>
      <c r="H994" s="296">
        <f t="shared" si="186"/>
        <v>7000.0007999999998</v>
      </c>
      <c r="I994" s="122">
        <f t="shared" si="187"/>
        <v>12000</v>
      </c>
      <c r="J994" s="331">
        <f t="shared" si="188"/>
        <v>4999.9992000000002</v>
      </c>
      <c r="K994" s="292">
        <f>'09-RESUMEN'!$F$43/1375</f>
        <v>81431.961035221175</v>
      </c>
      <c r="L994" s="122">
        <f>('ESTADO RESULTADOS'!$C$36+'ESTADO RESULTADOS'!$C$71)/1375</f>
        <v>24762.287272727273</v>
      </c>
      <c r="M994" s="122">
        <v>0</v>
      </c>
      <c r="N994" s="122">
        <f t="shared" si="194"/>
        <v>113194.24910794845</v>
      </c>
      <c r="O994" s="122">
        <f t="shared" si="195"/>
        <v>4716.4270461645183</v>
      </c>
      <c r="P994" s="336">
        <f t="shared" si="189"/>
        <v>-101194.24910794845</v>
      </c>
      <c r="Q994" s="336">
        <f t="shared" si="190"/>
        <v>4424.7603461645185</v>
      </c>
      <c r="R994" s="303">
        <f t="shared" si="191"/>
        <v>15.170605167352045</v>
      </c>
    </row>
    <row r="995" spans="1:18" x14ac:dyDescent="0.3">
      <c r="A995" s="2">
        <v>3253</v>
      </c>
      <c r="B995" s="41" t="s">
        <v>819</v>
      </c>
      <c r="C995" s="2">
        <v>16</v>
      </c>
      <c r="D995" s="2" t="s">
        <v>12</v>
      </c>
      <c r="E995" s="294">
        <v>182.07</v>
      </c>
      <c r="F995" s="296">
        <v>300</v>
      </c>
      <c r="G995" s="352">
        <v>38</v>
      </c>
      <c r="H995" s="296">
        <f t="shared" si="186"/>
        <v>6918.66</v>
      </c>
      <c r="I995" s="122">
        <f t="shared" si="187"/>
        <v>11400</v>
      </c>
      <c r="J995" s="331">
        <f t="shared" si="188"/>
        <v>4481.34</v>
      </c>
      <c r="K995" s="292">
        <f>'09-RESUMEN'!$F$43/1375</f>
        <v>81431.961035221175</v>
      </c>
      <c r="L995" s="122">
        <f>('ESTADO RESULTADOS'!$C$36+'ESTADO RESULTADOS'!$C$71)/1375</f>
        <v>24762.287272727273</v>
      </c>
      <c r="M995" s="122">
        <v>0</v>
      </c>
      <c r="N995" s="122">
        <f t="shared" si="194"/>
        <v>113112.90830794846</v>
      </c>
      <c r="O995" s="122">
        <f t="shared" si="195"/>
        <v>2976.6554817881174</v>
      </c>
      <c r="P995" s="336">
        <f t="shared" si="189"/>
        <v>-101712.90830794846</v>
      </c>
      <c r="Q995" s="336">
        <f t="shared" si="190"/>
        <v>2794.5854817881172</v>
      </c>
      <c r="R995" s="303">
        <f t="shared" si="191"/>
        <v>15.348961837689446</v>
      </c>
    </row>
    <row r="996" spans="1:18" x14ac:dyDescent="0.3">
      <c r="A996" s="2">
        <v>3254</v>
      </c>
      <c r="B996" s="41" t="s">
        <v>820</v>
      </c>
      <c r="C996" s="2">
        <v>16</v>
      </c>
      <c r="D996" s="2" t="s">
        <v>12</v>
      </c>
      <c r="E996" s="294">
        <v>1606.5</v>
      </c>
      <c r="F996" s="296">
        <v>2000</v>
      </c>
      <c r="G996" s="352">
        <v>4</v>
      </c>
      <c r="H996" s="296">
        <f t="shared" si="186"/>
        <v>6426</v>
      </c>
      <c r="I996" s="122">
        <f t="shared" si="187"/>
        <v>8000</v>
      </c>
      <c r="J996" s="331">
        <f t="shared" si="188"/>
        <v>1574</v>
      </c>
      <c r="K996" s="292">
        <f>'09-RESUMEN'!$F$43/1375</f>
        <v>81431.961035221175</v>
      </c>
      <c r="L996" s="122">
        <f>('ESTADO RESULTADOS'!$C$36+'ESTADO RESULTADOS'!$C$71)/1375</f>
        <v>24762.287272727273</v>
      </c>
      <c r="M996" s="122">
        <v>0</v>
      </c>
      <c r="N996" s="122">
        <f t="shared" si="194"/>
        <v>112620.24830794845</v>
      </c>
      <c r="O996" s="122">
        <f t="shared" si="195"/>
        <v>28155.062076987113</v>
      </c>
      <c r="P996" s="336">
        <f t="shared" si="189"/>
        <v>-104620.24830794845</v>
      </c>
      <c r="Q996" s="336">
        <f t="shared" si="190"/>
        <v>26548.562076987113</v>
      </c>
      <c r="R996" s="303">
        <f t="shared" si="191"/>
        <v>16.525715578578968</v>
      </c>
    </row>
    <row r="997" spans="1:18" x14ac:dyDescent="0.3">
      <c r="A997" s="2">
        <v>3255</v>
      </c>
      <c r="B997" s="41" t="s">
        <v>821</v>
      </c>
      <c r="C997" s="2">
        <v>16</v>
      </c>
      <c r="D997" s="2" t="s">
        <v>12</v>
      </c>
      <c r="E997" s="294">
        <v>8211</v>
      </c>
      <c r="F997" s="296">
        <v>10800</v>
      </c>
      <c r="G997" s="352">
        <v>0</v>
      </c>
      <c r="H997" s="296">
        <f t="shared" si="186"/>
        <v>0</v>
      </c>
      <c r="I997" s="122">
        <f t="shared" si="187"/>
        <v>0</v>
      </c>
      <c r="J997" s="331">
        <f t="shared" si="188"/>
        <v>0</v>
      </c>
      <c r="K997" s="292">
        <f>'09-RESUMEN'!$F$43/1375</f>
        <v>81431.961035221175</v>
      </c>
      <c r="L997" s="122">
        <f>('ESTADO RESULTADOS'!$C$36+'ESTADO RESULTADOS'!$C$71)/1375</f>
        <v>24762.287272727273</v>
      </c>
      <c r="M997" s="122">
        <v>0</v>
      </c>
      <c r="N997" s="122">
        <f>SUM(E997+K997+L997+M997)</f>
        <v>114405.24830794845</v>
      </c>
      <c r="O997" s="122">
        <f>N997</f>
        <v>114405.24830794845</v>
      </c>
      <c r="P997" s="336">
        <f t="shared" si="189"/>
        <v>-114405.24830794845</v>
      </c>
      <c r="Q997" s="336">
        <f t="shared" si="190"/>
        <v>106194.24830794845</v>
      </c>
      <c r="R997" s="303">
        <f t="shared" si="191"/>
        <v>12.933168713670497</v>
      </c>
    </row>
    <row r="998" spans="1:18" x14ac:dyDescent="0.3">
      <c r="A998" s="2">
        <v>3257</v>
      </c>
      <c r="B998" s="41" t="s">
        <v>822</v>
      </c>
      <c r="C998" s="2">
        <v>16</v>
      </c>
      <c r="D998" s="2" t="s">
        <v>12</v>
      </c>
      <c r="E998" s="294">
        <v>4641</v>
      </c>
      <c r="F998" s="296">
        <v>5800</v>
      </c>
      <c r="G998" s="352">
        <v>6</v>
      </c>
      <c r="H998" s="296">
        <f t="shared" si="186"/>
        <v>27846</v>
      </c>
      <c r="I998" s="122">
        <f t="shared" si="187"/>
        <v>34800</v>
      </c>
      <c r="J998" s="331">
        <f t="shared" si="188"/>
        <v>6954</v>
      </c>
      <c r="K998" s="292">
        <f>'09-RESUMEN'!$F$43/1375</f>
        <v>81431.961035221175</v>
      </c>
      <c r="L998" s="122">
        <f>('ESTADO RESULTADOS'!$C$36+'ESTADO RESULTADOS'!$C$71)/1375</f>
        <v>24762.287272727273</v>
      </c>
      <c r="M998" s="122">
        <v>0</v>
      </c>
      <c r="N998" s="122">
        <f t="shared" ref="N998:N1004" si="196">SUM(H998+K998+L998+M998)</f>
        <v>134040.24830794844</v>
      </c>
      <c r="O998" s="122">
        <f t="shared" ref="O998:O1004" si="197">N998/G998</f>
        <v>22340.041384658074</v>
      </c>
      <c r="P998" s="336">
        <f t="shared" si="189"/>
        <v>-99240.248307948437</v>
      </c>
      <c r="Q998" s="336">
        <f t="shared" si="190"/>
        <v>17699.041384658074</v>
      </c>
      <c r="R998" s="303">
        <f t="shared" si="191"/>
        <v>3.8136266719797618</v>
      </c>
    </row>
    <row r="999" spans="1:18" x14ac:dyDescent="0.3">
      <c r="A999" s="2">
        <v>3258</v>
      </c>
      <c r="B999" s="41" t="s">
        <v>823</v>
      </c>
      <c r="C999" s="2">
        <v>5</v>
      </c>
      <c r="D999" s="2" t="s">
        <v>41</v>
      </c>
      <c r="E999" s="294">
        <v>205000</v>
      </c>
      <c r="F999" s="296">
        <v>262166.66666666669</v>
      </c>
      <c r="G999" s="352">
        <v>7</v>
      </c>
      <c r="H999" s="296">
        <f t="shared" si="186"/>
        <v>1435000</v>
      </c>
      <c r="I999" s="122">
        <f t="shared" si="187"/>
        <v>1835166.6666666667</v>
      </c>
      <c r="J999" s="331">
        <f t="shared" si="188"/>
        <v>400166.66666666674</v>
      </c>
      <c r="K999" s="292">
        <f>'09-RESUMEN'!$F$43/1375</f>
        <v>81431.961035221175</v>
      </c>
      <c r="L999" s="122">
        <f>('ESTADO RESULTADOS'!$C$36+'ESTADO RESULTADOS'!$C$71)/1375</f>
        <v>24762.287272727273</v>
      </c>
      <c r="M999" s="122">
        <v>0</v>
      </c>
      <c r="N999" s="122">
        <f t="shared" si="196"/>
        <v>1541194.2483079485</v>
      </c>
      <c r="O999" s="122">
        <f t="shared" si="197"/>
        <v>220170.6069011355</v>
      </c>
      <c r="P999" s="336">
        <f t="shared" si="189"/>
        <v>293972.41835871828</v>
      </c>
      <c r="Q999" s="336">
        <f t="shared" si="190"/>
        <v>15170.606901135499</v>
      </c>
      <c r="R999" s="303">
        <f t="shared" si="191"/>
        <v>7.40029604933439E-2</v>
      </c>
    </row>
    <row r="1000" spans="1:18" x14ac:dyDescent="0.3">
      <c r="A1000" s="2">
        <v>3259</v>
      </c>
      <c r="B1000" s="41" t="s">
        <v>824</v>
      </c>
      <c r="C1000" s="2">
        <v>5</v>
      </c>
      <c r="D1000" s="2" t="s">
        <v>419</v>
      </c>
      <c r="E1000" s="294">
        <v>64350</v>
      </c>
      <c r="F1000" s="296">
        <v>83500</v>
      </c>
      <c r="G1000" s="352">
        <v>13</v>
      </c>
      <c r="H1000" s="296">
        <f t="shared" si="186"/>
        <v>836550</v>
      </c>
      <c r="I1000" s="122">
        <f t="shared" si="187"/>
        <v>1085500</v>
      </c>
      <c r="J1000" s="331">
        <f t="shared" si="188"/>
        <v>248950</v>
      </c>
      <c r="K1000" s="292">
        <f>'09-RESUMEN'!$F$43/1375</f>
        <v>81431.961035221175</v>
      </c>
      <c r="L1000" s="122">
        <f>('ESTADO RESULTADOS'!$C$36+'ESTADO RESULTADOS'!$C$71)/1375</f>
        <v>24762.287272727273</v>
      </c>
      <c r="M1000" s="122">
        <v>0</v>
      </c>
      <c r="N1000" s="122">
        <f t="shared" si="196"/>
        <v>942744.24830794835</v>
      </c>
      <c r="O1000" s="122">
        <f t="shared" si="197"/>
        <v>72518.788331380638</v>
      </c>
      <c r="P1000" s="336">
        <f t="shared" si="189"/>
        <v>142755.75169205165</v>
      </c>
      <c r="Q1000" s="336">
        <f t="shared" si="190"/>
        <v>8168.7883313806378</v>
      </c>
      <c r="R1000" s="303">
        <f t="shared" si="191"/>
        <v>0.12694309761275271</v>
      </c>
    </row>
    <row r="1001" spans="1:18" x14ac:dyDescent="0.3">
      <c r="A1001" s="2">
        <v>3260</v>
      </c>
      <c r="B1001" s="41" t="s">
        <v>825</v>
      </c>
      <c r="C1001" s="2">
        <v>14</v>
      </c>
      <c r="D1001" s="2" t="s">
        <v>12</v>
      </c>
      <c r="E1001" s="294">
        <v>45216</v>
      </c>
      <c r="F1001" s="296">
        <v>49600</v>
      </c>
      <c r="G1001" s="352">
        <v>4</v>
      </c>
      <c r="H1001" s="296">
        <f t="shared" si="186"/>
        <v>180864</v>
      </c>
      <c r="I1001" s="122">
        <f t="shared" si="187"/>
        <v>198400</v>
      </c>
      <c r="J1001" s="331">
        <f t="shared" si="188"/>
        <v>17536</v>
      </c>
      <c r="K1001" s="292">
        <f>'09-RESUMEN'!$F$43/1375</f>
        <v>81431.961035221175</v>
      </c>
      <c r="L1001" s="122">
        <f>('ESTADO RESULTADOS'!$C$36+'ESTADO RESULTADOS'!$C$71)/1375</f>
        <v>24762.287272727273</v>
      </c>
      <c r="M1001" s="122">
        <v>0</v>
      </c>
      <c r="N1001" s="122">
        <f t="shared" si="196"/>
        <v>287058.24830794847</v>
      </c>
      <c r="O1001" s="122">
        <f t="shared" si="197"/>
        <v>71764.562076987117</v>
      </c>
      <c r="P1001" s="336">
        <f t="shared" si="189"/>
        <v>-88658.248307948466</v>
      </c>
      <c r="Q1001" s="336">
        <f t="shared" si="190"/>
        <v>26548.562076987117</v>
      </c>
      <c r="R1001" s="303">
        <f t="shared" si="191"/>
        <v>0.58714972746344474</v>
      </c>
    </row>
    <row r="1002" spans="1:18" x14ac:dyDescent="0.3">
      <c r="A1002" s="2">
        <v>3262</v>
      </c>
      <c r="B1002" s="41" t="s">
        <v>826</v>
      </c>
      <c r="C1002" s="2">
        <v>14</v>
      </c>
      <c r="D1002" s="2" t="s">
        <v>81</v>
      </c>
      <c r="E1002" s="294">
        <v>5843</v>
      </c>
      <c r="F1002" s="296">
        <v>9800</v>
      </c>
      <c r="G1002" s="352">
        <v>6</v>
      </c>
      <c r="H1002" s="296">
        <f t="shared" si="186"/>
        <v>35058</v>
      </c>
      <c r="I1002" s="122">
        <f t="shared" si="187"/>
        <v>58800</v>
      </c>
      <c r="J1002" s="331">
        <f t="shared" si="188"/>
        <v>23742</v>
      </c>
      <c r="K1002" s="292">
        <f>'09-RESUMEN'!$F$43/1375</f>
        <v>81431.961035221175</v>
      </c>
      <c r="L1002" s="122">
        <f>('ESTADO RESULTADOS'!$C$36+'ESTADO RESULTADOS'!$C$71)/1375</f>
        <v>24762.287272727273</v>
      </c>
      <c r="M1002" s="122">
        <v>0</v>
      </c>
      <c r="N1002" s="122">
        <f t="shared" si="196"/>
        <v>141252.24830794844</v>
      </c>
      <c r="O1002" s="122">
        <f t="shared" si="197"/>
        <v>23542.041384658074</v>
      </c>
      <c r="P1002" s="336">
        <f t="shared" si="189"/>
        <v>-82452.248307948437</v>
      </c>
      <c r="Q1002" s="336">
        <f t="shared" si="190"/>
        <v>17699.041384658074</v>
      </c>
      <c r="R1002" s="303">
        <f t="shared" si="191"/>
        <v>3.0291017259384003</v>
      </c>
    </row>
    <row r="1003" spans="1:18" x14ac:dyDescent="0.3">
      <c r="A1003" s="2">
        <v>3263</v>
      </c>
      <c r="B1003" s="41" t="s">
        <v>827</v>
      </c>
      <c r="C1003" s="2">
        <v>8</v>
      </c>
      <c r="D1003" s="2" t="s">
        <v>27</v>
      </c>
      <c r="E1003" s="294">
        <v>415300</v>
      </c>
      <c r="F1003" s="296">
        <v>470833.33333333331</v>
      </c>
      <c r="G1003" s="352">
        <v>6</v>
      </c>
      <c r="H1003" s="296">
        <f t="shared" si="186"/>
        <v>2491800</v>
      </c>
      <c r="I1003" s="122">
        <f t="shared" si="187"/>
        <v>2825000</v>
      </c>
      <c r="J1003" s="331">
        <f t="shared" si="188"/>
        <v>333200</v>
      </c>
      <c r="K1003" s="292">
        <f>'09-RESUMEN'!$F$43/1375</f>
        <v>81431.961035221175</v>
      </c>
      <c r="L1003" s="122">
        <f>('ESTADO RESULTADOS'!$C$36+'ESTADO RESULTADOS'!$C$71)/1375</f>
        <v>24762.287272727273</v>
      </c>
      <c r="M1003" s="122">
        <v>0</v>
      </c>
      <c r="N1003" s="122">
        <f t="shared" si="196"/>
        <v>2597994.2483079485</v>
      </c>
      <c r="O1003" s="122">
        <f t="shared" si="197"/>
        <v>432999.04138465808</v>
      </c>
      <c r="P1003" s="336">
        <f t="shared" si="189"/>
        <v>227005.75169205153</v>
      </c>
      <c r="Q1003" s="336">
        <f t="shared" si="190"/>
        <v>17699.041384658078</v>
      </c>
      <c r="R1003" s="303">
        <f t="shared" si="191"/>
        <v>4.2617484672906519E-2</v>
      </c>
    </row>
    <row r="1004" spans="1:18" x14ac:dyDescent="0.3">
      <c r="A1004" s="2">
        <v>3264</v>
      </c>
      <c r="B1004" s="41" t="s">
        <v>828</v>
      </c>
      <c r="C1004" s="2">
        <v>4</v>
      </c>
      <c r="D1004" s="2" t="s">
        <v>16</v>
      </c>
      <c r="E1004" s="294">
        <v>98000</v>
      </c>
      <c r="F1004" s="296">
        <v>115000</v>
      </c>
      <c r="G1004" s="352">
        <v>5</v>
      </c>
      <c r="H1004" s="296">
        <f t="shared" si="186"/>
        <v>490000</v>
      </c>
      <c r="I1004" s="122">
        <f t="shared" si="187"/>
        <v>575000</v>
      </c>
      <c r="J1004" s="331">
        <f t="shared" si="188"/>
        <v>85000</v>
      </c>
      <c r="K1004" s="292">
        <f>'09-RESUMEN'!$F$43/1375</f>
        <v>81431.961035221175</v>
      </c>
      <c r="L1004" s="122">
        <f>('ESTADO RESULTADOS'!$C$36+'ESTADO RESULTADOS'!$C$71)/1375</f>
        <v>24762.287272727273</v>
      </c>
      <c r="M1004" s="122">
        <v>0</v>
      </c>
      <c r="N1004" s="122">
        <f t="shared" si="196"/>
        <v>596194.24830794835</v>
      </c>
      <c r="O1004" s="122">
        <f t="shared" si="197"/>
        <v>119238.84966158967</v>
      </c>
      <c r="P1004" s="336">
        <f t="shared" si="189"/>
        <v>-21194.24830794835</v>
      </c>
      <c r="Q1004" s="336">
        <f t="shared" si="190"/>
        <v>21238.849661589673</v>
      </c>
      <c r="R1004" s="303">
        <f t="shared" si="191"/>
        <v>0.21672295573050687</v>
      </c>
    </row>
    <row r="1005" spans="1:18" x14ac:dyDescent="0.3">
      <c r="A1005" s="2">
        <v>3265</v>
      </c>
      <c r="B1005" s="41" t="s">
        <v>1824</v>
      </c>
      <c r="C1005" s="2">
        <v>14</v>
      </c>
      <c r="D1005" s="2" t="s">
        <v>1825</v>
      </c>
      <c r="E1005" s="294">
        <v>9372</v>
      </c>
      <c r="F1005" s="296">
        <v>12800</v>
      </c>
      <c r="G1005" s="352">
        <v>0</v>
      </c>
      <c r="H1005" s="296">
        <f t="shared" si="186"/>
        <v>0</v>
      </c>
      <c r="I1005" s="122">
        <f t="shared" si="187"/>
        <v>0</v>
      </c>
      <c r="J1005" s="331">
        <f t="shared" si="188"/>
        <v>0</v>
      </c>
      <c r="K1005" s="292">
        <f>'09-RESUMEN'!$F$43/1375</f>
        <v>81431.961035221175</v>
      </c>
      <c r="L1005" s="122">
        <f>('ESTADO RESULTADOS'!$C$36+'ESTADO RESULTADOS'!$C$71)/1375</f>
        <v>24762.287272727273</v>
      </c>
      <c r="M1005" s="122">
        <v>0</v>
      </c>
      <c r="N1005" s="122">
        <f>SUM(E1005+K1005+L1005+M1005)</f>
        <v>115566.24830794845</v>
      </c>
      <c r="O1005" s="122">
        <f>N1005</f>
        <v>115566.24830794845</v>
      </c>
      <c r="P1005" s="336">
        <f t="shared" si="189"/>
        <v>-115566.24830794845</v>
      </c>
      <c r="Q1005" s="336">
        <f t="shared" si="190"/>
        <v>106194.24830794845</v>
      </c>
      <c r="R1005" s="303">
        <f t="shared" si="191"/>
        <v>11.331012410152416</v>
      </c>
    </row>
    <row r="1006" spans="1:18" x14ac:dyDescent="0.3">
      <c r="A1006" s="2">
        <v>3266</v>
      </c>
      <c r="B1006" s="41" t="s">
        <v>829</v>
      </c>
      <c r="C1006" s="2">
        <v>14</v>
      </c>
      <c r="D1006" s="2" t="s">
        <v>489</v>
      </c>
      <c r="E1006" s="294">
        <v>32269</v>
      </c>
      <c r="F1006" s="296">
        <v>41000</v>
      </c>
      <c r="G1006" s="352">
        <v>0</v>
      </c>
      <c r="H1006" s="296">
        <f t="shared" si="186"/>
        <v>0</v>
      </c>
      <c r="I1006" s="122">
        <f t="shared" si="187"/>
        <v>0</v>
      </c>
      <c r="J1006" s="331">
        <f t="shared" si="188"/>
        <v>0</v>
      </c>
      <c r="K1006" s="292">
        <f>'09-RESUMEN'!$F$43/1375</f>
        <v>81431.961035221175</v>
      </c>
      <c r="L1006" s="122">
        <f>('ESTADO RESULTADOS'!$C$36+'ESTADO RESULTADOS'!$C$71)/1375</f>
        <v>24762.287272727273</v>
      </c>
      <c r="M1006" s="122">
        <v>0</v>
      </c>
      <c r="N1006" s="122">
        <f>SUM(E1006+K1006+L1006+M1006)</f>
        <v>138463.24830794844</v>
      </c>
      <c r="O1006" s="122">
        <f>N1006</f>
        <v>138463.24830794844</v>
      </c>
      <c r="P1006" s="336">
        <f t="shared" si="189"/>
        <v>-138463.24830794844</v>
      </c>
      <c r="Q1006" s="336">
        <f t="shared" si="190"/>
        <v>106194.24830794844</v>
      </c>
      <c r="R1006" s="303">
        <f t="shared" si="191"/>
        <v>3.2909060803851511</v>
      </c>
    </row>
    <row r="1007" spans="1:18" x14ac:dyDescent="0.3">
      <c r="A1007" s="2">
        <v>3267</v>
      </c>
      <c r="B1007" s="41" t="s">
        <v>830</v>
      </c>
      <c r="C1007" s="2">
        <v>8</v>
      </c>
      <c r="D1007" s="2" t="s">
        <v>27</v>
      </c>
      <c r="E1007" s="294">
        <v>265000</v>
      </c>
      <c r="F1007" s="296">
        <v>346666.66666666669</v>
      </c>
      <c r="G1007" s="352">
        <v>4</v>
      </c>
      <c r="H1007" s="296">
        <f t="shared" si="186"/>
        <v>1060000</v>
      </c>
      <c r="I1007" s="122">
        <f t="shared" si="187"/>
        <v>1386666.6666666667</v>
      </c>
      <c r="J1007" s="331">
        <f t="shared" si="188"/>
        <v>326666.66666666674</v>
      </c>
      <c r="K1007" s="292">
        <f>'09-RESUMEN'!$F$43/1375</f>
        <v>81431.961035221175</v>
      </c>
      <c r="L1007" s="122">
        <f>('ESTADO RESULTADOS'!$C$36+'ESTADO RESULTADOS'!$C$71)/1375</f>
        <v>24762.287272727273</v>
      </c>
      <c r="M1007" s="122">
        <v>0</v>
      </c>
      <c r="N1007" s="122">
        <f t="shared" ref="N1007:N1023" si="198">SUM(H1007+K1007+L1007+M1007)</f>
        <v>1166194.2483079485</v>
      </c>
      <c r="O1007" s="122">
        <f t="shared" ref="O1007:O1023" si="199">N1007/G1007</f>
        <v>291548.56207698712</v>
      </c>
      <c r="P1007" s="336">
        <f t="shared" si="189"/>
        <v>220472.41835871828</v>
      </c>
      <c r="Q1007" s="336">
        <f t="shared" si="190"/>
        <v>26548.562076987117</v>
      </c>
      <c r="R1007" s="303">
        <f t="shared" si="191"/>
        <v>0.1001832531207061</v>
      </c>
    </row>
    <row r="1008" spans="1:18" x14ac:dyDescent="0.3">
      <c r="A1008" s="2">
        <v>3268</v>
      </c>
      <c r="B1008" s="41" t="s">
        <v>831</v>
      </c>
      <c r="C1008" s="2">
        <v>6</v>
      </c>
      <c r="D1008" s="2" t="s">
        <v>16</v>
      </c>
      <c r="E1008" s="294">
        <v>42000</v>
      </c>
      <c r="F1008" s="296">
        <v>49000</v>
      </c>
      <c r="G1008" s="352">
        <v>16</v>
      </c>
      <c r="H1008" s="296">
        <f t="shared" si="186"/>
        <v>672000</v>
      </c>
      <c r="I1008" s="122">
        <f t="shared" si="187"/>
        <v>784000</v>
      </c>
      <c r="J1008" s="331">
        <f t="shared" si="188"/>
        <v>112000</v>
      </c>
      <c r="K1008" s="292">
        <f>'09-RESUMEN'!$F$43/1375</f>
        <v>81431.961035221175</v>
      </c>
      <c r="L1008" s="122">
        <f>('ESTADO RESULTADOS'!$C$36+'ESTADO RESULTADOS'!$C$71)/1375</f>
        <v>24762.287272727273</v>
      </c>
      <c r="M1008" s="122">
        <v>0</v>
      </c>
      <c r="N1008" s="122">
        <f t="shared" si="198"/>
        <v>778194.24830794835</v>
      </c>
      <c r="O1008" s="122">
        <f t="shared" si="199"/>
        <v>48637.140519246772</v>
      </c>
      <c r="P1008" s="336">
        <f t="shared" si="189"/>
        <v>5805.75169205165</v>
      </c>
      <c r="Q1008" s="336">
        <f t="shared" si="190"/>
        <v>6637.1405192467719</v>
      </c>
      <c r="R1008" s="303">
        <f t="shared" si="191"/>
        <v>0.15802715522016123</v>
      </c>
    </row>
    <row r="1009" spans="1:18" x14ac:dyDescent="0.3">
      <c r="A1009" s="2">
        <v>3269</v>
      </c>
      <c r="B1009" s="41" t="s">
        <v>1826</v>
      </c>
      <c r="C1009" s="2">
        <v>4</v>
      </c>
      <c r="D1009" s="2" t="s">
        <v>176</v>
      </c>
      <c r="E1009" s="294">
        <v>55232</v>
      </c>
      <c r="F1009" s="296">
        <v>66800</v>
      </c>
      <c r="G1009" s="352">
        <v>14</v>
      </c>
      <c r="H1009" s="296">
        <f t="shared" si="186"/>
        <v>773248</v>
      </c>
      <c r="I1009" s="122">
        <f t="shared" si="187"/>
        <v>935200</v>
      </c>
      <c r="J1009" s="331">
        <f t="shared" si="188"/>
        <v>161952</v>
      </c>
      <c r="K1009" s="292">
        <f>'09-RESUMEN'!$F$43/1375</f>
        <v>81431.961035221175</v>
      </c>
      <c r="L1009" s="122">
        <f>('ESTADO RESULTADOS'!$C$36+'ESTADO RESULTADOS'!$C$71)/1375</f>
        <v>24762.287272727273</v>
      </c>
      <c r="M1009" s="122">
        <v>0</v>
      </c>
      <c r="N1009" s="122">
        <f t="shared" si="198"/>
        <v>879442.24830794835</v>
      </c>
      <c r="O1009" s="122">
        <f t="shared" si="199"/>
        <v>62817.303450567742</v>
      </c>
      <c r="P1009" s="336">
        <f t="shared" si="189"/>
        <v>55757.75169205165</v>
      </c>
      <c r="Q1009" s="336">
        <f t="shared" si="190"/>
        <v>7585.3034505677424</v>
      </c>
      <c r="R1009" s="303">
        <f t="shared" si="191"/>
        <v>0.13733530291439278</v>
      </c>
    </row>
    <row r="1010" spans="1:18" x14ac:dyDescent="0.3">
      <c r="A1010" s="2">
        <v>3270</v>
      </c>
      <c r="B1010" s="41" t="s">
        <v>832</v>
      </c>
      <c r="C1010" s="2">
        <v>12</v>
      </c>
      <c r="D1010" s="2" t="s">
        <v>12</v>
      </c>
      <c r="E1010" s="294">
        <v>2500</v>
      </c>
      <c r="F1010" s="296">
        <v>3500</v>
      </c>
      <c r="G1010" s="352">
        <v>1</v>
      </c>
      <c r="H1010" s="296">
        <f t="shared" si="186"/>
        <v>2500</v>
      </c>
      <c r="I1010" s="122">
        <f t="shared" si="187"/>
        <v>3500</v>
      </c>
      <c r="J1010" s="331">
        <f t="shared" si="188"/>
        <v>1000</v>
      </c>
      <c r="K1010" s="292">
        <f>'09-RESUMEN'!$F$43/1375</f>
        <v>81431.961035221175</v>
      </c>
      <c r="L1010" s="122">
        <f>('ESTADO RESULTADOS'!$C$36+'ESTADO RESULTADOS'!$C$71)/1375</f>
        <v>24762.287272727273</v>
      </c>
      <c r="M1010" s="122">
        <v>0</v>
      </c>
      <c r="N1010" s="122">
        <f t="shared" si="198"/>
        <v>108694.24830794845</v>
      </c>
      <c r="O1010" s="122">
        <f t="shared" si="199"/>
        <v>108694.24830794845</v>
      </c>
      <c r="P1010" s="336">
        <f t="shared" si="189"/>
        <v>-105194.24830794845</v>
      </c>
      <c r="Q1010" s="336">
        <f t="shared" si="190"/>
        <v>106194.24830794845</v>
      </c>
      <c r="R1010" s="303">
        <f t="shared" si="191"/>
        <v>42.47769932317938</v>
      </c>
    </row>
    <row r="1011" spans="1:18" x14ac:dyDescent="0.3">
      <c r="A1011" s="2">
        <v>3271</v>
      </c>
      <c r="B1011" s="41" t="s">
        <v>833</v>
      </c>
      <c r="C1011" s="2">
        <v>12</v>
      </c>
      <c r="D1011" s="2" t="s">
        <v>12</v>
      </c>
      <c r="E1011" s="294">
        <v>3678.29</v>
      </c>
      <c r="F1011" s="296">
        <v>4800</v>
      </c>
      <c r="G1011" s="352">
        <v>7</v>
      </c>
      <c r="H1011" s="296">
        <f t="shared" si="186"/>
        <v>25748.03</v>
      </c>
      <c r="I1011" s="122">
        <f t="shared" si="187"/>
        <v>33600</v>
      </c>
      <c r="J1011" s="331">
        <f t="shared" si="188"/>
        <v>7851.9700000000012</v>
      </c>
      <c r="K1011" s="292">
        <f>'09-RESUMEN'!$F$43/1375</f>
        <v>81431.961035221175</v>
      </c>
      <c r="L1011" s="122">
        <f>('ESTADO RESULTADOS'!$C$36+'ESTADO RESULTADOS'!$C$71)/1375</f>
        <v>24762.287272727273</v>
      </c>
      <c r="M1011" s="122">
        <v>0</v>
      </c>
      <c r="N1011" s="122">
        <f t="shared" si="198"/>
        <v>131942.27830794844</v>
      </c>
      <c r="O1011" s="122">
        <f t="shared" si="199"/>
        <v>18848.896901135489</v>
      </c>
      <c r="P1011" s="336">
        <f t="shared" si="189"/>
        <v>-98342.278307948436</v>
      </c>
      <c r="Q1011" s="336">
        <f t="shared" si="190"/>
        <v>15170.606901135488</v>
      </c>
      <c r="R1011" s="303">
        <f t="shared" si="191"/>
        <v>4.1243640118466702</v>
      </c>
    </row>
    <row r="1012" spans="1:18" x14ac:dyDescent="0.3">
      <c r="A1012" s="2">
        <v>3272</v>
      </c>
      <c r="B1012" s="41" t="s">
        <v>834</v>
      </c>
      <c r="C1012" s="2">
        <v>12</v>
      </c>
      <c r="D1012" s="2" t="s">
        <v>12</v>
      </c>
      <c r="E1012" s="294">
        <v>15500</v>
      </c>
      <c r="F1012" s="296">
        <v>17083.333333333332</v>
      </c>
      <c r="G1012" s="352">
        <v>6</v>
      </c>
      <c r="H1012" s="296">
        <f t="shared" si="186"/>
        <v>93000</v>
      </c>
      <c r="I1012" s="122">
        <f t="shared" si="187"/>
        <v>102500</v>
      </c>
      <c r="J1012" s="331">
        <f t="shared" si="188"/>
        <v>9500</v>
      </c>
      <c r="K1012" s="292">
        <f>'09-RESUMEN'!$F$43/1375</f>
        <v>81431.961035221175</v>
      </c>
      <c r="L1012" s="122">
        <f>('ESTADO RESULTADOS'!$C$36+'ESTADO RESULTADOS'!$C$71)/1375</f>
        <v>24762.287272727273</v>
      </c>
      <c r="M1012" s="122">
        <v>0</v>
      </c>
      <c r="N1012" s="122">
        <f t="shared" si="198"/>
        <v>199194.24830794844</v>
      </c>
      <c r="O1012" s="122">
        <f t="shared" si="199"/>
        <v>33199.04138465807</v>
      </c>
      <c r="P1012" s="336">
        <f t="shared" si="189"/>
        <v>-96694.248307948437</v>
      </c>
      <c r="Q1012" s="336">
        <f t="shared" si="190"/>
        <v>17699.04138465807</v>
      </c>
      <c r="R1012" s="303">
        <f t="shared" si="191"/>
        <v>1.1418736377198755</v>
      </c>
    </row>
    <row r="1013" spans="1:18" x14ac:dyDescent="0.3">
      <c r="A1013" s="2">
        <v>3273</v>
      </c>
      <c r="B1013" s="41" t="s">
        <v>835</v>
      </c>
      <c r="C1013" s="2">
        <v>12</v>
      </c>
      <c r="D1013" s="2" t="s">
        <v>12</v>
      </c>
      <c r="E1013" s="294">
        <v>11163.39</v>
      </c>
      <c r="F1013" s="296">
        <v>13800</v>
      </c>
      <c r="G1013" s="352">
        <v>2</v>
      </c>
      <c r="H1013" s="296">
        <f t="shared" si="186"/>
        <v>22326.78</v>
      </c>
      <c r="I1013" s="122">
        <f t="shared" si="187"/>
        <v>27600</v>
      </c>
      <c r="J1013" s="331">
        <f t="shared" si="188"/>
        <v>5273.2200000000012</v>
      </c>
      <c r="K1013" s="292">
        <f>'09-RESUMEN'!$F$43/1375</f>
        <v>81431.961035221175</v>
      </c>
      <c r="L1013" s="122">
        <f>('ESTADO RESULTADOS'!$C$36+'ESTADO RESULTADOS'!$C$71)/1375</f>
        <v>24762.287272727273</v>
      </c>
      <c r="M1013" s="122">
        <v>0</v>
      </c>
      <c r="N1013" s="122">
        <f t="shared" si="198"/>
        <v>128521.02830794845</v>
      </c>
      <c r="O1013" s="122">
        <f t="shared" si="199"/>
        <v>64260.514153974225</v>
      </c>
      <c r="P1013" s="336">
        <f t="shared" si="189"/>
        <v>-100921.02830794845</v>
      </c>
      <c r="Q1013" s="336">
        <f t="shared" si="190"/>
        <v>53097.124153974226</v>
      </c>
      <c r="R1013" s="303">
        <f t="shared" si="191"/>
        <v>4.7563620149411809</v>
      </c>
    </row>
    <row r="1014" spans="1:18" x14ac:dyDescent="0.3">
      <c r="A1014" s="2">
        <v>3274</v>
      </c>
      <c r="B1014" s="41" t="s">
        <v>836</v>
      </c>
      <c r="C1014" s="2">
        <v>12</v>
      </c>
      <c r="D1014" s="2" t="s">
        <v>12</v>
      </c>
      <c r="E1014" s="294">
        <v>5057.5</v>
      </c>
      <c r="F1014" s="296">
        <v>7200</v>
      </c>
      <c r="G1014" s="352">
        <v>10</v>
      </c>
      <c r="H1014" s="296">
        <f t="shared" si="186"/>
        <v>50575</v>
      </c>
      <c r="I1014" s="122">
        <f t="shared" si="187"/>
        <v>72000</v>
      </c>
      <c r="J1014" s="331">
        <f t="shared" si="188"/>
        <v>21425</v>
      </c>
      <c r="K1014" s="292">
        <f>'09-RESUMEN'!$F$43/1375</f>
        <v>81431.961035221175</v>
      </c>
      <c r="L1014" s="122">
        <f>('ESTADO RESULTADOS'!$C$36+'ESTADO RESULTADOS'!$C$71)/1375</f>
        <v>24762.287272727273</v>
      </c>
      <c r="M1014" s="122">
        <v>0</v>
      </c>
      <c r="N1014" s="122">
        <f t="shared" si="198"/>
        <v>156769.24830794844</v>
      </c>
      <c r="O1014" s="122">
        <f t="shared" si="199"/>
        <v>15676.924830794844</v>
      </c>
      <c r="P1014" s="336">
        <f t="shared" si="189"/>
        <v>-84769.248307948437</v>
      </c>
      <c r="Q1014" s="336">
        <f t="shared" si="190"/>
        <v>10619.424830794844</v>
      </c>
      <c r="R1014" s="303">
        <f t="shared" si="191"/>
        <v>2.0997379793959157</v>
      </c>
    </row>
    <row r="1015" spans="1:18" x14ac:dyDescent="0.3">
      <c r="A1015" s="2">
        <v>3275</v>
      </c>
      <c r="B1015" s="41" t="s">
        <v>837</v>
      </c>
      <c r="C1015" s="2">
        <v>12</v>
      </c>
      <c r="D1015" s="2" t="s">
        <v>12</v>
      </c>
      <c r="E1015" s="294">
        <v>11000</v>
      </c>
      <c r="F1015" s="296">
        <v>13500</v>
      </c>
      <c r="G1015" s="352">
        <v>1</v>
      </c>
      <c r="H1015" s="296">
        <f t="shared" si="186"/>
        <v>11000</v>
      </c>
      <c r="I1015" s="122">
        <f t="shared" si="187"/>
        <v>13500</v>
      </c>
      <c r="J1015" s="331">
        <f t="shared" si="188"/>
        <v>2500</v>
      </c>
      <c r="K1015" s="292">
        <f>'09-RESUMEN'!$F$43/1375</f>
        <v>81431.961035221175</v>
      </c>
      <c r="L1015" s="122">
        <f>('ESTADO RESULTADOS'!$C$36+'ESTADO RESULTADOS'!$C$71)/1375</f>
        <v>24762.287272727273</v>
      </c>
      <c r="M1015" s="122">
        <v>0</v>
      </c>
      <c r="N1015" s="122">
        <f t="shared" si="198"/>
        <v>117194.24830794845</v>
      </c>
      <c r="O1015" s="122">
        <f t="shared" si="199"/>
        <v>117194.24830794845</v>
      </c>
      <c r="P1015" s="336">
        <f t="shared" si="189"/>
        <v>-103694.24830794845</v>
      </c>
      <c r="Q1015" s="336">
        <f t="shared" si="190"/>
        <v>106194.24830794845</v>
      </c>
      <c r="R1015" s="303">
        <f t="shared" si="191"/>
        <v>9.6540225734498595</v>
      </c>
    </row>
    <row r="1016" spans="1:18" x14ac:dyDescent="0.3">
      <c r="A1016" s="2">
        <v>3276</v>
      </c>
      <c r="B1016" s="41" t="s">
        <v>838</v>
      </c>
      <c r="C1016" s="2">
        <v>12</v>
      </c>
      <c r="D1016" s="2" t="s">
        <v>12</v>
      </c>
      <c r="E1016" s="294">
        <v>21899.999899999999</v>
      </c>
      <c r="F1016" s="296">
        <v>25000</v>
      </c>
      <c r="G1016" s="352">
        <v>8</v>
      </c>
      <c r="H1016" s="296">
        <f t="shared" si="186"/>
        <v>175199.99919999999</v>
      </c>
      <c r="I1016" s="122">
        <f t="shared" si="187"/>
        <v>200000</v>
      </c>
      <c r="J1016" s="331">
        <f t="shared" si="188"/>
        <v>24800.000800000009</v>
      </c>
      <c r="K1016" s="292">
        <f>'09-RESUMEN'!$F$43/1375</f>
        <v>81431.961035221175</v>
      </c>
      <c r="L1016" s="122">
        <f>('ESTADO RESULTADOS'!$C$36+'ESTADO RESULTADOS'!$C$71)/1375</f>
        <v>24762.287272727273</v>
      </c>
      <c r="M1016" s="122">
        <v>0</v>
      </c>
      <c r="N1016" s="122">
        <f t="shared" si="198"/>
        <v>281394.24750794843</v>
      </c>
      <c r="O1016" s="122">
        <f t="shared" si="199"/>
        <v>35174.280938493554</v>
      </c>
      <c r="P1016" s="336">
        <f t="shared" si="189"/>
        <v>-81394.247507948428</v>
      </c>
      <c r="Q1016" s="336">
        <f t="shared" si="190"/>
        <v>13274.281038493555</v>
      </c>
      <c r="R1016" s="303">
        <f t="shared" si="191"/>
        <v>0.60613155703683608</v>
      </c>
    </row>
    <row r="1017" spans="1:18" x14ac:dyDescent="0.3">
      <c r="A1017" s="2">
        <v>3277</v>
      </c>
      <c r="B1017" s="41" t="s">
        <v>839</v>
      </c>
      <c r="C1017" s="2">
        <v>12</v>
      </c>
      <c r="D1017" s="2" t="s">
        <v>12</v>
      </c>
      <c r="E1017" s="294">
        <v>2587.06</v>
      </c>
      <c r="F1017" s="296">
        <v>4000</v>
      </c>
      <c r="G1017" s="352">
        <v>3</v>
      </c>
      <c r="H1017" s="296">
        <f t="shared" si="186"/>
        <v>7761.18</v>
      </c>
      <c r="I1017" s="122">
        <f t="shared" si="187"/>
        <v>12000</v>
      </c>
      <c r="J1017" s="331">
        <f t="shared" si="188"/>
        <v>4238.82</v>
      </c>
      <c r="K1017" s="292">
        <f>'09-RESUMEN'!$F$43/1375</f>
        <v>81431.961035221175</v>
      </c>
      <c r="L1017" s="122">
        <f>('ESTADO RESULTADOS'!$C$36+'ESTADO RESULTADOS'!$C$71)/1375</f>
        <v>24762.287272727273</v>
      </c>
      <c r="M1017" s="122">
        <v>0</v>
      </c>
      <c r="N1017" s="122">
        <f t="shared" si="198"/>
        <v>113955.42830794844</v>
      </c>
      <c r="O1017" s="122">
        <f t="shared" si="199"/>
        <v>37985.142769316146</v>
      </c>
      <c r="P1017" s="336">
        <f t="shared" si="189"/>
        <v>-101955.42830794844</v>
      </c>
      <c r="Q1017" s="336">
        <f t="shared" si="190"/>
        <v>35398.082769316148</v>
      </c>
      <c r="R1017" s="303">
        <f t="shared" si="191"/>
        <v>13.682745189255815</v>
      </c>
    </row>
    <row r="1018" spans="1:18" x14ac:dyDescent="0.3">
      <c r="A1018" s="2">
        <v>3278</v>
      </c>
      <c r="B1018" s="41" t="s">
        <v>840</v>
      </c>
      <c r="C1018" s="2">
        <v>12</v>
      </c>
      <c r="D1018" s="2" t="s">
        <v>12</v>
      </c>
      <c r="E1018" s="294">
        <v>2200</v>
      </c>
      <c r="F1018" s="296">
        <v>2500</v>
      </c>
      <c r="G1018" s="352">
        <v>6</v>
      </c>
      <c r="H1018" s="296">
        <f t="shared" si="186"/>
        <v>13200</v>
      </c>
      <c r="I1018" s="122">
        <f t="shared" si="187"/>
        <v>15000</v>
      </c>
      <c r="J1018" s="331">
        <f t="shared" si="188"/>
        <v>1800</v>
      </c>
      <c r="K1018" s="292">
        <f>'09-RESUMEN'!$F$43/1375</f>
        <v>81431.961035221175</v>
      </c>
      <c r="L1018" s="122">
        <f>('ESTADO RESULTADOS'!$C$36+'ESTADO RESULTADOS'!$C$71)/1375</f>
        <v>24762.287272727273</v>
      </c>
      <c r="M1018" s="122">
        <v>0</v>
      </c>
      <c r="N1018" s="122">
        <f t="shared" si="198"/>
        <v>119394.24830794845</v>
      </c>
      <c r="O1018" s="122">
        <f t="shared" si="199"/>
        <v>19899.041384658074</v>
      </c>
      <c r="P1018" s="336">
        <f t="shared" si="189"/>
        <v>-104394.24830794845</v>
      </c>
      <c r="Q1018" s="336">
        <f t="shared" si="190"/>
        <v>17699.041384658074</v>
      </c>
      <c r="R1018" s="303">
        <f t="shared" si="191"/>
        <v>8.0450188112082159</v>
      </c>
    </row>
    <row r="1019" spans="1:18" x14ac:dyDescent="0.3">
      <c r="A1019" s="2">
        <v>3279</v>
      </c>
      <c r="B1019" s="41" t="s">
        <v>841</v>
      </c>
      <c r="C1019" s="2">
        <v>5</v>
      </c>
      <c r="D1019" s="2" t="s">
        <v>16</v>
      </c>
      <c r="E1019" s="294">
        <v>39009.839999999997</v>
      </c>
      <c r="F1019" s="296">
        <v>45200</v>
      </c>
      <c r="G1019" s="352">
        <v>2</v>
      </c>
      <c r="H1019" s="296">
        <f t="shared" si="186"/>
        <v>78019.679999999993</v>
      </c>
      <c r="I1019" s="122">
        <f t="shared" si="187"/>
        <v>90400</v>
      </c>
      <c r="J1019" s="331">
        <f t="shared" si="188"/>
        <v>12380.320000000007</v>
      </c>
      <c r="K1019" s="292">
        <f>'09-RESUMEN'!$F$43/1375</f>
        <v>81431.961035221175</v>
      </c>
      <c r="L1019" s="122">
        <f>('ESTADO RESULTADOS'!$C$36+'ESTADO RESULTADOS'!$C$71)/1375</f>
        <v>24762.287272727273</v>
      </c>
      <c r="M1019" s="122">
        <v>0</v>
      </c>
      <c r="N1019" s="122">
        <f t="shared" si="198"/>
        <v>184213.92830794843</v>
      </c>
      <c r="O1019" s="122">
        <f t="shared" si="199"/>
        <v>92106.964153974215</v>
      </c>
      <c r="P1019" s="336">
        <f t="shared" si="189"/>
        <v>-93813.92830794843</v>
      </c>
      <c r="Q1019" s="336">
        <f t="shared" si="190"/>
        <v>53097.124153974219</v>
      </c>
      <c r="R1019" s="303">
        <f t="shared" si="191"/>
        <v>1.3611213005224894</v>
      </c>
    </row>
    <row r="1020" spans="1:18" x14ac:dyDescent="0.3">
      <c r="A1020" s="2">
        <v>3280</v>
      </c>
      <c r="B1020" s="41" t="s">
        <v>1827</v>
      </c>
      <c r="C1020" s="2">
        <v>4</v>
      </c>
      <c r="D1020" s="2" t="s">
        <v>16</v>
      </c>
      <c r="E1020" s="294">
        <v>198579</v>
      </c>
      <c r="F1020" s="296">
        <v>217166.66666666666</v>
      </c>
      <c r="G1020" s="352">
        <v>3</v>
      </c>
      <c r="H1020" s="296">
        <f t="shared" si="186"/>
        <v>595737</v>
      </c>
      <c r="I1020" s="122">
        <f t="shared" si="187"/>
        <v>651500</v>
      </c>
      <c r="J1020" s="331">
        <f t="shared" si="188"/>
        <v>55763</v>
      </c>
      <c r="K1020" s="292">
        <f>'09-RESUMEN'!$F$43/1375</f>
        <v>81431.961035221175</v>
      </c>
      <c r="L1020" s="122">
        <f>('ESTADO RESULTADOS'!$C$36+'ESTADO RESULTADOS'!$C$71)/1375</f>
        <v>24762.287272727273</v>
      </c>
      <c r="M1020" s="122">
        <v>0</v>
      </c>
      <c r="N1020" s="122">
        <f t="shared" si="198"/>
        <v>701931.24830794835</v>
      </c>
      <c r="O1020" s="122">
        <f t="shared" si="199"/>
        <v>233977.08276931613</v>
      </c>
      <c r="P1020" s="336">
        <f t="shared" si="189"/>
        <v>-50431.24830794835</v>
      </c>
      <c r="Q1020" s="336">
        <f t="shared" si="190"/>
        <v>35398.082769316126</v>
      </c>
      <c r="R1020" s="303">
        <f t="shared" si="191"/>
        <v>0.17825692932946649</v>
      </c>
    </row>
    <row r="1021" spans="1:18" x14ac:dyDescent="0.3">
      <c r="A1021" s="2">
        <v>3281</v>
      </c>
      <c r="B1021" s="41" t="s">
        <v>842</v>
      </c>
      <c r="C1021" s="2">
        <v>14</v>
      </c>
      <c r="D1021" s="2" t="s">
        <v>16</v>
      </c>
      <c r="E1021" s="294">
        <v>49287</v>
      </c>
      <c r="F1021" s="296">
        <v>59000</v>
      </c>
      <c r="G1021" s="352">
        <v>1</v>
      </c>
      <c r="H1021" s="296">
        <f t="shared" si="186"/>
        <v>49287</v>
      </c>
      <c r="I1021" s="122">
        <f t="shared" si="187"/>
        <v>59000</v>
      </c>
      <c r="J1021" s="331">
        <f t="shared" si="188"/>
        <v>9713</v>
      </c>
      <c r="K1021" s="292">
        <f>'09-RESUMEN'!$F$43/1375</f>
        <v>81431.961035221175</v>
      </c>
      <c r="L1021" s="122">
        <f>('ESTADO RESULTADOS'!$C$36+'ESTADO RESULTADOS'!$C$71)/1375</f>
        <v>24762.287272727273</v>
      </c>
      <c r="M1021" s="122">
        <v>0</v>
      </c>
      <c r="N1021" s="122">
        <f t="shared" si="198"/>
        <v>155481.24830794844</v>
      </c>
      <c r="O1021" s="122">
        <f t="shared" si="199"/>
        <v>155481.24830794844</v>
      </c>
      <c r="P1021" s="336">
        <f t="shared" si="189"/>
        <v>-96481.248307948437</v>
      </c>
      <c r="Q1021" s="336">
        <f t="shared" si="190"/>
        <v>106194.24830794844</v>
      </c>
      <c r="R1021" s="303">
        <f t="shared" si="191"/>
        <v>2.1546097004879265</v>
      </c>
    </row>
    <row r="1022" spans="1:18" x14ac:dyDescent="0.3">
      <c r="A1022" s="2">
        <v>3282</v>
      </c>
      <c r="B1022" s="41" t="s">
        <v>844</v>
      </c>
      <c r="C1022" s="2">
        <v>7</v>
      </c>
      <c r="D1022" s="2" t="s">
        <v>23</v>
      </c>
      <c r="E1022" s="294">
        <v>600</v>
      </c>
      <c r="F1022" s="296">
        <v>1600</v>
      </c>
      <c r="G1022" s="352">
        <v>8</v>
      </c>
      <c r="H1022" s="296">
        <f t="shared" si="186"/>
        <v>4800</v>
      </c>
      <c r="I1022" s="122">
        <f t="shared" si="187"/>
        <v>12800</v>
      </c>
      <c r="J1022" s="331">
        <f t="shared" si="188"/>
        <v>8000</v>
      </c>
      <c r="K1022" s="292">
        <f>'09-RESUMEN'!$F$43/1375</f>
        <v>81431.961035221175</v>
      </c>
      <c r="L1022" s="122">
        <f>('ESTADO RESULTADOS'!$C$36+'ESTADO RESULTADOS'!$C$71)/1375</f>
        <v>24762.287272727273</v>
      </c>
      <c r="M1022" s="122">
        <v>0</v>
      </c>
      <c r="N1022" s="122">
        <f t="shared" si="198"/>
        <v>110994.24830794845</v>
      </c>
      <c r="O1022" s="122">
        <f t="shared" si="199"/>
        <v>13874.281038493556</v>
      </c>
      <c r="P1022" s="336">
        <f t="shared" si="189"/>
        <v>-98194.248307948452</v>
      </c>
      <c r="Q1022" s="336">
        <f t="shared" si="190"/>
        <v>13274.281038493556</v>
      </c>
      <c r="R1022" s="303">
        <f t="shared" si="191"/>
        <v>22.123801730822596</v>
      </c>
    </row>
    <row r="1023" spans="1:18" x14ac:dyDescent="0.3">
      <c r="A1023" s="2">
        <v>3308</v>
      </c>
      <c r="B1023" s="41" t="s">
        <v>845</v>
      </c>
      <c r="C1023" s="2">
        <v>4</v>
      </c>
      <c r="D1023" s="2" t="s">
        <v>489</v>
      </c>
      <c r="E1023" s="294">
        <v>31500</v>
      </c>
      <c r="F1023" s="296">
        <v>45000</v>
      </c>
      <c r="G1023" s="352">
        <v>24</v>
      </c>
      <c r="H1023" s="296">
        <f t="shared" si="186"/>
        <v>756000</v>
      </c>
      <c r="I1023" s="122">
        <f t="shared" si="187"/>
        <v>1080000</v>
      </c>
      <c r="J1023" s="331">
        <f t="shared" si="188"/>
        <v>324000</v>
      </c>
      <c r="K1023" s="292">
        <f>'09-RESUMEN'!$F$43/1375</f>
        <v>81431.961035221175</v>
      </c>
      <c r="L1023" s="122">
        <f>('ESTADO RESULTADOS'!$C$36+'ESTADO RESULTADOS'!$C$71)/1375</f>
        <v>24762.287272727273</v>
      </c>
      <c r="M1023" s="122">
        <v>0</v>
      </c>
      <c r="N1023" s="122">
        <f t="shared" si="198"/>
        <v>862194.24830794835</v>
      </c>
      <c r="O1023" s="122">
        <f t="shared" si="199"/>
        <v>35924.760346164512</v>
      </c>
      <c r="P1023" s="336">
        <f t="shared" si="189"/>
        <v>217805.75169205165</v>
      </c>
      <c r="Q1023" s="336">
        <f t="shared" si="190"/>
        <v>4424.7603461645122</v>
      </c>
      <c r="R1023" s="303">
        <f t="shared" si="191"/>
        <v>0.14046858241792101</v>
      </c>
    </row>
    <row r="1024" spans="1:18" x14ac:dyDescent="0.3">
      <c r="A1024" s="2">
        <v>3309</v>
      </c>
      <c r="B1024" s="41" t="s">
        <v>1828</v>
      </c>
      <c r="C1024" s="2">
        <v>8</v>
      </c>
      <c r="D1024" s="2" t="s">
        <v>21</v>
      </c>
      <c r="E1024" s="294">
        <v>3000</v>
      </c>
      <c r="F1024" s="296">
        <v>3800</v>
      </c>
      <c r="G1024" s="352">
        <v>0</v>
      </c>
      <c r="H1024" s="296">
        <f t="shared" si="186"/>
        <v>0</v>
      </c>
      <c r="I1024" s="122">
        <f t="shared" si="187"/>
        <v>0</v>
      </c>
      <c r="J1024" s="331">
        <f t="shared" si="188"/>
        <v>0</v>
      </c>
      <c r="K1024" s="292">
        <f>'09-RESUMEN'!$F$43/1375</f>
        <v>81431.961035221175</v>
      </c>
      <c r="L1024" s="122">
        <f>('ESTADO RESULTADOS'!$C$36+'ESTADO RESULTADOS'!$C$71)/1375</f>
        <v>24762.287272727273</v>
      </c>
      <c r="M1024" s="122">
        <v>0</v>
      </c>
      <c r="N1024" s="122">
        <f>SUM(E1024+K1024+L1024+M1024)</f>
        <v>109194.24830794845</v>
      </c>
      <c r="O1024" s="122">
        <f>N1024</f>
        <v>109194.24830794845</v>
      </c>
      <c r="P1024" s="336">
        <f t="shared" si="189"/>
        <v>-109194.24830794845</v>
      </c>
      <c r="Q1024" s="336">
        <f t="shared" si="190"/>
        <v>106194.24830794845</v>
      </c>
      <c r="R1024" s="303">
        <f t="shared" si="191"/>
        <v>35.398082769316147</v>
      </c>
    </row>
    <row r="1025" spans="1:18" x14ac:dyDescent="0.3">
      <c r="A1025" s="2">
        <v>3311</v>
      </c>
      <c r="B1025" s="41" t="s">
        <v>846</v>
      </c>
      <c r="C1025" s="2">
        <v>5</v>
      </c>
      <c r="D1025" s="2" t="s">
        <v>23</v>
      </c>
      <c r="E1025" s="294">
        <v>21100</v>
      </c>
      <c r="F1025" s="296">
        <v>24166.666666666668</v>
      </c>
      <c r="G1025" s="352">
        <v>18</v>
      </c>
      <c r="H1025" s="296">
        <f t="shared" si="186"/>
        <v>379800</v>
      </c>
      <c r="I1025" s="122">
        <f t="shared" si="187"/>
        <v>435000</v>
      </c>
      <c r="J1025" s="331">
        <f t="shared" si="188"/>
        <v>55200</v>
      </c>
      <c r="K1025" s="292">
        <f>'09-RESUMEN'!$F$43/1375</f>
        <v>81431.961035221175</v>
      </c>
      <c r="L1025" s="122">
        <f>('ESTADO RESULTADOS'!$C$36+'ESTADO RESULTADOS'!$C$71)/1375</f>
        <v>24762.287272727273</v>
      </c>
      <c r="M1025" s="122">
        <v>0</v>
      </c>
      <c r="N1025" s="122">
        <f>SUM(H1025+K1025+L1025+M1025)</f>
        <v>485994.24830794847</v>
      </c>
      <c r="O1025" s="122">
        <f>N1025/G1025</f>
        <v>26999.680461552693</v>
      </c>
      <c r="P1025" s="336">
        <f t="shared" si="189"/>
        <v>-50994.248307948466</v>
      </c>
      <c r="Q1025" s="336">
        <f t="shared" si="190"/>
        <v>5899.6804615526926</v>
      </c>
      <c r="R1025" s="303">
        <f t="shared" si="191"/>
        <v>0.27960570907832666</v>
      </c>
    </row>
    <row r="1026" spans="1:18" x14ac:dyDescent="0.3">
      <c r="A1026" s="2">
        <v>3312</v>
      </c>
      <c r="B1026" s="41" t="s">
        <v>847</v>
      </c>
      <c r="C1026" s="2">
        <v>14</v>
      </c>
      <c r="D1026" s="2" t="s">
        <v>81</v>
      </c>
      <c r="E1026" s="294">
        <v>13000</v>
      </c>
      <c r="F1026" s="296">
        <v>16000</v>
      </c>
      <c r="G1026" s="352">
        <v>28</v>
      </c>
      <c r="H1026" s="296">
        <f t="shared" si="186"/>
        <v>364000</v>
      </c>
      <c r="I1026" s="122">
        <f t="shared" si="187"/>
        <v>448000</v>
      </c>
      <c r="J1026" s="331">
        <f t="shared" si="188"/>
        <v>84000</v>
      </c>
      <c r="K1026" s="292">
        <f>'09-RESUMEN'!$F$43/1375</f>
        <v>81431.961035221175</v>
      </c>
      <c r="L1026" s="122">
        <f>('ESTADO RESULTADOS'!$C$36+'ESTADO RESULTADOS'!$C$71)/1375</f>
        <v>24762.287272727273</v>
      </c>
      <c r="M1026" s="122">
        <v>0</v>
      </c>
      <c r="N1026" s="122">
        <f>SUM(H1026+K1026+L1026+M1026)</f>
        <v>470194.24830794847</v>
      </c>
      <c r="O1026" s="122">
        <f>N1026/G1026</f>
        <v>16792.651725283875</v>
      </c>
      <c r="P1026" s="336">
        <f t="shared" si="189"/>
        <v>-22194.248307948466</v>
      </c>
      <c r="Q1026" s="336">
        <f t="shared" si="190"/>
        <v>3792.6517252838748</v>
      </c>
      <c r="R1026" s="303">
        <f t="shared" si="191"/>
        <v>0.29174244040645192</v>
      </c>
    </row>
    <row r="1027" spans="1:18" x14ac:dyDescent="0.3">
      <c r="A1027" s="2">
        <v>3313</v>
      </c>
      <c r="B1027" s="41" t="s">
        <v>1829</v>
      </c>
      <c r="C1027" s="2">
        <v>12</v>
      </c>
      <c r="D1027" s="2" t="s">
        <v>12</v>
      </c>
      <c r="E1027" s="294">
        <v>10710</v>
      </c>
      <c r="F1027" s="296">
        <v>14000</v>
      </c>
      <c r="G1027" s="352">
        <v>0</v>
      </c>
      <c r="H1027" s="296">
        <f t="shared" si="186"/>
        <v>0</v>
      </c>
      <c r="I1027" s="122">
        <f t="shared" si="187"/>
        <v>0</v>
      </c>
      <c r="J1027" s="331">
        <f t="shared" si="188"/>
        <v>0</v>
      </c>
      <c r="K1027" s="292">
        <f>'09-RESUMEN'!$F$43/1375</f>
        <v>81431.961035221175</v>
      </c>
      <c r="L1027" s="122">
        <f>('ESTADO RESULTADOS'!$C$36+'ESTADO RESULTADOS'!$C$71)/1375</f>
        <v>24762.287272727273</v>
      </c>
      <c r="M1027" s="122">
        <v>0</v>
      </c>
      <c r="N1027" s="122">
        <f>SUM(E1027+K1027+L1027+M1027)</f>
        <v>116904.24830794845</v>
      </c>
      <c r="O1027" s="122">
        <f>N1027</f>
        <v>116904.24830794845</v>
      </c>
      <c r="P1027" s="336">
        <f t="shared" si="189"/>
        <v>-116904.24830794845</v>
      </c>
      <c r="Q1027" s="336">
        <f t="shared" si="190"/>
        <v>106194.24830794845</v>
      </c>
      <c r="R1027" s="303">
        <f t="shared" si="191"/>
        <v>9.9154293471473807</v>
      </c>
    </row>
    <row r="1028" spans="1:18" x14ac:dyDescent="0.3">
      <c r="A1028" s="2">
        <v>3314</v>
      </c>
      <c r="B1028" s="41" t="s">
        <v>1830</v>
      </c>
      <c r="C1028" s="2">
        <v>12</v>
      </c>
      <c r="D1028" s="2" t="s">
        <v>12</v>
      </c>
      <c r="E1028" s="294">
        <v>11999.96</v>
      </c>
      <c r="F1028" s="296">
        <v>14500</v>
      </c>
      <c r="G1028" s="352">
        <v>1</v>
      </c>
      <c r="H1028" s="296">
        <f t="shared" ref="H1028:H1091" si="200">E1028*G1028</f>
        <v>11999.96</v>
      </c>
      <c r="I1028" s="122">
        <f t="shared" ref="I1028:I1091" si="201">F1028*G1028</f>
        <v>14500</v>
      </c>
      <c r="J1028" s="331">
        <f t="shared" ref="J1028:J1091" si="202">I1028-H1028</f>
        <v>2500.0400000000009</v>
      </c>
      <c r="K1028" s="292">
        <f>'09-RESUMEN'!$F$43/1375</f>
        <v>81431.961035221175</v>
      </c>
      <c r="L1028" s="122">
        <f>('ESTADO RESULTADOS'!$C$36+'ESTADO RESULTADOS'!$C$71)/1375</f>
        <v>24762.287272727273</v>
      </c>
      <c r="M1028" s="122">
        <v>0</v>
      </c>
      <c r="N1028" s="122">
        <f t="shared" ref="N1028:N1043" si="203">SUM(H1028+K1028+L1028+M1028)</f>
        <v>118194.20830794844</v>
      </c>
      <c r="O1028" s="122">
        <f t="shared" ref="O1028:O1043" si="204">N1028/G1028</f>
        <v>118194.20830794844</v>
      </c>
      <c r="P1028" s="336">
        <f t="shared" si="189"/>
        <v>-103694.20830794844</v>
      </c>
      <c r="Q1028" s="336">
        <f t="shared" si="190"/>
        <v>106194.24830794844</v>
      </c>
      <c r="R1028" s="303">
        <f t="shared" si="191"/>
        <v>8.8495501908296728</v>
      </c>
    </row>
    <row r="1029" spans="1:18" x14ac:dyDescent="0.3">
      <c r="A1029" s="2">
        <v>3315</v>
      </c>
      <c r="B1029" s="41" t="s">
        <v>1831</v>
      </c>
      <c r="C1029" s="2">
        <v>12</v>
      </c>
      <c r="D1029" s="2" t="s">
        <v>12</v>
      </c>
      <c r="E1029" s="294">
        <v>3149.93</v>
      </c>
      <c r="F1029" s="296">
        <v>6000</v>
      </c>
      <c r="G1029" s="352">
        <v>7</v>
      </c>
      <c r="H1029" s="296">
        <f t="shared" si="200"/>
        <v>22049.51</v>
      </c>
      <c r="I1029" s="122">
        <f t="shared" si="201"/>
        <v>42000</v>
      </c>
      <c r="J1029" s="331">
        <f t="shared" si="202"/>
        <v>19950.490000000002</v>
      </c>
      <c r="K1029" s="292">
        <f>'09-RESUMEN'!$F$43/1375</f>
        <v>81431.961035221175</v>
      </c>
      <c r="L1029" s="122">
        <f>('ESTADO RESULTADOS'!$C$36+'ESTADO RESULTADOS'!$C$71)/1375</f>
        <v>24762.287272727273</v>
      </c>
      <c r="M1029" s="122">
        <v>0</v>
      </c>
      <c r="N1029" s="122">
        <f t="shared" si="203"/>
        <v>128243.75830794845</v>
      </c>
      <c r="O1029" s="122">
        <f t="shared" si="204"/>
        <v>18320.536901135492</v>
      </c>
      <c r="P1029" s="336">
        <f t="shared" ref="P1029:P1092" si="205">I1029-N1029</f>
        <v>-86243.758307948447</v>
      </c>
      <c r="Q1029" s="336">
        <f t="shared" ref="Q1029:Q1092" si="206">O1029-E1029</f>
        <v>15170.606901135492</v>
      </c>
      <c r="R1029" s="303">
        <f t="shared" ref="R1029:R1092" si="207">Q1029/E1029</f>
        <v>4.8161727089603552</v>
      </c>
    </row>
    <row r="1030" spans="1:18" x14ac:dyDescent="0.3">
      <c r="A1030" s="2">
        <v>3316</v>
      </c>
      <c r="B1030" s="41" t="s">
        <v>848</v>
      </c>
      <c r="C1030" s="2">
        <v>12</v>
      </c>
      <c r="D1030" s="2" t="s">
        <v>12</v>
      </c>
      <c r="E1030" s="294">
        <v>25499.32</v>
      </c>
      <c r="F1030" s="296">
        <v>28600</v>
      </c>
      <c r="G1030" s="352">
        <v>3</v>
      </c>
      <c r="H1030" s="296">
        <f t="shared" si="200"/>
        <v>76497.959999999992</v>
      </c>
      <c r="I1030" s="122">
        <f t="shared" si="201"/>
        <v>85800</v>
      </c>
      <c r="J1030" s="331">
        <f t="shared" si="202"/>
        <v>9302.0400000000081</v>
      </c>
      <c r="K1030" s="292">
        <f>'09-RESUMEN'!$F$43/1375</f>
        <v>81431.961035221175</v>
      </c>
      <c r="L1030" s="122">
        <f>('ESTADO RESULTADOS'!$C$36+'ESTADO RESULTADOS'!$C$71)/1375</f>
        <v>24762.287272727273</v>
      </c>
      <c r="M1030" s="122">
        <v>0</v>
      </c>
      <c r="N1030" s="122">
        <f t="shared" si="203"/>
        <v>182692.20830794843</v>
      </c>
      <c r="O1030" s="122">
        <f t="shared" si="204"/>
        <v>60897.402769316141</v>
      </c>
      <c r="P1030" s="336">
        <f t="shared" si="205"/>
        <v>-96892.208307948429</v>
      </c>
      <c r="Q1030" s="336">
        <f t="shared" si="206"/>
        <v>35398.082769316141</v>
      </c>
      <c r="R1030" s="303">
        <f t="shared" si="207"/>
        <v>1.3881971271906914</v>
      </c>
    </row>
    <row r="1031" spans="1:18" x14ac:dyDescent="0.3">
      <c r="A1031" s="2">
        <v>3317</v>
      </c>
      <c r="B1031" s="41" t="s">
        <v>849</v>
      </c>
      <c r="C1031" s="2">
        <v>12</v>
      </c>
      <c r="D1031" s="2" t="s">
        <v>12</v>
      </c>
      <c r="E1031" s="294">
        <v>599.76</v>
      </c>
      <c r="F1031" s="296">
        <v>933.33333333333337</v>
      </c>
      <c r="G1031" s="352">
        <v>8</v>
      </c>
      <c r="H1031" s="296">
        <f t="shared" si="200"/>
        <v>4798.08</v>
      </c>
      <c r="I1031" s="122">
        <f t="shared" si="201"/>
        <v>7466.666666666667</v>
      </c>
      <c r="J1031" s="331">
        <f t="shared" si="202"/>
        <v>2668.586666666667</v>
      </c>
      <c r="K1031" s="292">
        <f>'09-RESUMEN'!$F$43/1375</f>
        <v>81431.961035221175</v>
      </c>
      <c r="L1031" s="122">
        <f>('ESTADO RESULTADOS'!$C$36+'ESTADO RESULTADOS'!$C$71)/1375</f>
        <v>24762.287272727273</v>
      </c>
      <c r="M1031" s="122">
        <v>0</v>
      </c>
      <c r="N1031" s="122">
        <f t="shared" si="203"/>
        <v>110992.32830794845</v>
      </c>
      <c r="O1031" s="122">
        <f t="shared" si="204"/>
        <v>13874.041038493557</v>
      </c>
      <c r="P1031" s="336">
        <f t="shared" si="205"/>
        <v>-103525.66164128178</v>
      </c>
      <c r="Q1031" s="336">
        <f t="shared" si="206"/>
        <v>13274.281038493556</v>
      </c>
      <c r="R1031" s="303">
        <f t="shared" si="207"/>
        <v>22.132654792739689</v>
      </c>
    </row>
    <row r="1032" spans="1:18" x14ac:dyDescent="0.3">
      <c r="A1032" s="2">
        <v>3318</v>
      </c>
      <c r="B1032" s="41" t="s">
        <v>850</v>
      </c>
      <c r="C1032" s="2">
        <v>13</v>
      </c>
      <c r="D1032" s="2" t="s">
        <v>12</v>
      </c>
      <c r="E1032" s="294">
        <v>587.86</v>
      </c>
      <c r="F1032" s="296">
        <v>800</v>
      </c>
      <c r="G1032" s="352">
        <v>121</v>
      </c>
      <c r="H1032" s="296">
        <f t="shared" si="200"/>
        <v>71131.06</v>
      </c>
      <c r="I1032" s="122">
        <f t="shared" si="201"/>
        <v>96800</v>
      </c>
      <c r="J1032" s="331">
        <f t="shared" si="202"/>
        <v>25668.940000000002</v>
      </c>
      <c r="K1032" s="292">
        <f>'09-RESUMEN'!$F$43/1375</f>
        <v>81431.961035221175</v>
      </c>
      <c r="L1032" s="122">
        <f>('ESTADO RESULTADOS'!$C$36+'ESTADO RESULTADOS'!$C$71)/1375</f>
        <v>24762.287272727273</v>
      </c>
      <c r="M1032" s="122">
        <v>0</v>
      </c>
      <c r="N1032" s="122">
        <f t="shared" si="203"/>
        <v>177325.30830794843</v>
      </c>
      <c r="O1032" s="122">
        <f t="shared" si="204"/>
        <v>1465.4984157681688</v>
      </c>
      <c r="P1032" s="336">
        <f t="shared" si="205"/>
        <v>-80525.308307948435</v>
      </c>
      <c r="Q1032" s="336">
        <f t="shared" si="206"/>
        <v>877.63841576816878</v>
      </c>
      <c r="R1032" s="303">
        <f t="shared" si="207"/>
        <v>1.4929378011230034</v>
      </c>
    </row>
    <row r="1033" spans="1:18" x14ac:dyDescent="0.3">
      <c r="A1033" s="2">
        <v>3319</v>
      </c>
      <c r="B1033" s="41" t="s">
        <v>851</v>
      </c>
      <c r="C1033" s="2">
        <v>13</v>
      </c>
      <c r="D1033" s="2" t="s">
        <v>12</v>
      </c>
      <c r="E1033" s="294">
        <v>2963.1</v>
      </c>
      <c r="F1033" s="296">
        <v>3500</v>
      </c>
      <c r="G1033" s="352">
        <v>147</v>
      </c>
      <c r="H1033" s="296">
        <f t="shared" si="200"/>
        <v>435575.7</v>
      </c>
      <c r="I1033" s="122">
        <f t="shared" si="201"/>
        <v>514500</v>
      </c>
      <c r="J1033" s="331">
        <f t="shared" si="202"/>
        <v>78924.299999999988</v>
      </c>
      <c r="K1033" s="292">
        <f>'09-RESUMEN'!$F$43/1375</f>
        <v>81431.961035221175</v>
      </c>
      <c r="L1033" s="122">
        <f>('ESTADO RESULTADOS'!$C$36+'ESTADO RESULTADOS'!$C$71)/1375</f>
        <v>24762.287272727273</v>
      </c>
      <c r="M1033" s="122">
        <v>0</v>
      </c>
      <c r="N1033" s="122">
        <f t="shared" si="203"/>
        <v>541769.94830794842</v>
      </c>
      <c r="O1033" s="122">
        <f t="shared" si="204"/>
        <v>3685.5098524350233</v>
      </c>
      <c r="P1033" s="336">
        <f t="shared" si="205"/>
        <v>-27269.94830794842</v>
      </c>
      <c r="Q1033" s="336">
        <f t="shared" si="206"/>
        <v>722.40985243502337</v>
      </c>
      <c r="R1033" s="303">
        <f t="shared" si="207"/>
        <v>0.24380204935203786</v>
      </c>
    </row>
    <row r="1034" spans="1:18" x14ac:dyDescent="0.3">
      <c r="A1034" s="2">
        <v>3320</v>
      </c>
      <c r="B1034" s="41" t="s">
        <v>853</v>
      </c>
      <c r="C1034" s="2">
        <v>13</v>
      </c>
      <c r="D1034" s="2" t="s">
        <v>12</v>
      </c>
      <c r="E1034" s="294">
        <v>841.33</v>
      </c>
      <c r="F1034" s="296">
        <v>1200</v>
      </c>
      <c r="G1034" s="352">
        <v>207</v>
      </c>
      <c r="H1034" s="296">
        <f t="shared" si="200"/>
        <v>174155.31</v>
      </c>
      <c r="I1034" s="122">
        <f t="shared" si="201"/>
        <v>248400</v>
      </c>
      <c r="J1034" s="331">
        <f t="shared" si="202"/>
        <v>74244.69</v>
      </c>
      <c r="K1034" s="292">
        <f>'09-RESUMEN'!$F$43/1375</f>
        <v>81431.961035221175</v>
      </c>
      <c r="L1034" s="122">
        <f>('ESTADO RESULTADOS'!$C$36+'ESTADO RESULTADOS'!$C$71)/1375</f>
        <v>24762.287272727273</v>
      </c>
      <c r="M1034" s="122">
        <v>0</v>
      </c>
      <c r="N1034" s="122">
        <f t="shared" si="203"/>
        <v>280349.55830794846</v>
      </c>
      <c r="O1034" s="122">
        <f t="shared" si="204"/>
        <v>1354.3456923089298</v>
      </c>
      <c r="P1034" s="336">
        <f t="shared" si="205"/>
        <v>-31949.558307948464</v>
      </c>
      <c r="Q1034" s="336">
        <f t="shared" si="206"/>
        <v>513.01569230892972</v>
      </c>
      <c r="R1034" s="303">
        <f t="shared" si="207"/>
        <v>0.60976750182322004</v>
      </c>
    </row>
    <row r="1035" spans="1:18" x14ac:dyDescent="0.3">
      <c r="A1035" s="2">
        <v>3321</v>
      </c>
      <c r="B1035" s="41" t="s">
        <v>854</v>
      </c>
      <c r="C1035" s="2">
        <v>13</v>
      </c>
      <c r="D1035" s="2" t="s">
        <v>12</v>
      </c>
      <c r="E1035" s="294">
        <v>70210</v>
      </c>
      <c r="F1035" s="296">
        <v>87000</v>
      </c>
      <c r="G1035" s="352">
        <v>3</v>
      </c>
      <c r="H1035" s="296">
        <f t="shared" si="200"/>
        <v>210630</v>
      </c>
      <c r="I1035" s="122">
        <f t="shared" si="201"/>
        <v>261000</v>
      </c>
      <c r="J1035" s="331">
        <f t="shared" si="202"/>
        <v>50370</v>
      </c>
      <c r="K1035" s="292">
        <f>'09-RESUMEN'!$F$43/1375</f>
        <v>81431.961035221175</v>
      </c>
      <c r="L1035" s="122">
        <f>('ESTADO RESULTADOS'!$C$36+'ESTADO RESULTADOS'!$C$71)/1375</f>
        <v>24762.287272727273</v>
      </c>
      <c r="M1035" s="122">
        <v>0</v>
      </c>
      <c r="N1035" s="122">
        <f t="shared" si="203"/>
        <v>316824.24830794847</v>
      </c>
      <c r="O1035" s="122">
        <f t="shared" si="204"/>
        <v>105608.08276931616</v>
      </c>
      <c r="P1035" s="336">
        <f t="shared" si="205"/>
        <v>-55824.248307948466</v>
      </c>
      <c r="Q1035" s="336">
        <f t="shared" si="206"/>
        <v>35398.082769316155</v>
      </c>
      <c r="R1035" s="303">
        <f t="shared" si="207"/>
        <v>0.50417437358376516</v>
      </c>
    </row>
    <row r="1036" spans="1:18" x14ac:dyDescent="0.3">
      <c r="A1036" s="2">
        <v>3322</v>
      </c>
      <c r="B1036" s="41" t="s">
        <v>855</v>
      </c>
      <c r="C1036" s="2">
        <v>13</v>
      </c>
      <c r="D1036" s="2" t="s">
        <v>12</v>
      </c>
      <c r="E1036" s="294">
        <v>47580.959999999999</v>
      </c>
      <c r="F1036" s="296">
        <v>62000</v>
      </c>
      <c r="G1036" s="352">
        <v>2</v>
      </c>
      <c r="H1036" s="296">
        <f t="shared" si="200"/>
        <v>95161.919999999998</v>
      </c>
      <c r="I1036" s="122">
        <f t="shared" si="201"/>
        <v>124000</v>
      </c>
      <c r="J1036" s="331">
        <f t="shared" si="202"/>
        <v>28838.080000000002</v>
      </c>
      <c r="K1036" s="292">
        <f>'09-RESUMEN'!$F$43/1375</f>
        <v>81431.961035221175</v>
      </c>
      <c r="L1036" s="122">
        <f>('ESTADO RESULTADOS'!$C$36+'ESTADO RESULTADOS'!$C$71)/1375</f>
        <v>24762.287272727273</v>
      </c>
      <c r="M1036" s="122">
        <v>0</v>
      </c>
      <c r="N1036" s="122">
        <f t="shared" si="203"/>
        <v>201356.16830794842</v>
      </c>
      <c r="O1036" s="122">
        <f t="shared" si="204"/>
        <v>100678.08415397421</v>
      </c>
      <c r="P1036" s="336">
        <f t="shared" si="205"/>
        <v>-77356.168307948421</v>
      </c>
      <c r="Q1036" s="336">
        <f t="shared" si="206"/>
        <v>53097.124153974211</v>
      </c>
      <c r="R1036" s="303">
        <f t="shared" si="207"/>
        <v>1.1159321744238497</v>
      </c>
    </row>
    <row r="1037" spans="1:18" x14ac:dyDescent="0.3">
      <c r="A1037" s="2">
        <v>3323</v>
      </c>
      <c r="B1037" s="41" t="s">
        <v>856</v>
      </c>
      <c r="C1037" s="2">
        <v>13</v>
      </c>
      <c r="D1037" s="2" t="s">
        <v>12</v>
      </c>
      <c r="E1037" s="294">
        <v>4702.88</v>
      </c>
      <c r="F1037" s="296">
        <v>5383.333333333333</v>
      </c>
      <c r="G1037" s="352">
        <v>60</v>
      </c>
      <c r="H1037" s="296">
        <f t="shared" si="200"/>
        <v>282172.79999999999</v>
      </c>
      <c r="I1037" s="122">
        <f t="shared" si="201"/>
        <v>323000</v>
      </c>
      <c r="J1037" s="331">
        <f t="shared" si="202"/>
        <v>40827.200000000012</v>
      </c>
      <c r="K1037" s="292">
        <f>'09-RESUMEN'!$F$43/1375</f>
        <v>81431.961035221175</v>
      </c>
      <c r="L1037" s="122">
        <f>('ESTADO RESULTADOS'!$C$36+'ESTADO RESULTADOS'!$C$71)/1375</f>
        <v>24762.287272727273</v>
      </c>
      <c r="M1037" s="122">
        <v>0</v>
      </c>
      <c r="N1037" s="122">
        <f t="shared" si="203"/>
        <v>388367.04830794845</v>
      </c>
      <c r="O1037" s="122">
        <f t="shared" si="204"/>
        <v>6472.7841384658077</v>
      </c>
      <c r="P1037" s="336">
        <f t="shared" si="205"/>
        <v>-65367.048307948455</v>
      </c>
      <c r="Q1037" s="336">
        <f t="shared" si="206"/>
        <v>1769.9041384658076</v>
      </c>
      <c r="R1037" s="303">
        <f t="shared" si="207"/>
        <v>0.37634473736642388</v>
      </c>
    </row>
    <row r="1038" spans="1:18" x14ac:dyDescent="0.3">
      <c r="A1038" s="2">
        <v>3324</v>
      </c>
      <c r="B1038" s="41" t="s">
        <v>857</v>
      </c>
      <c r="C1038" s="2">
        <v>13</v>
      </c>
      <c r="D1038" s="2" t="s">
        <v>12</v>
      </c>
      <c r="E1038" s="294">
        <v>1468.46</v>
      </c>
      <c r="F1038" s="296">
        <v>1900</v>
      </c>
      <c r="G1038" s="352">
        <v>14</v>
      </c>
      <c r="H1038" s="296">
        <f t="shared" si="200"/>
        <v>20558.440000000002</v>
      </c>
      <c r="I1038" s="122">
        <f t="shared" si="201"/>
        <v>26600</v>
      </c>
      <c r="J1038" s="331">
        <f t="shared" si="202"/>
        <v>6041.5599999999977</v>
      </c>
      <c r="K1038" s="292">
        <f>'09-RESUMEN'!$F$43/1375</f>
        <v>81431.961035221175</v>
      </c>
      <c r="L1038" s="122">
        <f>('ESTADO RESULTADOS'!$C$36+'ESTADO RESULTADOS'!$C$71)/1375</f>
        <v>24762.287272727273</v>
      </c>
      <c r="M1038" s="122">
        <v>0</v>
      </c>
      <c r="N1038" s="122">
        <f t="shared" si="203"/>
        <v>126752.68830794845</v>
      </c>
      <c r="O1038" s="122">
        <f t="shared" si="204"/>
        <v>9053.763450567747</v>
      </c>
      <c r="P1038" s="336">
        <f t="shared" si="205"/>
        <v>-100152.68830794845</v>
      </c>
      <c r="Q1038" s="336">
        <f t="shared" si="206"/>
        <v>7585.3034505677469</v>
      </c>
      <c r="R1038" s="303">
        <f t="shared" si="207"/>
        <v>5.1654818316928939</v>
      </c>
    </row>
    <row r="1039" spans="1:18" x14ac:dyDescent="0.3">
      <c r="A1039" s="2">
        <v>3325</v>
      </c>
      <c r="B1039" s="41" t="s">
        <v>858</v>
      </c>
      <c r="C1039" s="2">
        <v>13</v>
      </c>
      <c r="D1039" s="2" t="s">
        <v>12</v>
      </c>
      <c r="E1039" s="294">
        <v>240.38</v>
      </c>
      <c r="F1039" s="296">
        <v>350</v>
      </c>
      <c r="G1039" s="352">
        <v>1717</v>
      </c>
      <c r="H1039" s="296">
        <f t="shared" si="200"/>
        <v>412732.46</v>
      </c>
      <c r="I1039" s="122">
        <f t="shared" si="201"/>
        <v>600950</v>
      </c>
      <c r="J1039" s="331">
        <f t="shared" si="202"/>
        <v>188217.53999999998</v>
      </c>
      <c r="K1039" s="292">
        <f>'09-RESUMEN'!$F$43/1375</f>
        <v>81431.961035221175</v>
      </c>
      <c r="L1039" s="122">
        <f>('ESTADO RESULTADOS'!$C$36+'ESTADO RESULTADOS'!$C$71)/1375</f>
        <v>24762.287272727273</v>
      </c>
      <c r="M1039" s="122">
        <v>0</v>
      </c>
      <c r="N1039" s="122">
        <f t="shared" si="203"/>
        <v>518926.70830794849</v>
      </c>
      <c r="O1039" s="122">
        <f t="shared" si="204"/>
        <v>302.22871770992924</v>
      </c>
      <c r="P1039" s="336">
        <f t="shared" si="205"/>
        <v>82023.291692051513</v>
      </c>
      <c r="Q1039" s="336">
        <f t="shared" si="206"/>
        <v>61.848717709929247</v>
      </c>
      <c r="R1039" s="303">
        <f t="shared" si="207"/>
        <v>0.25729560574893606</v>
      </c>
    </row>
    <row r="1040" spans="1:18" x14ac:dyDescent="0.3">
      <c r="A1040" s="2">
        <v>3326</v>
      </c>
      <c r="B1040" s="41" t="s">
        <v>859</v>
      </c>
      <c r="C1040" s="2">
        <v>13</v>
      </c>
      <c r="D1040" s="2" t="s">
        <v>12</v>
      </c>
      <c r="E1040" s="294">
        <v>7049.56</v>
      </c>
      <c r="F1040" s="296">
        <v>8900</v>
      </c>
      <c r="G1040" s="352">
        <v>5</v>
      </c>
      <c r="H1040" s="296">
        <f t="shared" si="200"/>
        <v>35247.800000000003</v>
      </c>
      <c r="I1040" s="122">
        <f t="shared" si="201"/>
        <v>44500</v>
      </c>
      <c r="J1040" s="331">
        <f t="shared" si="202"/>
        <v>9252.1999999999971</v>
      </c>
      <c r="K1040" s="292">
        <f>'09-RESUMEN'!$F$43/1375</f>
        <v>81431.961035221175</v>
      </c>
      <c r="L1040" s="122">
        <f>('ESTADO RESULTADOS'!$C$36+'ESTADO RESULTADOS'!$C$71)/1375</f>
        <v>24762.287272727273</v>
      </c>
      <c r="M1040" s="122">
        <v>0</v>
      </c>
      <c r="N1040" s="122">
        <f t="shared" si="203"/>
        <v>141442.04830794845</v>
      </c>
      <c r="O1040" s="122">
        <f t="shared" si="204"/>
        <v>28288.409661589692</v>
      </c>
      <c r="P1040" s="336">
        <f t="shared" si="205"/>
        <v>-96942.048307948455</v>
      </c>
      <c r="Q1040" s="336">
        <f t="shared" si="206"/>
        <v>21238.849661589691</v>
      </c>
      <c r="R1040" s="303">
        <f t="shared" si="207"/>
        <v>3.0127908212129113</v>
      </c>
    </row>
    <row r="1041" spans="1:18" x14ac:dyDescent="0.3">
      <c r="A1041" s="2">
        <v>3327</v>
      </c>
      <c r="B1041" s="41" t="s">
        <v>860</v>
      </c>
      <c r="C1041" s="2">
        <v>13</v>
      </c>
      <c r="D1041" s="2" t="s">
        <v>12</v>
      </c>
      <c r="E1041" s="294">
        <v>7049.56</v>
      </c>
      <c r="F1041" s="296">
        <v>9000</v>
      </c>
      <c r="G1041" s="352">
        <v>9</v>
      </c>
      <c r="H1041" s="296">
        <f t="shared" si="200"/>
        <v>63446.04</v>
      </c>
      <c r="I1041" s="122">
        <f t="shared" si="201"/>
        <v>81000</v>
      </c>
      <c r="J1041" s="331">
        <f t="shared" si="202"/>
        <v>17553.96</v>
      </c>
      <c r="K1041" s="292">
        <f>'09-RESUMEN'!$F$43/1375</f>
        <v>81431.961035221175</v>
      </c>
      <c r="L1041" s="122">
        <f>('ESTADO RESULTADOS'!$C$36+'ESTADO RESULTADOS'!$C$71)/1375</f>
        <v>24762.287272727273</v>
      </c>
      <c r="M1041" s="122">
        <v>0</v>
      </c>
      <c r="N1041" s="122">
        <f t="shared" si="203"/>
        <v>169640.28830794845</v>
      </c>
      <c r="O1041" s="122">
        <f t="shared" si="204"/>
        <v>18848.920923105383</v>
      </c>
      <c r="P1041" s="336">
        <f t="shared" si="205"/>
        <v>-88640.288307948445</v>
      </c>
      <c r="Q1041" s="336">
        <f t="shared" si="206"/>
        <v>11799.360923105382</v>
      </c>
      <c r="R1041" s="303">
        <f t="shared" si="207"/>
        <v>1.6737726784516169</v>
      </c>
    </row>
    <row r="1042" spans="1:18" x14ac:dyDescent="0.3">
      <c r="A1042" s="2">
        <v>3328</v>
      </c>
      <c r="B1042" s="41" t="s">
        <v>861</v>
      </c>
      <c r="C1042" s="2">
        <v>13</v>
      </c>
      <c r="D1042" s="2" t="s">
        <v>12</v>
      </c>
      <c r="E1042" s="294">
        <v>146534.22</v>
      </c>
      <c r="F1042" s="296">
        <v>167833.33333333334</v>
      </c>
      <c r="G1042" s="352">
        <v>3</v>
      </c>
      <c r="H1042" s="296">
        <f t="shared" si="200"/>
        <v>439602.66000000003</v>
      </c>
      <c r="I1042" s="122">
        <f t="shared" si="201"/>
        <v>503500</v>
      </c>
      <c r="J1042" s="331">
        <f t="shared" si="202"/>
        <v>63897.339999999967</v>
      </c>
      <c r="K1042" s="292">
        <f>'09-RESUMEN'!$F$43/1375</f>
        <v>81431.961035221175</v>
      </c>
      <c r="L1042" s="122">
        <f>('ESTADO RESULTADOS'!$C$36+'ESTADO RESULTADOS'!$C$71)/1375</f>
        <v>24762.287272727273</v>
      </c>
      <c r="M1042" s="122">
        <v>0</v>
      </c>
      <c r="N1042" s="122">
        <f t="shared" si="203"/>
        <v>545796.9083079485</v>
      </c>
      <c r="O1042" s="122">
        <f t="shared" si="204"/>
        <v>181932.30276931616</v>
      </c>
      <c r="P1042" s="336">
        <f t="shared" si="205"/>
        <v>-42296.908307948499</v>
      </c>
      <c r="Q1042" s="336">
        <f t="shared" si="206"/>
        <v>35398.082769316155</v>
      </c>
      <c r="R1042" s="303">
        <f t="shared" si="207"/>
        <v>0.24156871186345522</v>
      </c>
    </row>
    <row r="1043" spans="1:18" x14ac:dyDescent="0.3">
      <c r="A1043" s="2">
        <v>3329</v>
      </c>
      <c r="B1043" s="41" t="s">
        <v>862</v>
      </c>
      <c r="C1043" s="2">
        <v>13</v>
      </c>
      <c r="D1043" s="2" t="s">
        <v>12</v>
      </c>
      <c r="E1043" s="294">
        <v>158415.4418</v>
      </c>
      <c r="F1043" s="296">
        <v>178250</v>
      </c>
      <c r="G1043" s="352">
        <v>6</v>
      </c>
      <c r="H1043" s="296">
        <f t="shared" si="200"/>
        <v>950492.65079999994</v>
      </c>
      <c r="I1043" s="122">
        <f t="shared" si="201"/>
        <v>1069500</v>
      </c>
      <c r="J1043" s="331">
        <f t="shared" si="202"/>
        <v>119007.34920000006</v>
      </c>
      <c r="K1043" s="292">
        <f>'09-RESUMEN'!$F$43/1375</f>
        <v>81431.961035221175</v>
      </c>
      <c r="L1043" s="122">
        <f>('ESTADO RESULTADOS'!$C$36+'ESTADO RESULTADOS'!$C$71)/1375</f>
        <v>24762.287272727273</v>
      </c>
      <c r="M1043" s="122">
        <v>0</v>
      </c>
      <c r="N1043" s="122">
        <f t="shared" si="203"/>
        <v>1056686.8991079484</v>
      </c>
      <c r="O1043" s="122">
        <f t="shared" si="204"/>
        <v>176114.48318465808</v>
      </c>
      <c r="P1043" s="336">
        <f t="shared" si="205"/>
        <v>12813.100892051589</v>
      </c>
      <c r="Q1043" s="336">
        <f t="shared" si="206"/>
        <v>17699.041384658078</v>
      </c>
      <c r="R1043" s="303">
        <f t="shared" si="207"/>
        <v>0.1117254806952669</v>
      </c>
    </row>
    <row r="1044" spans="1:18" x14ac:dyDescent="0.3">
      <c r="A1044" s="2">
        <v>3330</v>
      </c>
      <c r="B1044" s="41" t="s">
        <v>1832</v>
      </c>
      <c r="C1044" s="2">
        <v>8</v>
      </c>
      <c r="D1044" s="2" t="s">
        <v>16</v>
      </c>
      <c r="E1044" s="294">
        <v>24000</v>
      </c>
      <c r="F1044" s="296">
        <v>30000</v>
      </c>
      <c r="G1044" s="352">
        <v>0</v>
      </c>
      <c r="H1044" s="296">
        <f t="shared" si="200"/>
        <v>0</v>
      </c>
      <c r="I1044" s="122">
        <f t="shared" si="201"/>
        <v>0</v>
      </c>
      <c r="J1044" s="331">
        <f t="shared" si="202"/>
        <v>0</v>
      </c>
      <c r="K1044" s="292">
        <f>'09-RESUMEN'!$F$43/1375</f>
        <v>81431.961035221175</v>
      </c>
      <c r="L1044" s="122">
        <f>('ESTADO RESULTADOS'!$C$36+'ESTADO RESULTADOS'!$C$71)/1375</f>
        <v>24762.287272727273</v>
      </c>
      <c r="M1044" s="122">
        <v>0</v>
      </c>
      <c r="N1044" s="122">
        <f>SUM(E1044+K1044+L1044+M1044)</f>
        <v>130194.24830794845</v>
      </c>
      <c r="O1044" s="122">
        <f>N1044</f>
        <v>130194.24830794845</v>
      </c>
      <c r="P1044" s="336">
        <f t="shared" si="205"/>
        <v>-130194.24830794845</v>
      </c>
      <c r="Q1044" s="336">
        <f t="shared" si="206"/>
        <v>106194.24830794845</v>
      </c>
      <c r="R1044" s="303">
        <f t="shared" si="207"/>
        <v>4.4247603461645184</v>
      </c>
    </row>
    <row r="1045" spans="1:18" x14ac:dyDescent="0.3">
      <c r="A1045" s="2">
        <v>3331</v>
      </c>
      <c r="B1045" s="41" t="s">
        <v>1833</v>
      </c>
      <c r="C1045" s="2">
        <v>8</v>
      </c>
      <c r="D1045" s="2" t="s">
        <v>419</v>
      </c>
      <c r="E1045" s="294">
        <v>56000</v>
      </c>
      <c r="F1045" s="296">
        <v>63000</v>
      </c>
      <c r="G1045" s="352">
        <v>0</v>
      </c>
      <c r="H1045" s="296">
        <f t="shared" si="200"/>
        <v>0</v>
      </c>
      <c r="I1045" s="122">
        <f t="shared" si="201"/>
        <v>0</v>
      </c>
      <c r="J1045" s="331">
        <f t="shared" si="202"/>
        <v>0</v>
      </c>
      <c r="K1045" s="292">
        <f>'09-RESUMEN'!$F$43/1375</f>
        <v>81431.961035221175</v>
      </c>
      <c r="L1045" s="122">
        <f>('ESTADO RESULTADOS'!$C$36+'ESTADO RESULTADOS'!$C$71)/1375</f>
        <v>24762.287272727273</v>
      </c>
      <c r="M1045" s="122">
        <v>0</v>
      </c>
      <c r="N1045" s="122">
        <f>SUM(E1045+K1045+L1045+M1045)</f>
        <v>162194.24830794844</v>
      </c>
      <c r="O1045" s="122">
        <f>N1045</f>
        <v>162194.24830794844</v>
      </c>
      <c r="P1045" s="336">
        <f t="shared" si="205"/>
        <v>-162194.24830794844</v>
      </c>
      <c r="Q1045" s="336">
        <f t="shared" si="206"/>
        <v>106194.24830794844</v>
      </c>
      <c r="R1045" s="303">
        <f t="shared" si="207"/>
        <v>1.8963258626419364</v>
      </c>
    </row>
    <row r="1046" spans="1:18" x14ac:dyDescent="0.3">
      <c r="A1046" s="2">
        <v>3332</v>
      </c>
      <c r="B1046" s="41" t="s">
        <v>863</v>
      </c>
      <c r="C1046" s="2">
        <v>2</v>
      </c>
      <c r="D1046" s="2" t="s">
        <v>12</v>
      </c>
      <c r="E1046" s="294">
        <v>100595.25</v>
      </c>
      <c r="F1046" s="296">
        <v>107816.66666666667</v>
      </c>
      <c r="G1046" s="352">
        <v>13</v>
      </c>
      <c r="H1046" s="296">
        <f t="shared" si="200"/>
        <v>1307738.25</v>
      </c>
      <c r="I1046" s="122">
        <f t="shared" si="201"/>
        <v>1401616.6666666667</v>
      </c>
      <c r="J1046" s="331">
        <f t="shared" si="202"/>
        <v>93878.416666666744</v>
      </c>
      <c r="K1046" s="292">
        <f>'09-RESUMEN'!$F$43/1375</f>
        <v>81431.961035221175</v>
      </c>
      <c r="L1046" s="122">
        <f>('ESTADO RESULTADOS'!$C$36+'ESTADO RESULTADOS'!$C$71)/1375</f>
        <v>24762.287272727273</v>
      </c>
      <c r="M1046" s="122">
        <v>0</v>
      </c>
      <c r="N1046" s="122">
        <f>SUM(H1046+K1046+L1046+M1046)</f>
        <v>1413932.4983079485</v>
      </c>
      <c r="O1046" s="122">
        <f>N1046/G1046</f>
        <v>108764.03833138065</v>
      </c>
      <c r="P1046" s="336">
        <f t="shared" si="205"/>
        <v>-12315.831641281722</v>
      </c>
      <c r="Q1046" s="336">
        <f t="shared" si="206"/>
        <v>8168.7883313806524</v>
      </c>
      <c r="R1046" s="303">
        <f t="shared" si="207"/>
        <v>8.1204513447510215E-2</v>
      </c>
    </row>
    <row r="1047" spans="1:18" x14ac:dyDescent="0.3">
      <c r="A1047" s="2">
        <v>3333</v>
      </c>
      <c r="B1047" s="41" t="s">
        <v>864</v>
      </c>
      <c r="C1047" s="2">
        <v>2</v>
      </c>
      <c r="D1047" s="2" t="s">
        <v>5</v>
      </c>
      <c r="E1047" s="294">
        <v>51200.000099999997</v>
      </c>
      <c r="F1047" s="296">
        <v>55283.333333333336</v>
      </c>
      <c r="G1047" s="352">
        <v>30</v>
      </c>
      <c r="H1047" s="296">
        <f t="shared" si="200"/>
        <v>1536000.003</v>
      </c>
      <c r="I1047" s="122">
        <f t="shared" si="201"/>
        <v>1658500</v>
      </c>
      <c r="J1047" s="331">
        <f t="shared" si="202"/>
        <v>122499.99699999997</v>
      </c>
      <c r="K1047" s="292">
        <f>'09-RESUMEN'!$F$43/1375</f>
        <v>81431.961035221175</v>
      </c>
      <c r="L1047" s="122">
        <f>('ESTADO RESULTADOS'!$C$36+'ESTADO RESULTADOS'!$C$71)/1375</f>
        <v>24762.287272727273</v>
      </c>
      <c r="M1047" s="122">
        <v>0</v>
      </c>
      <c r="N1047" s="122">
        <f>SUM(H1047+K1047+L1047+M1047)</f>
        <v>1642194.2513079485</v>
      </c>
      <c r="O1047" s="122">
        <f>N1047/G1047</f>
        <v>54739.808376931614</v>
      </c>
      <c r="P1047" s="336">
        <f t="shared" si="205"/>
        <v>16305.748692051508</v>
      </c>
      <c r="Q1047" s="336">
        <f t="shared" si="206"/>
        <v>3539.808276931617</v>
      </c>
      <c r="R1047" s="303">
        <f t="shared" si="207"/>
        <v>6.9136880273787685E-2</v>
      </c>
    </row>
    <row r="1048" spans="1:18" x14ac:dyDescent="0.3">
      <c r="A1048" s="2">
        <v>3334</v>
      </c>
      <c r="B1048" s="41" t="s">
        <v>1834</v>
      </c>
      <c r="C1048" s="2">
        <v>14</v>
      </c>
      <c r="D1048" s="2" t="s">
        <v>81</v>
      </c>
      <c r="E1048" s="294">
        <v>19281</v>
      </c>
      <c r="F1048" s="296">
        <v>25500</v>
      </c>
      <c r="G1048" s="352">
        <v>0</v>
      </c>
      <c r="H1048" s="296">
        <f t="shared" si="200"/>
        <v>0</v>
      </c>
      <c r="I1048" s="122">
        <f t="shared" si="201"/>
        <v>0</v>
      </c>
      <c r="J1048" s="331">
        <f t="shared" si="202"/>
        <v>0</v>
      </c>
      <c r="K1048" s="292">
        <f>'09-RESUMEN'!$F$43/1375</f>
        <v>81431.961035221175</v>
      </c>
      <c r="L1048" s="122">
        <f>('ESTADO RESULTADOS'!$C$36+'ESTADO RESULTADOS'!$C$71)/1375</f>
        <v>24762.287272727273</v>
      </c>
      <c r="M1048" s="122">
        <v>0</v>
      </c>
      <c r="N1048" s="122">
        <f>SUM(E1048+K1048+L1048+M1048)</f>
        <v>125475.24830794845</v>
      </c>
      <c r="O1048" s="122">
        <f>N1048</f>
        <v>125475.24830794845</v>
      </c>
      <c r="P1048" s="336">
        <f t="shared" si="205"/>
        <v>-125475.24830794845</v>
      </c>
      <c r="Q1048" s="336">
        <f t="shared" si="206"/>
        <v>106194.24830794845</v>
      </c>
      <c r="R1048" s="303">
        <f t="shared" si="207"/>
        <v>5.5077147610574375</v>
      </c>
    </row>
    <row r="1049" spans="1:18" x14ac:dyDescent="0.3">
      <c r="A1049" s="2">
        <v>3335</v>
      </c>
      <c r="B1049" s="41" t="s">
        <v>865</v>
      </c>
      <c r="C1049" s="2">
        <v>14</v>
      </c>
      <c r="D1049" s="2" t="s">
        <v>16</v>
      </c>
      <c r="E1049" s="294">
        <v>29680.142899999999</v>
      </c>
      <c r="F1049" s="296">
        <v>34000</v>
      </c>
      <c r="G1049" s="352">
        <v>7</v>
      </c>
      <c r="H1049" s="296">
        <f t="shared" si="200"/>
        <v>207761.00029999999</v>
      </c>
      <c r="I1049" s="122">
        <f t="shared" si="201"/>
        <v>238000</v>
      </c>
      <c r="J1049" s="331">
        <f t="shared" si="202"/>
        <v>30238.999700000015</v>
      </c>
      <c r="K1049" s="292">
        <f>'09-RESUMEN'!$F$43/1375</f>
        <v>81431.961035221175</v>
      </c>
      <c r="L1049" s="122">
        <f>('ESTADO RESULTADOS'!$C$36+'ESTADO RESULTADOS'!$C$71)/1375</f>
        <v>24762.287272727273</v>
      </c>
      <c r="M1049" s="122">
        <v>0</v>
      </c>
      <c r="N1049" s="122">
        <f>SUM(H1049+K1049+L1049+M1049)</f>
        <v>313955.24860794848</v>
      </c>
      <c r="O1049" s="122">
        <f>N1049/G1049</f>
        <v>44850.749801135498</v>
      </c>
      <c r="P1049" s="336">
        <f t="shared" si="205"/>
        <v>-75955.248607948481</v>
      </c>
      <c r="Q1049" s="336">
        <f t="shared" si="206"/>
        <v>15170.606901135499</v>
      </c>
      <c r="R1049" s="303">
        <f t="shared" si="207"/>
        <v>0.51113658556999397</v>
      </c>
    </row>
    <row r="1050" spans="1:18" x14ac:dyDescent="0.3">
      <c r="A1050" s="2">
        <v>3336</v>
      </c>
      <c r="B1050" s="41" t="s">
        <v>866</v>
      </c>
      <c r="C1050" s="2">
        <v>14</v>
      </c>
      <c r="D1050" s="2" t="s">
        <v>81</v>
      </c>
      <c r="E1050" s="294">
        <v>6132</v>
      </c>
      <c r="F1050" s="296">
        <v>8000</v>
      </c>
      <c r="G1050" s="352">
        <v>7</v>
      </c>
      <c r="H1050" s="296">
        <f t="shared" si="200"/>
        <v>42924</v>
      </c>
      <c r="I1050" s="122">
        <f t="shared" si="201"/>
        <v>56000</v>
      </c>
      <c r="J1050" s="331">
        <f t="shared" si="202"/>
        <v>13076</v>
      </c>
      <c r="K1050" s="292">
        <f>'09-RESUMEN'!$F$43/1375</f>
        <v>81431.961035221175</v>
      </c>
      <c r="L1050" s="122">
        <f>('ESTADO RESULTADOS'!$C$36+'ESTADO RESULTADOS'!$C$71)/1375</f>
        <v>24762.287272727273</v>
      </c>
      <c r="M1050" s="122">
        <v>0</v>
      </c>
      <c r="N1050" s="122">
        <f>SUM(H1050+K1050+L1050+M1050)</f>
        <v>149118.24830794844</v>
      </c>
      <c r="O1050" s="122">
        <f>N1050/G1050</f>
        <v>21302.606901135492</v>
      </c>
      <c r="P1050" s="336">
        <f t="shared" si="205"/>
        <v>-93118.248307948437</v>
      </c>
      <c r="Q1050" s="336">
        <f t="shared" si="206"/>
        <v>15170.606901135492</v>
      </c>
      <c r="R1050" s="303">
        <f t="shared" si="207"/>
        <v>2.4740063439555597</v>
      </c>
    </row>
    <row r="1051" spans="1:18" x14ac:dyDescent="0.3">
      <c r="A1051" s="2">
        <v>3337</v>
      </c>
      <c r="B1051" s="41" t="s">
        <v>1835</v>
      </c>
      <c r="C1051" s="2">
        <v>14</v>
      </c>
      <c r="D1051" s="2" t="s">
        <v>81</v>
      </c>
      <c r="E1051" s="294">
        <v>49738</v>
      </c>
      <c r="F1051" s="296">
        <v>59000</v>
      </c>
      <c r="G1051" s="352">
        <v>0</v>
      </c>
      <c r="H1051" s="296">
        <f t="shared" si="200"/>
        <v>0</v>
      </c>
      <c r="I1051" s="122">
        <f t="shared" si="201"/>
        <v>0</v>
      </c>
      <c r="J1051" s="331">
        <f t="shared" si="202"/>
        <v>0</v>
      </c>
      <c r="K1051" s="292">
        <f>'09-RESUMEN'!$F$43/1375</f>
        <v>81431.961035221175</v>
      </c>
      <c r="L1051" s="122">
        <f>('ESTADO RESULTADOS'!$C$36+'ESTADO RESULTADOS'!$C$71)/1375</f>
        <v>24762.287272727273</v>
      </c>
      <c r="M1051" s="122">
        <v>0</v>
      </c>
      <c r="N1051" s="122">
        <f>SUM(E1051+K1051+L1051+M1051)</f>
        <v>155932.24830794844</v>
      </c>
      <c r="O1051" s="122">
        <f>N1051</f>
        <v>155932.24830794844</v>
      </c>
      <c r="P1051" s="336">
        <f t="shared" si="205"/>
        <v>-155932.24830794844</v>
      </c>
      <c r="Q1051" s="336">
        <f t="shared" si="206"/>
        <v>106194.24830794844</v>
      </c>
      <c r="R1051" s="303">
        <f t="shared" si="207"/>
        <v>2.1350727473551094</v>
      </c>
    </row>
    <row r="1052" spans="1:18" x14ac:dyDescent="0.3">
      <c r="A1052" s="2">
        <v>3338</v>
      </c>
      <c r="B1052" s="41" t="s">
        <v>867</v>
      </c>
      <c r="C1052" s="2">
        <v>14</v>
      </c>
      <c r="D1052" s="2" t="s">
        <v>81</v>
      </c>
      <c r="E1052" s="294">
        <v>6032</v>
      </c>
      <c r="F1052" s="296">
        <v>9600</v>
      </c>
      <c r="G1052" s="352">
        <v>34</v>
      </c>
      <c r="H1052" s="296">
        <f t="shared" si="200"/>
        <v>205088</v>
      </c>
      <c r="I1052" s="122">
        <f t="shared" si="201"/>
        <v>326400</v>
      </c>
      <c r="J1052" s="331">
        <f t="shared" si="202"/>
        <v>121312</v>
      </c>
      <c r="K1052" s="292">
        <f>'09-RESUMEN'!$F$43/1375</f>
        <v>81431.961035221175</v>
      </c>
      <c r="L1052" s="122">
        <f>('ESTADO RESULTADOS'!$C$36+'ESTADO RESULTADOS'!$C$71)/1375</f>
        <v>24762.287272727273</v>
      </c>
      <c r="M1052" s="122">
        <v>0</v>
      </c>
      <c r="N1052" s="122">
        <f t="shared" ref="N1052:N1064" si="208">SUM(H1052+K1052+L1052+M1052)</f>
        <v>311282.24830794847</v>
      </c>
      <c r="O1052" s="122">
        <f t="shared" ref="O1052:O1064" si="209">N1052/G1052</f>
        <v>9155.3602443514246</v>
      </c>
      <c r="P1052" s="336">
        <f t="shared" si="205"/>
        <v>15117.751692051534</v>
      </c>
      <c r="Q1052" s="336">
        <f t="shared" si="206"/>
        <v>3123.3602443514246</v>
      </c>
      <c r="R1052" s="303">
        <f t="shared" si="207"/>
        <v>0.51779844899725214</v>
      </c>
    </row>
    <row r="1053" spans="1:18" x14ac:dyDescent="0.3">
      <c r="A1053" s="2">
        <v>3339</v>
      </c>
      <c r="B1053" s="41" t="s">
        <v>868</v>
      </c>
      <c r="C1053" s="2">
        <v>14</v>
      </c>
      <c r="D1053" s="2" t="s">
        <v>81</v>
      </c>
      <c r="E1053" s="294">
        <v>13919.5</v>
      </c>
      <c r="F1053" s="296">
        <v>17000</v>
      </c>
      <c r="G1053" s="352">
        <v>5</v>
      </c>
      <c r="H1053" s="296">
        <f t="shared" si="200"/>
        <v>69597.5</v>
      </c>
      <c r="I1053" s="122">
        <f t="shared" si="201"/>
        <v>85000</v>
      </c>
      <c r="J1053" s="331">
        <f t="shared" si="202"/>
        <v>15402.5</v>
      </c>
      <c r="K1053" s="292">
        <f>'09-RESUMEN'!$F$43/1375</f>
        <v>81431.961035221175</v>
      </c>
      <c r="L1053" s="122">
        <f>('ESTADO RESULTADOS'!$C$36+'ESTADO RESULTADOS'!$C$71)/1375</f>
        <v>24762.287272727273</v>
      </c>
      <c r="M1053" s="122">
        <v>0</v>
      </c>
      <c r="N1053" s="122">
        <f t="shared" si="208"/>
        <v>175791.74830794844</v>
      </c>
      <c r="O1053" s="122">
        <f t="shared" si="209"/>
        <v>35158.349661589687</v>
      </c>
      <c r="P1053" s="336">
        <f t="shared" si="205"/>
        <v>-90791.748307948437</v>
      </c>
      <c r="Q1053" s="336">
        <f t="shared" si="206"/>
        <v>21238.849661589687</v>
      </c>
      <c r="R1053" s="303">
        <f t="shared" si="207"/>
        <v>1.5258342369761619</v>
      </c>
    </row>
    <row r="1054" spans="1:18" x14ac:dyDescent="0.3">
      <c r="A1054" s="2">
        <v>3341</v>
      </c>
      <c r="B1054" s="41" t="s">
        <v>869</v>
      </c>
      <c r="C1054" s="2">
        <v>9</v>
      </c>
      <c r="D1054" s="2" t="s">
        <v>843</v>
      </c>
      <c r="E1054" s="294">
        <v>3380.3600999999999</v>
      </c>
      <c r="F1054" s="296">
        <v>5500</v>
      </c>
      <c r="G1054" s="352">
        <v>1</v>
      </c>
      <c r="H1054" s="296">
        <f t="shared" si="200"/>
        <v>3380.3600999999999</v>
      </c>
      <c r="I1054" s="122">
        <f t="shared" si="201"/>
        <v>5500</v>
      </c>
      <c r="J1054" s="331">
        <f t="shared" si="202"/>
        <v>2119.6399000000001</v>
      </c>
      <c r="K1054" s="292">
        <f>'09-RESUMEN'!$F$43/1375</f>
        <v>81431.961035221175</v>
      </c>
      <c r="L1054" s="122">
        <f>('ESTADO RESULTADOS'!$C$36+'ESTADO RESULTADOS'!$C$71)/1375</f>
        <v>24762.287272727273</v>
      </c>
      <c r="M1054" s="122">
        <v>0</v>
      </c>
      <c r="N1054" s="122">
        <f t="shared" si="208"/>
        <v>109574.60840794846</v>
      </c>
      <c r="O1054" s="122">
        <f t="shared" si="209"/>
        <v>109574.60840794846</v>
      </c>
      <c r="P1054" s="336">
        <f t="shared" si="205"/>
        <v>-104074.60840794846</v>
      </c>
      <c r="Q1054" s="336">
        <f t="shared" si="206"/>
        <v>106194.24830794845</v>
      </c>
      <c r="R1054" s="303">
        <f t="shared" si="207"/>
        <v>31.41506974595649</v>
      </c>
    </row>
    <row r="1055" spans="1:18" x14ac:dyDescent="0.3">
      <c r="A1055" s="2">
        <v>3342</v>
      </c>
      <c r="B1055" s="41" t="s">
        <v>870</v>
      </c>
      <c r="C1055" s="2">
        <v>14</v>
      </c>
      <c r="D1055" s="2" t="s">
        <v>56</v>
      </c>
      <c r="E1055" s="294">
        <v>46095</v>
      </c>
      <c r="F1055" s="296">
        <v>41800</v>
      </c>
      <c r="G1055" s="352">
        <v>16</v>
      </c>
      <c r="H1055" s="296">
        <f t="shared" si="200"/>
        <v>737520</v>
      </c>
      <c r="I1055" s="122">
        <f t="shared" si="201"/>
        <v>668800</v>
      </c>
      <c r="J1055" s="331">
        <f t="shared" si="202"/>
        <v>-68720</v>
      </c>
      <c r="K1055" s="292">
        <f>'09-RESUMEN'!$F$43/1375</f>
        <v>81431.961035221175</v>
      </c>
      <c r="L1055" s="122">
        <f>('ESTADO RESULTADOS'!$C$36+'ESTADO RESULTADOS'!$C$71)/1375</f>
        <v>24762.287272727273</v>
      </c>
      <c r="M1055" s="122">
        <v>0</v>
      </c>
      <c r="N1055" s="122">
        <f t="shared" si="208"/>
        <v>843714.24830794835</v>
      </c>
      <c r="O1055" s="122">
        <f t="shared" si="209"/>
        <v>52732.140519246772</v>
      </c>
      <c r="P1055" s="336">
        <f t="shared" si="205"/>
        <v>-174914.24830794835</v>
      </c>
      <c r="Q1055" s="336">
        <f t="shared" si="206"/>
        <v>6637.1405192467719</v>
      </c>
      <c r="R1055" s="303">
        <f t="shared" si="207"/>
        <v>0.14398829632816512</v>
      </c>
    </row>
    <row r="1056" spans="1:18" x14ac:dyDescent="0.3">
      <c r="A1056" s="2">
        <v>3343</v>
      </c>
      <c r="B1056" s="41" t="s">
        <v>871</v>
      </c>
      <c r="C1056" s="2">
        <v>14</v>
      </c>
      <c r="D1056" s="2" t="s">
        <v>12</v>
      </c>
      <c r="E1056" s="294">
        <v>443.58300000000003</v>
      </c>
      <c r="F1056" s="296">
        <v>650</v>
      </c>
      <c r="G1056" s="352">
        <v>35</v>
      </c>
      <c r="H1056" s="296">
        <f t="shared" si="200"/>
        <v>15525.405000000001</v>
      </c>
      <c r="I1056" s="122">
        <f t="shared" si="201"/>
        <v>22750</v>
      </c>
      <c r="J1056" s="331">
        <f t="shared" si="202"/>
        <v>7224.5949999999993</v>
      </c>
      <c r="K1056" s="292">
        <f>'09-RESUMEN'!$F$43/1375</f>
        <v>81431.961035221175</v>
      </c>
      <c r="L1056" s="122">
        <f>('ESTADO RESULTADOS'!$C$36+'ESTADO RESULTADOS'!$C$71)/1375</f>
        <v>24762.287272727273</v>
      </c>
      <c r="M1056" s="122">
        <v>0</v>
      </c>
      <c r="N1056" s="122">
        <f t="shared" si="208"/>
        <v>121719.65330794845</v>
      </c>
      <c r="O1056" s="122">
        <f t="shared" si="209"/>
        <v>3477.7043802270987</v>
      </c>
      <c r="P1056" s="336">
        <f t="shared" si="205"/>
        <v>-98969.653307948451</v>
      </c>
      <c r="Q1056" s="336">
        <f t="shared" si="206"/>
        <v>3034.1213802270986</v>
      </c>
      <c r="R1056" s="303">
        <f t="shared" si="207"/>
        <v>6.840030795199767</v>
      </c>
    </row>
    <row r="1057" spans="1:18" x14ac:dyDescent="0.3">
      <c r="A1057" s="2">
        <v>3344</v>
      </c>
      <c r="B1057" s="41" t="s">
        <v>872</v>
      </c>
      <c r="C1057" s="2">
        <v>9</v>
      </c>
      <c r="D1057" s="2" t="s">
        <v>12</v>
      </c>
      <c r="E1057" s="294">
        <v>1130.5</v>
      </c>
      <c r="F1057" s="296">
        <v>1350</v>
      </c>
      <c r="G1057" s="352">
        <v>83</v>
      </c>
      <c r="H1057" s="296">
        <f t="shared" si="200"/>
        <v>93831.5</v>
      </c>
      <c r="I1057" s="122">
        <f t="shared" si="201"/>
        <v>112050</v>
      </c>
      <c r="J1057" s="331">
        <f t="shared" si="202"/>
        <v>18218.5</v>
      </c>
      <c r="K1057" s="292">
        <f>'09-RESUMEN'!$F$43/1375</f>
        <v>81431.961035221175</v>
      </c>
      <c r="L1057" s="122">
        <f>('ESTADO RESULTADOS'!$C$36+'ESTADO RESULTADOS'!$C$71)/1375</f>
        <v>24762.287272727273</v>
      </c>
      <c r="M1057" s="122">
        <v>0</v>
      </c>
      <c r="N1057" s="122">
        <f t="shared" si="208"/>
        <v>200025.74830794844</v>
      </c>
      <c r="O1057" s="122">
        <f t="shared" si="209"/>
        <v>2409.9487747945595</v>
      </c>
      <c r="P1057" s="336">
        <f t="shared" si="205"/>
        <v>-87975.748307948437</v>
      </c>
      <c r="Q1057" s="336">
        <f t="shared" si="206"/>
        <v>1279.4487747945595</v>
      </c>
      <c r="R1057" s="303">
        <f t="shared" si="207"/>
        <v>1.1317547764657758</v>
      </c>
    </row>
    <row r="1058" spans="1:18" x14ac:dyDescent="0.3">
      <c r="A1058" s="2">
        <v>3345</v>
      </c>
      <c r="B1058" s="41" t="s">
        <v>873</v>
      </c>
      <c r="C1058" s="2">
        <v>9</v>
      </c>
      <c r="D1058" s="2" t="s">
        <v>12</v>
      </c>
      <c r="E1058" s="294">
        <v>1356.6</v>
      </c>
      <c r="F1058" s="296">
        <v>1633.3333333333333</v>
      </c>
      <c r="G1058" s="352">
        <v>72</v>
      </c>
      <c r="H1058" s="296">
        <f t="shared" si="200"/>
        <v>97675.199999999997</v>
      </c>
      <c r="I1058" s="122">
        <f t="shared" si="201"/>
        <v>117600</v>
      </c>
      <c r="J1058" s="331">
        <f t="shared" si="202"/>
        <v>19924.800000000003</v>
      </c>
      <c r="K1058" s="292">
        <f>'09-RESUMEN'!$F$43/1375</f>
        <v>81431.961035221175</v>
      </c>
      <c r="L1058" s="122">
        <f>('ESTADO RESULTADOS'!$C$36+'ESTADO RESULTADOS'!$C$71)/1375</f>
        <v>24762.287272727273</v>
      </c>
      <c r="M1058" s="122">
        <v>0</v>
      </c>
      <c r="N1058" s="122">
        <f t="shared" si="208"/>
        <v>203869.44830794845</v>
      </c>
      <c r="O1058" s="122">
        <f t="shared" si="209"/>
        <v>2831.5201153881731</v>
      </c>
      <c r="P1058" s="336">
        <f t="shared" si="205"/>
        <v>-86269.448307948449</v>
      </c>
      <c r="Q1058" s="336">
        <f t="shared" si="206"/>
        <v>1474.9201153881731</v>
      </c>
      <c r="R1058" s="303">
        <f t="shared" si="207"/>
        <v>1.0872181301696693</v>
      </c>
    </row>
    <row r="1059" spans="1:18" x14ac:dyDescent="0.3">
      <c r="A1059" s="2">
        <v>3346</v>
      </c>
      <c r="B1059" s="41" t="s">
        <v>874</v>
      </c>
      <c r="C1059" s="2">
        <v>9</v>
      </c>
      <c r="D1059" s="2" t="s">
        <v>12</v>
      </c>
      <c r="E1059" s="294">
        <v>1695.75</v>
      </c>
      <c r="F1059" s="296">
        <v>1950</v>
      </c>
      <c r="G1059" s="352">
        <v>27</v>
      </c>
      <c r="H1059" s="296">
        <f t="shared" si="200"/>
        <v>45785.25</v>
      </c>
      <c r="I1059" s="122">
        <f t="shared" si="201"/>
        <v>52650</v>
      </c>
      <c r="J1059" s="331">
        <f t="shared" si="202"/>
        <v>6864.75</v>
      </c>
      <c r="K1059" s="292">
        <f>'09-RESUMEN'!$F$43/1375</f>
        <v>81431.961035221175</v>
      </c>
      <c r="L1059" s="122">
        <f>('ESTADO RESULTADOS'!$C$36+'ESTADO RESULTADOS'!$C$71)/1375</f>
        <v>24762.287272727273</v>
      </c>
      <c r="M1059" s="122">
        <v>0</v>
      </c>
      <c r="N1059" s="122">
        <f t="shared" si="208"/>
        <v>151979.49830794844</v>
      </c>
      <c r="O1059" s="122">
        <f t="shared" si="209"/>
        <v>5628.8703077017935</v>
      </c>
      <c r="P1059" s="336">
        <f t="shared" si="205"/>
        <v>-99329.498307948437</v>
      </c>
      <c r="Q1059" s="336">
        <f t="shared" si="206"/>
        <v>3933.1203077017935</v>
      </c>
      <c r="R1059" s="303">
        <f t="shared" si="207"/>
        <v>2.3193986776952933</v>
      </c>
    </row>
    <row r="1060" spans="1:18" x14ac:dyDescent="0.3">
      <c r="A1060" s="2">
        <v>3347</v>
      </c>
      <c r="B1060" s="41" t="s">
        <v>875</v>
      </c>
      <c r="C1060" s="2">
        <v>9</v>
      </c>
      <c r="D1060" s="2" t="s">
        <v>12</v>
      </c>
      <c r="E1060" s="294">
        <v>2261</v>
      </c>
      <c r="F1060" s="296">
        <v>2700</v>
      </c>
      <c r="G1060" s="352">
        <v>44</v>
      </c>
      <c r="H1060" s="296">
        <f t="shared" si="200"/>
        <v>99484</v>
      </c>
      <c r="I1060" s="122">
        <f t="shared" si="201"/>
        <v>118800</v>
      </c>
      <c r="J1060" s="331">
        <f t="shared" si="202"/>
        <v>19316</v>
      </c>
      <c r="K1060" s="292">
        <f>'09-RESUMEN'!$F$43/1375</f>
        <v>81431.961035221175</v>
      </c>
      <c r="L1060" s="122">
        <f>('ESTADO RESULTADOS'!$C$36+'ESTADO RESULTADOS'!$C$71)/1375</f>
        <v>24762.287272727273</v>
      </c>
      <c r="M1060" s="122">
        <v>0</v>
      </c>
      <c r="N1060" s="122">
        <f t="shared" si="208"/>
        <v>205678.24830794844</v>
      </c>
      <c r="O1060" s="122">
        <f t="shared" si="209"/>
        <v>4674.5056433624641</v>
      </c>
      <c r="P1060" s="336">
        <f t="shared" si="205"/>
        <v>-86878.248307948437</v>
      </c>
      <c r="Q1060" s="336">
        <f t="shared" si="206"/>
        <v>2413.5056433624641</v>
      </c>
      <c r="R1060" s="303">
        <f t="shared" si="207"/>
        <v>1.0674505278029474</v>
      </c>
    </row>
    <row r="1061" spans="1:18" x14ac:dyDescent="0.3">
      <c r="A1061" s="2">
        <v>3348</v>
      </c>
      <c r="B1061" s="41" t="s">
        <v>876</v>
      </c>
      <c r="C1061" s="2">
        <v>9</v>
      </c>
      <c r="D1061" s="2" t="s">
        <v>12</v>
      </c>
      <c r="E1061" s="294">
        <v>2826.25</v>
      </c>
      <c r="F1061" s="296">
        <v>3500</v>
      </c>
      <c r="G1061" s="352">
        <v>63</v>
      </c>
      <c r="H1061" s="296">
        <f t="shared" si="200"/>
        <v>178053.75</v>
      </c>
      <c r="I1061" s="122">
        <f t="shared" si="201"/>
        <v>220500</v>
      </c>
      <c r="J1061" s="331">
        <f t="shared" si="202"/>
        <v>42446.25</v>
      </c>
      <c r="K1061" s="292">
        <f>'09-RESUMEN'!$F$43/1375</f>
        <v>81431.961035221175</v>
      </c>
      <c r="L1061" s="122">
        <f>('ESTADO RESULTADOS'!$C$36+'ESTADO RESULTADOS'!$C$71)/1375</f>
        <v>24762.287272727273</v>
      </c>
      <c r="M1061" s="122">
        <v>0</v>
      </c>
      <c r="N1061" s="122">
        <f t="shared" si="208"/>
        <v>284247.99830794847</v>
      </c>
      <c r="O1061" s="122">
        <f t="shared" si="209"/>
        <v>4511.8729890150553</v>
      </c>
      <c r="P1061" s="336">
        <f t="shared" si="205"/>
        <v>-63747.998307948466</v>
      </c>
      <c r="Q1061" s="336">
        <f t="shared" si="206"/>
        <v>1685.6229890150553</v>
      </c>
      <c r="R1061" s="303">
        <f t="shared" si="207"/>
        <v>0.5964168028359329</v>
      </c>
    </row>
    <row r="1062" spans="1:18" x14ac:dyDescent="0.3">
      <c r="A1062" s="2">
        <v>3349</v>
      </c>
      <c r="B1062" s="41" t="s">
        <v>877</v>
      </c>
      <c r="C1062" s="2">
        <v>7</v>
      </c>
      <c r="D1062" s="2" t="s">
        <v>852</v>
      </c>
      <c r="E1062" s="294">
        <v>1680</v>
      </c>
      <c r="F1062" s="296">
        <v>3000</v>
      </c>
      <c r="G1062" s="352">
        <v>1</v>
      </c>
      <c r="H1062" s="296">
        <f t="shared" si="200"/>
        <v>1680</v>
      </c>
      <c r="I1062" s="122">
        <f t="shared" si="201"/>
        <v>3000</v>
      </c>
      <c r="J1062" s="331">
        <f t="shared" si="202"/>
        <v>1320</v>
      </c>
      <c r="K1062" s="292">
        <f>'09-RESUMEN'!$F$43/1375</f>
        <v>81431.961035221175</v>
      </c>
      <c r="L1062" s="122">
        <f>('ESTADO RESULTADOS'!$C$36+'ESTADO RESULTADOS'!$C$71)/1375</f>
        <v>24762.287272727273</v>
      </c>
      <c r="M1062" s="122">
        <v>0</v>
      </c>
      <c r="N1062" s="122">
        <f t="shared" si="208"/>
        <v>107874.24830794845</v>
      </c>
      <c r="O1062" s="122">
        <f t="shared" si="209"/>
        <v>107874.24830794845</v>
      </c>
      <c r="P1062" s="336">
        <f t="shared" si="205"/>
        <v>-104874.24830794845</v>
      </c>
      <c r="Q1062" s="336">
        <f t="shared" si="206"/>
        <v>106194.24830794845</v>
      </c>
      <c r="R1062" s="303">
        <f t="shared" si="207"/>
        <v>63.210862088064552</v>
      </c>
    </row>
    <row r="1063" spans="1:18" x14ac:dyDescent="0.3">
      <c r="A1063" s="2">
        <v>3350</v>
      </c>
      <c r="B1063" s="41" t="s">
        <v>878</v>
      </c>
      <c r="C1063" s="2">
        <v>7</v>
      </c>
      <c r="D1063" s="2" t="s">
        <v>21</v>
      </c>
      <c r="E1063" s="294">
        <v>2480</v>
      </c>
      <c r="F1063" s="296">
        <v>3200</v>
      </c>
      <c r="G1063" s="352">
        <v>1</v>
      </c>
      <c r="H1063" s="296">
        <f t="shared" si="200"/>
        <v>2480</v>
      </c>
      <c r="I1063" s="122">
        <f t="shared" si="201"/>
        <v>3200</v>
      </c>
      <c r="J1063" s="331">
        <f t="shared" si="202"/>
        <v>720</v>
      </c>
      <c r="K1063" s="292">
        <f>'09-RESUMEN'!$F$43/1375</f>
        <v>81431.961035221175</v>
      </c>
      <c r="L1063" s="122">
        <f>('ESTADO RESULTADOS'!$C$36+'ESTADO RESULTADOS'!$C$71)/1375</f>
        <v>24762.287272727273</v>
      </c>
      <c r="M1063" s="122">
        <v>0</v>
      </c>
      <c r="N1063" s="122">
        <f t="shared" si="208"/>
        <v>108674.24830794845</v>
      </c>
      <c r="O1063" s="122">
        <f t="shared" si="209"/>
        <v>108674.24830794845</v>
      </c>
      <c r="P1063" s="336">
        <f t="shared" si="205"/>
        <v>-105474.24830794845</v>
      </c>
      <c r="Q1063" s="336">
        <f t="shared" si="206"/>
        <v>106194.24830794845</v>
      </c>
      <c r="R1063" s="303">
        <f t="shared" si="207"/>
        <v>42.820261414495342</v>
      </c>
    </row>
    <row r="1064" spans="1:18" x14ac:dyDescent="0.3">
      <c r="A1064" s="2">
        <v>3351</v>
      </c>
      <c r="B1064" s="41" t="s">
        <v>879</v>
      </c>
      <c r="C1064" s="2">
        <v>7</v>
      </c>
      <c r="D1064" s="2" t="s">
        <v>21</v>
      </c>
      <c r="E1064" s="294">
        <v>2800</v>
      </c>
      <c r="F1064" s="296">
        <v>3366.6666666666665</v>
      </c>
      <c r="G1064" s="352">
        <v>7</v>
      </c>
      <c r="H1064" s="296">
        <f t="shared" si="200"/>
        <v>19600</v>
      </c>
      <c r="I1064" s="122">
        <f t="shared" si="201"/>
        <v>23566.666666666664</v>
      </c>
      <c r="J1064" s="331">
        <f t="shared" si="202"/>
        <v>3966.6666666666642</v>
      </c>
      <c r="K1064" s="292">
        <f>'09-RESUMEN'!$F$43/1375</f>
        <v>81431.961035221175</v>
      </c>
      <c r="L1064" s="122">
        <f>('ESTADO RESULTADOS'!$C$36+'ESTADO RESULTADOS'!$C$71)/1375</f>
        <v>24762.287272727273</v>
      </c>
      <c r="M1064" s="122">
        <v>0</v>
      </c>
      <c r="N1064" s="122">
        <f t="shared" si="208"/>
        <v>125794.24830794845</v>
      </c>
      <c r="O1064" s="122">
        <f t="shared" si="209"/>
        <v>17970.606901135492</v>
      </c>
      <c r="P1064" s="336">
        <f t="shared" si="205"/>
        <v>-102227.58164128178</v>
      </c>
      <c r="Q1064" s="336">
        <f t="shared" si="206"/>
        <v>15170.606901135492</v>
      </c>
      <c r="R1064" s="303">
        <f t="shared" si="207"/>
        <v>5.418073893262676</v>
      </c>
    </row>
    <row r="1065" spans="1:18" x14ac:dyDescent="0.3">
      <c r="A1065" s="2">
        <v>3352</v>
      </c>
      <c r="B1065" s="41" t="s">
        <v>1836</v>
      </c>
      <c r="C1065" s="2">
        <v>5</v>
      </c>
      <c r="D1065" s="2" t="s">
        <v>12</v>
      </c>
      <c r="E1065" s="294">
        <v>8910</v>
      </c>
      <c r="F1065" s="296">
        <v>12300</v>
      </c>
      <c r="G1065" s="352">
        <v>0</v>
      </c>
      <c r="H1065" s="296">
        <f t="shared" si="200"/>
        <v>0</v>
      </c>
      <c r="I1065" s="122">
        <f t="shared" si="201"/>
        <v>0</v>
      </c>
      <c r="J1065" s="331">
        <f t="shared" si="202"/>
        <v>0</v>
      </c>
      <c r="K1065" s="292">
        <f>'09-RESUMEN'!$F$43/1375</f>
        <v>81431.961035221175</v>
      </c>
      <c r="L1065" s="122">
        <f>('ESTADO RESULTADOS'!$C$36+'ESTADO RESULTADOS'!$C$71)/1375</f>
        <v>24762.287272727273</v>
      </c>
      <c r="M1065" s="122">
        <v>0</v>
      </c>
      <c r="N1065" s="122">
        <f>SUM(E1065+K1065+L1065+M1065)</f>
        <v>115104.24830794845</v>
      </c>
      <c r="O1065" s="122">
        <f>N1065</f>
        <v>115104.24830794845</v>
      </c>
      <c r="P1065" s="336">
        <f t="shared" si="205"/>
        <v>-115104.24830794845</v>
      </c>
      <c r="Q1065" s="336">
        <f t="shared" si="206"/>
        <v>106194.24830794845</v>
      </c>
      <c r="R1065" s="303">
        <f t="shared" si="207"/>
        <v>11.918546386975136</v>
      </c>
    </row>
    <row r="1066" spans="1:18" x14ac:dyDescent="0.3">
      <c r="A1066" s="2">
        <v>3353</v>
      </c>
      <c r="B1066" s="41" t="s">
        <v>880</v>
      </c>
      <c r="C1066" s="2">
        <v>7</v>
      </c>
      <c r="D1066" s="2" t="s">
        <v>12</v>
      </c>
      <c r="E1066" s="294">
        <v>2480</v>
      </c>
      <c r="F1066" s="296">
        <v>4100</v>
      </c>
      <c r="G1066" s="352">
        <v>9</v>
      </c>
      <c r="H1066" s="296">
        <f t="shared" si="200"/>
        <v>22320</v>
      </c>
      <c r="I1066" s="122">
        <f t="shared" si="201"/>
        <v>36900</v>
      </c>
      <c r="J1066" s="331">
        <f t="shared" si="202"/>
        <v>14580</v>
      </c>
      <c r="K1066" s="292">
        <f>'09-RESUMEN'!$F$43/1375</f>
        <v>81431.961035221175</v>
      </c>
      <c r="L1066" s="122">
        <f>('ESTADO RESULTADOS'!$C$36+'ESTADO RESULTADOS'!$C$71)/1375</f>
        <v>24762.287272727273</v>
      </c>
      <c r="M1066" s="122">
        <v>0</v>
      </c>
      <c r="N1066" s="122">
        <f t="shared" ref="N1066:N1083" si="210">SUM(H1066+K1066+L1066+M1066)</f>
        <v>128514.24830794845</v>
      </c>
      <c r="O1066" s="122">
        <f t="shared" ref="O1066:O1083" si="211">N1066/G1066</f>
        <v>14279.360923105383</v>
      </c>
      <c r="P1066" s="336">
        <f t="shared" si="205"/>
        <v>-91614.248307948452</v>
      </c>
      <c r="Q1066" s="336">
        <f t="shared" si="206"/>
        <v>11799.360923105383</v>
      </c>
      <c r="R1066" s="303">
        <f t="shared" si="207"/>
        <v>4.7578068238328157</v>
      </c>
    </row>
    <row r="1067" spans="1:18" x14ac:dyDescent="0.3">
      <c r="A1067" s="2">
        <v>3354</v>
      </c>
      <c r="B1067" s="41" t="s">
        <v>881</v>
      </c>
      <c r="C1067" s="2">
        <v>7</v>
      </c>
      <c r="D1067" s="2" t="s">
        <v>21</v>
      </c>
      <c r="E1067" s="294">
        <v>2480</v>
      </c>
      <c r="F1067" s="296">
        <v>4100</v>
      </c>
      <c r="G1067" s="352">
        <v>2</v>
      </c>
      <c r="H1067" s="296">
        <f t="shared" si="200"/>
        <v>4960</v>
      </c>
      <c r="I1067" s="122">
        <f t="shared" si="201"/>
        <v>8200</v>
      </c>
      <c r="J1067" s="331">
        <f t="shared" si="202"/>
        <v>3240</v>
      </c>
      <c r="K1067" s="292">
        <f>'09-RESUMEN'!$F$43/1375</f>
        <v>81431.961035221175</v>
      </c>
      <c r="L1067" s="122">
        <f>('ESTADO RESULTADOS'!$C$36+'ESTADO RESULTADOS'!$C$71)/1375</f>
        <v>24762.287272727273</v>
      </c>
      <c r="M1067" s="122">
        <v>0</v>
      </c>
      <c r="N1067" s="122">
        <f t="shared" si="210"/>
        <v>111154.24830794845</v>
      </c>
      <c r="O1067" s="122">
        <f t="shared" si="211"/>
        <v>55577.124153974226</v>
      </c>
      <c r="P1067" s="336">
        <f t="shared" si="205"/>
        <v>-102954.24830794845</v>
      </c>
      <c r="Q1067" s="336">
        <f t="shared" si="206"/>
        <v>53097.124153974226</v>
      </c>
      <c r="R1067" s="303">
        <f t="shared" si="207"/>
        <v>21.410130707247671</v>
      </c>
    </row>
    <row r="1068" spans="1:18" x14ac:dyDescent="0.3">
      <c r="A1068" s="2">
        <v>3355</v>
      </c>
      <c r="B1068" s="41" t="s">
        <v>882</v>
      </c>
      <c r="C1068" s="2">
        <v>7</v>
      </c>
      <c r="D1068" s="2" t="s">
        <v>21</v>
      </c>
      <c r="E1068" s="294">
        <v>2800</v>
      </c>
      <c r="F1068" s="296">
        <v>3350</v>
      </c>
      <c r="G1068" s="352">
        <v>10</v>
      </c>
      <c r="H1068" s="296">
        <f t="shared" si="200"/>
        <v>28000</v>
      </c>
      <c r="I1068" s="122">
        <f t="shared" si="201"/>
        <v>33500</v>
      </c>
      <c r="J1068" s="331">
        <f t="shared" si="202"/>
        <v>5500</v>
      </c>
      <c r="K1068" s="292">
        <f>'09-RESUMEN'!$F$43/1375</f>
        <v>81431.961035221175</v>
      </c>
      <c r="L1068" s="122">
        <f>('ESTADO RESULTADOS'!$C$36+'ESTADO RESULTADOS'!$C$71)/1375</f>
        <v>24762.287272727273</v>
      </c>
      <c r="M1068" s="122">
        <v>0</v>
      </c>
      <c r="N1068" s="122">
        <f t="shared" si="210"/>
        <v>134194.24830794844</v>
      </c>
      <c r="O1068" s="122">
        <f t="shared" si="211"/>
        <v>13419.424830794844</v>
      </c>
      <c r="P1068" s="336">
        <f t="shared" si="205"/>
        <v>-100694.24830794844</v>
      </c>
      <c r="Q1068" s="336">
        <f t="shared" si="206"/>
        <v>10619.424830794844</v>
      </c>
      <c r="R1068" s="303">
        <f t="shared" si="207"/>
        <v>3.7926517252838727</v>
      </c>
    </row>
    <row r="1069" spans="1:18" x14ac:dyDescent="0.3">
      <c r="A1069" s="2">
        <v>3356</v>
      </c>
      <c r="B1069" s="41" t="s">
        <v>883</v>
      </c>
      <c r="C1069" s="2">
        <v>7</v>
      </c>
      <c r="D1069" s="2" t="s">
        <v>21</v>
      </c>
      <c r="E1069" s="294">
        <v>1680</v>
      </c>
      <c r="F1069" s="296">
        <v>3883.3333333333335</v>
      </c>
      <c r="G1069" s="352">
        <v>6</v>
      </c>
      <c r="H1069" s="296">
        <f t="shared" si="200"/>
        <v>10080</v>
      </c>
      <c r="I1069" s="122">
        <f t="shared" si="201"/>
        <v>23300</v>
      </c>
      <c r="J1069" s="331">
        <f t="shared" si="202"/>
        <v>13220</v>
      </c>
      <c r="K1069" s="292">
        <f>'09-RESUMEN'!$F$43/1375</f>
        <v>81431.961035221175</v>
      </c>
      <c r="L1069" s="122">
        <f>('ESTADO RESULTADOS'!$C$36+'ESTADO RESULTADOS'!$C$71)/1375</f>
        <v>24762.287272727273</v>
      </c>
      <c r="M1069" s="122">
        <v>0</v>
      </c>
      <c r="N1069" s="122">
        <f t="shared" si="210"/>
        <v>116274.24830794845</v>
      </c>
      <c r="O1069" s="122">
        <f t="shared" si="211"/>
        <v>19379.041384658074</v>
      </c>
      <c r="P1069" s="336">
        <f t="shared" si="205"/>
        <v>-92974.248307948452</v>
      </c>
      <c r="Q1069" s="336">
        <f t="shared" si="206"/>
        <v>17699.041384658074</v>
      </c>
      <c r="R1069" s="303">
        <f t="shared" si="207"/>
        <v>10.535143681344092</v>
      </c>
    </row>
    <row r="1070" spans="1:18" x14ac:dyDescent="0.3">
      <c r="A1070" s="2">
        <v>3357</v>
      </c>
      <c r="B1070" s="41" t="s">
        <v>884</v>
      </c>
      <c r="C1070" s="2">
        <v>7</v>
      </c>
      <c r="D1070" s="2" t="s">
        <v>160</v>
      </c>
      <c r="E1070" s="294">
        <v>2800</v>
      </c>
      <c r="F1070" s="296">
        <v>3200</v>
      </c>
      <c r="G1070" s="352">
        <v>12</v>
      </c>
      <c r="H1070" s="296">
        <f t="shared" si="200"/>
        <v>33600</v>
      </c>
      <c r="I1070" s="122">
        <f t="shared" si="201"/>
        <v>38400</v>
      </c>
      <c r="J1070" s="331">
        <f t="shared" si="202"/>
        <v>4800</v>
      </c>
      <c r="K1070" s="292">
        <f>'09-RESUMEN'!$F$43/1375</f>
        <v>81431.961035221175</v>
      </c>
      <c r="L1070" s="122">
        <f>('ESTADO RESULTADOS'!$C$36+'ESTADO RESULTADOS'!$C$71)/1375</f>
        <v>24762.287272727273</v>
      </c>
      <c r="M1070" s="122">
        <v>0</v>
      </c>
      <c r="N1070" s="122">
        <f t="shared" si="210"/>
        <v>139794.24830794844</v>
      </c>
      <c r="O1070" s="122">
        <f t="shared" si="211"/>
        <v>11649.520692329037</v>
      </c>
      <c r="P1070" s="336">
        <f t="shared" si="205"/>
        <v>-101394.24830794844</v>
      </c>
      <c r="Q1070" s="336">
        <f t="shared" si="206"/>
        <v>8849.520692329037</v>
      </c>
      <c r="R1070" s="303">
        <f t="shared" si="207"/>
        <v>3.1605431044032275</v>
      </c>
    </row>
    <row r="1071" spans="1:18" x14ac:dyDescent="0.3">
      <c r="A1071" s="2">
        <v>3358</v>
      </c>
      <c r="B1071" s="41" t="s">
        <v>885</v>
      </c>
      <c r="C1071" s="2">
        <v>7</v>
      </c>
      <c r="D1071" s="2" t="s">
        <v>160</v>
      </c>
      <c r="E1071" s="294">
        <v>2480</v>
      </c>
      <c r="F1071" s="296">
        <v>3350</v>
      </c>
      <c r="G1071" s="352">
        <v>2</v>
      </c>
      <c r="H1071" s="296">
        <f t="shared" si="200"/>
        <v>4960</v>
      </c>
      <c r="I1071" s="122">
        <f t="shared" si="201"/>
        <v>6700</v>
      </c>
      <c r="J1071" s="331">
        <f t="shared" si="202"/>
        <v>1740</v>
      </c>
      <c r="K1071" s="292">
        <f>'09-RESUMEN'!$F$43/1375</f>
        <v>81431.961035221175</v>
      </c>
      <c r="L1071" s="122">
        <f>('ESTADO RESULTADOS'!$C$36+'ESTADO RESULTADOS'!$C$71)/1375</f>
        <v>24762.287272727273</v>
      </c>
      <c r="M1071" s="122">
        <v>0</v>
      </c>
      <c r="N1071" s="122">
        <f t="shared" si="210"/>
        <v>111154.24830794845</v>
      </c>
      <c r="O1071" s="122">
        <f t="shared" si="211"/>
        <v>55577.124153974226</v>
      </c>
      <c r="P1071" s="336">
        <f t="shared" si="205"/>
        <v>-104454.24830794845</v>
      </c>
      <c r="Q1071" s="336">
        <f t="shared" si="206"/>
        <v>53097.124153974226</v>
      </c>
      <c r="R1071" s="303">
        <f t="shared" si="207"/>
        <v>21.410130707247671</v>
      </c>
    </row>
    <row r="1072" spans="1:18" x14ac:dyDescent="0.3">
      <c r="A1072" s="2">
        <v>3359</v>
      </c>
      <c r="B1072" s="41" t="s">
        <v>886</v>
      </c>
      <c r="C1072" s="2">
        <v>7</v>
      </c>
      <c r="D1072" s="2" t="s">
        <v>160</v>
      </c>
      <c r="E1072" s="294">
        <v>2800</v>
      </c>
      <c r="F1072" s="296">
        <v>4100</v>
      </c>
      <c r="G1072" s="352">
        <v>6</v>
      </c>
      <c r="H1072" s="296">
        <f t="shared" si="200"/>
        <v>16800</v>
      </c>
      <c r="I1072" s="122">
        <f t="shared" si="201"/>
        <v>24600</v>
      </c>
      <c r="J1072" s="331">
        <f t="shared" si="202"/>
        <v>7800</v>
      </c>
      <c r="K1072" s="292">
        <f>'09-RESUMEN'!$F$43/1375</f>
        <v>81431.961035221175</v>
      </c>
      <c r="L1072" s="122">
        <f>('ESTADO RESULTADOS'!$C$36+'ESTADO RESULTADOS'!$C$71)/1375</f>
        <v>24762.287272727273</v>
      </c>
      <c r="M1072" s="122">
        <v>0</v>
      </c>
      <c r="N1072" s="122">
        <f t="shared" si="210"/>
        <v>122994.24830794845</v>
      </c>
      <c r="O1072" s="122">
        <f t="shared" si="211"/>
        <v>20499.041384658074</v>
      </c>
      <c r="P1072" s="336">
        <f t="shared" si="205"/>
        <v>-98394.248307948452</v>
      </c>
      <c r="Q1072" s="336">
        <f t="shared" si="206"/>
        <v>17699.041384658074</v>
      </c>
      <c r="R1072" s="303">
        <f t="shared" si="207"/>
        <v>6.321086208806455</v>
      </c>
    </row>
    <row r="1073" spans="1:18" x14ac:dyDescent="0.3">
      <c r="A1073" s="2">
        <v>3360</v>
      </c>
      <c r="B1073" s="41" t="s">
        <v>1837</v>
      </c>
      <c r="C1073" s="2">
        <v>7</v>
      </c>
      <c r="D1073" s="2" t="s">
        <v>795</v>
      </c>
      <c r="E1073" s="294">
        <v>1500</v>
      </c>
      <c r="F1073" s="296">
        <v>2000</v>
      </c>
      <c r="G1073" s="352">
        <v>16</v>
      </c>
      <c r="H1073" s="296">
        <f t="shared" si="200"/>
        <v>24000</v>
      </c>
      <c r="I1073" s="122">
        <f t="shared" si="201"/>
        <v>32000</v>
      </c>
      <c r="J1073" s="331">
        <f t="shared" si="202"/>
        <v>8000</v>
      </c>
      <c r="K1073" s="292">
        <f>'09-RESUMEN'!$F$43/1375</f>
        <v>81431.961035221175</v>
      </c>
      <c r="L1073" s="122">
        <f>('ESTADO RESULTADOS'!$C$36+'ESTADO RESULTADOS'!$C$71)/1375</f>
        <v>24762.287272727273</v>
      </c>
      <c r="M1073" s="122">
        <v>0</v>
      </c>
      <c r="N1073" s="122">
        <f t="shared" si="210"/>
        <v>130194.24830794845</v>
      </c>
      <c r="O1073" s="122">
        <f t="shared" si="211"/>
        <v>8137.1405192467782</v>
      </c>
      <c r="P1073" s="336">
        <f t="shared" si="205"/>
        <v>-98194.248307948452</v>
      </c>
      <c r="Q1073" s="336">
        <f t="shared" si="206"/>
        <v>6637.1405192467782</v>
      </c>
      <c r="R1073" s="303">
        <f t="shared" si="207"/>
        <v>4.4247603461645184</v>
      </c>
    </row>
    <row r="1074" spans="1:18" x14ac:dyDescent="0.3">
      <c r="A1074" s="2">
        <v>3361</v>
      </c>
      <c r="B1074" s="41" t="s">
        <v>1838</v>
      </c>
      <c r="C1074" s="2">
        <v>7</v>
      </c>
      <c r="D1074" s="2" t="s">
        <v>12</v>
      </c>
      <c r="E1074" s="294">
        <v>2000</v>
      </c>
      <c r="F1074" s="296">
        <v>2500</v>
      </c>
      <c r="G1074" s="352">
        <v>1</v>
      </c>
      <c r="H1074" s="296">
        <f t="shared" si="200"/>
        <v>2000</v>
      </c>
      <c r="I1074" s="122">
        <f t="shared" si="201"/>
        <v>2500</v>
      </c>
      <c r="J1074" s="331">
        <f t="shared" si="202"/>
        <v>500</v>
      </c>
      <c r="K1074" s="292">
        <f>'09-RESUMEN'!$F$43/1375</f>
        <v>81431.961035221175</v>
      </c>
      <c r="L1074" s="122">
        <f>('ESTADO RESULTADOS'!$C$36+'ESTADO RESULTADOS'!$C$71)/1375</f>
        <v>24762.287272727273</v>
      </c>
      <c r="M1074" s="122">
        <v>0</v>
      </c>
      <c r="N1074" s="122">
        <f t="shared" si="210"/>
        <v>108194.24830794845</v>
      </c>
      <c r="O1074" s="122">
        <f t="shared" si="211"/>
        <v>108194.24830794845</v>
      </c>
      <c r="P1074" s="336">
        <f t="shared" si="205"/>
        <v>-105694.24830794845</v>
      </c>
      <c r="Q1074" s="336">
        <f t="shared" si="206"/>
        <v>106194.24830794845</v>
      </c>
      <c r="R1074" s="303">
        <f t="shared" si="207"/>
        <v>53.097124153974228</v>
      </c>
    </row>
    <row r="1075" spans="1:18" x14ac:dyDescent="0.3">
      <c r="A1075" s="2">
        <v>3362</v>
      </c>
      <c r="B1075" s="41" t="s">
        <v>887</v>
      </c>
      <c r="C1075" s="2">
        <v>7</v>
      </c>
      <c r="D1075" s="2" t="s">
        <v>12</v>
      </c>
      <c r="E1075" s="294">
        <v>1500</v>
      </c>
      <c r="F1075" s="296">
        <v>2200</v>
      </c>
      <c r="G1075" s="352">
        <v>2</v>
      </c>
      <c r="H1075" s="296">
        <f t="shared" si="200"/>
        <v>3000</v>
      </c>
      <c r="I1075" s="122">
        <f t="shared" si="201"/>
        <v>4400</v>
      </c>
      <c r="J1075" s="331">
        <f t="shared" si="202"/>
        <v>1400</v>
      </c>
      <c r="K1075" s="292">
        <f>'09-RESUMEN'!$F$43/1375</f>
        <v>81431.961035221175</v>
      </c>
      <c r="L1075" s="122">
        <f>('ESTADO RESULTADOS'!$C$36+'ESTADO RESULTADOS'!$C$71)/1375</f>
        <v>24762.287272727273</v>
      </c>
      <c r="M1075" s="122">
        <v>0</v>
      </c>
      <c r="N1075" s="122">
        <f t="shared" si="210"/>
        <v>109194.24830794845</v>
      </c>
      <c r="O1075" s="122">
        <f t="shared" si="211"/>
        <v>54597.124153974226</v>
      </c>
      <c r="P1075" s="336">
        <f t="shared" si="205"/>
        <v>-104794.24830794845</v>
      </c>
      <c r="Q1075" s="336">
        <f t="shared" si="206"/>
        <v>53097.124153974226</v>
      </c>
      <c r="R1075" s="303">
        <f t="shared" si="207"/>
        <v>35.398082769316147</v>
      </c>
    </row>
    <row r="1076" spans="1:18" x14ac:dyDescent="0.3">
      <c r="A1076" s="2">
        <v>3363</v>
      </c>
      <c r="B1076" s="41" t="s">
        <v>888</v>
      </c>
      <c r="C1076" s="2">
        <v>7</v>
      </c>
      <c r="D1076" s="2" t="s">
        <v>12</v>
      </c>
      <c r="E1076" s="294">
        <v>1400</v>
      </c>
      <c r="F1076" s="296">
        <v>1800</v>
      </c>
      <c r="G1076" s="352">
        <v>1</v>
      </c>
      <c r="H1076" s="296">
        <f t="shared" si="200"/>
        <v>1400</v>
      </c>
      <c r="I1076" s="122">
        <f t="shared" si="201"/>
        <v>1800</v>
      </c>
      <c r="J1076" s="331">
        <f t="shared" si="202"/>
        <v>400</v>
      </c>
      <c r="K1076" s="292">
        <f>'09-RESUMEN'!$F$43/1375</f>
        <v>81431.961035221175</v>
      </c>
      <c r="L1076" s="122">
        <f>('ESTADO RESULTADOS'!$C$36+'ESTADO RESULTADOS'!$C$71)/1375</f>
        <v>24762.287272727273</v>
      </c>
      <c r="M1076" s="122">
        <v>0</v>
      </c>
      <c r="N1076" s="122">
        <f t="shared" si="210"/>
        <v>107594.24830794845</v>
      </c>
      <c r="O1076" s="122">
        <f t="shared" si="211"/>
        <v>107594.24830794845</v>
      </c>
      <c r="P1076" s="336">
        <f t="shared" si="205"/>
        <v>-105794.24830794845</v>
      </c>
      <c r="Q1076" s="336">
        <f t="shared" si="206"/>
        <v>106194.24830794845</v>
      </c>
      <c r="R1076" s="303">
        <f t="shared" si="207"/>
        <v>75.853034505677471</v>
      </c>
    </row>
    <row r="1077" spans="1:18" x14ac:dyDescent="0.3">
      <c r="A1077" s="2">
        <v>3364</v>
      </c>
      <c r="B1077" s="41" t="s">
        <v>889</v>
      </c>
      <c r="C1077" s="2">
        <v>14</v>
      </c>
      <c r="D1077" s="2" t="s">
        <v>12</v>
      </c>
      <c r="E1077" s="294">
        <v>1121.3</v>
      </c>
      <c r="F1077" s="296">
        <v>1600</v>
      </c>
      <c r="G1077" s="352">
        <v>5</v>
      </c>
      <c r="H1077" s="296">
        <f t="shared" si="200"/>
        <v>5606.5</v>
      </c>
      <c r="I1077" s="122">
        <f t="shared" si="201"/>
        <v>8000</v>
      </c>
      <c r="J1077" s="331">
        <f t="shared" si="202"/>
        <v>2393.5</v>
      </c>
      <c r="K1077" s="292">
        <f>'09-RESUMEN'!$F$43/1375</f>
        <v>81431.961035221175</v>
      </c>
      <c r="L1077" s="122">
        <f>('ESTADO RESULTADOS'!$C$36+'ESTADO RESULTADOS'!$C$71)/1375</f>
        <v>24762.287272727273</v>
      </c>
      <c r="M1077" s="122">
        <v>0</v>
      </c>
      <c r="N1077" s="122">
        <f t="shared" si="210"/>
        <v>111800.74830794845</v>
      </c>
      <c r="O1077" s="122">
        <f t="shared" si="211"/>
        <v>22360.14966158969</v>
      </c>
      <c r="P1077" s="336">
        <f t="shared" si="205"/>
        <v>-103800.74830794845</v>
      </c>
      <c r="Q1077" s="336">
        <f t="shared" si="206"/>
        <v>21238.849661589691</v>
      </c>
      <c r="R1077" s="303">
        <f t="shared" si="207"/>
        <v>18.941273220003293</v>
      </c>
    </row>
    <row r="1078" spans="1:18" x14ac:dyDescent="0.3">
      <c r="A1078" s="2">
        <v>3365</v>
      </c>
      <c r="B1078" s="41" t="s">
        <v>890</v>
      </c>
      <c r="C1078" s="2">
        <v>14</v>
      </c>
      <c r="D1078" s="2" t="s">
        <v>181</v>
      </c>
      <c r="E1078" s="294">
        <v>7802</v>
      </c>
      <c r="F1078" s="296">
        <v>9600</v>
      </c>
      <c r="G1078" s="352">
        <v>6</v>
      </c>
      <c r="H1078" s="296">
        <f t="shared" si="200"/>
        <v>46812</v>
      </c>
      <c r="I1078" s="122">
        <f t="shared" si="201"/>
        <v>57600</v>
      </c>
      <c r="J1078" s="331">
        <f t="shared" si="202"/>
        <v>10788</v>
      </c>
      <c r="K1078" s="292">
        <f>'09-RESUMEN'!$F$43/1375</f>
        <v>81431.961035221175</v>
      </c>
      <c r="L1078" s="122">
        <f>('ESTADO RESULTADOS'!$C$36+'ESTADO RESULTADOS'!$C$71)/1375</f>
        <v>24762.287272727273</v>
      </c>
      <c r="M1078" s="122">
        <v>0</v>
      </c>
      <c r="N1078" s="122">
        <f t="shared" si="210"/>
        <v>153006.24830794844</v>
      </c>
      <c r="O1078" s="122">
        <f t="shared" si="211"/>
        <v>25501.041384658074</v>
      </c>
      <c r="P1078" s="336">
        <f t="shared" si="205"/>
        <v>-95406.248307948437</v>
      </c>
      <c r="Q1078" s="336">
        <f t="shared" si="206"/>
        <v>17699.041384658074</v>
      </c>
      <c r="R1078" s="303">
        <f t="shared" si="207"/>
        <v>2.2685261964442547</v>
      </c>
    </row>
    <row r="1079" spans="1:18" x14ac:dyDescent="0.3">
      <c r="A1079" s="2">
        <v>3366</v>
      </c>
      <c r="B1079" s="41" t="s">
        <v>891</v>
      </c>
      <c r="C1079" s="2">
        <v>14</v>
      </c>
      <c r="D1079" s="2" t="s">
        <v>12</v>
      </c>
      <c r="E1079" s="294">
        <v>13351.142900000001</v>
      </c>
      <c r="F1079" s="296">
        <v>16000</v>
      </c>
      <c r="G1079" s="352">
        <v>5</v>
      </c>
      <c r="H1079" s="296">
        <f t="shared" si="200"/>
        <v>66755.714500000002</v>
      </c>
      <c r="I1079" s="122">
        <f t="shared" si="201"/>
        <v>80000</v>
      </c>
      <c r="J1079" s="331">
        <f t="shared" si="202"/>
        <v>13244.285499999998</v>
      </c>
      <c r="K1079" s="292">
        <f>'09-RESUMEN'!$F$43/1375</f>
        <v>81431.961035221175</v>
      </c>
      <c r="L1079" s="122">
        <f>('ESTADO RESULTADOS'!$C$36+'ESTADO RESULTADOS'!$C$71)/1375</f>
        <v>24762.287272727273</v>
      </c>
      <c r="M1079" s="122">
        <v>0</v>
      </c>
      <c r="N1079" s="122">
        <f t="shared" si="210"/>
        <v>172949.96280794844</v>
      </c>
      <c r="O1079" s="122">
        <f t="shared" si="211"/>
        <v>34589.992561589686</v>
      </c>
      <c r="P1079" s="336">
        <f t="shared" si="205"/>
        <v>-92949.962807948439</v>
      </c>
      <c r="Q1079" s="336">
        <f t="shared" si="206"/>
        <v>21238.849661589687</v>
      </c>
      <c r="R1079" s="303">
        <f t="shared" si="207"/>
        <v>1.5907888800733072</v>
      </c>
    </row>
    <row r="1080" spans="1:18" x14ac:dyDescent="0.3">
      <c r="A1080" s="2">
        <v>3367</v>
      </c>
      <c r="B1080" s="41" t="s">
        <v>1839</v>
      </c>
      <c r="C1080" s="2">
        <v>14</v>
      </c>
      <c r="D1080" s="2" t="s">
        <v>12</v>
      </c>
      <c r="E1080" s="294">
        <v>14391.178599999999</v>
      </c>
      <c r="F1080" s="296">
        <v>17866.666666666668</v>
      </c>
      <c r="G1080" s="352">
        <v>2</v>
      </c>
      <c r="H1080" s="296">
        <f t="shared" si="200"/>
        <v>28782.357199999999</v>
      </c>
      <c r="I1080" s="122">
        <f t="shared" si="201"/>
        <v>35733.333333333336</v>
      </c>
      <c r="J1080" s="331">
        <f t="shared" si="202"/>
        <v>6950.9761333333372</v>
      </c>
      <c r="K1080" s="292">
        <f>'09-RESUMEN'!$F$43/1375</f>
        <v>81431.961035221175</v>
      </c>
      <c r="L1080" s="122">
        <f>('ESTADO RESULTADOS'!$C$36+'ESTADO RESULTADOS'!$C$71)/1375</f>
        <v>24762.287272727273</v>
      </c>
      <c r="M1080" s="122">
        <v>0</v>
      </c>
      <c r="N1080" s="122">
        <f t="shared" si="210"/>
        <v>134976.60550794844</v>
      </c>
      <c r="O1080" s="122">
        <f t="shared" si="211"/>
        <v>67488.302753974218</v>
      </c>
      <c r="P1080" s="336">
        <f t="shared" si="205"/>
        <v>-99243.272174615093</v>
      </c>
      <c r="Q1080" s="336">
        <f t="shared" si="206"/>
        <v>53097.124153974219</v>
      </c>
      <c r="R1080" s="303">
        <f t="shared" si="207"/>
        <v>3.6895605029857821</v>
      </c>
    </row>
    <row r="1081" spans="1:18" x14ac:dyDescent="0.3">
      <c r="A1081" s="2">
        <v>3368</v>
      </c>
      <c r="B1081" s="41" t="s">
        <v>892</v>
      </c>
      <c r="C1081" s="2">
        <v>8</v>
      </c>
      <c r="D1081" s="2" t="s">
        <v>16</v>
      </c>
      <c r="E1081" s="294">
        <v>22208.15</v>
      </c>
      <c r="F1081" s="296">
        <v>27416.666666666668</v>
      </c>
      <c r="G1081" s="352">
        <v>21</v>
      </c>
      <c r="H1081" s="296">
        <f t="shared" si="200"/>
        <v>466371.15</v>
      </c>
      <c r="I1081" s="122">
        <f t="shared" si="201"/>
        <v>575750</v>
      </c>
      <c r="J1081" s="331">
        <f t="shared" si="202"/>
        <v>109378.84999999998</v>
      </c>
      <c r="K1081" s="292">
        <f>'09-RESUMEN'!$F$43/1375</f>
        <v>81431.961035221175</v>
      </c>
      <c r="L1081" s="122">
        <f>('ESTADO RESULTADOS'!$C$36+'ESTADO RESULTADOS'!$C$71)/1375</f>
        <v>24762.287272727273</v>
      </c>
      <c r="M1081" s="122">
        <v>0</v>
      </c>
      <c r="N1081" s="122">
        <f t="shared" si="210"/>
        <v>572565.39830794849</v>
      </c>
      <c r="O1081" s="122">
        <f t="shared" si="211"/>
        <v>27265.018967045165</v>
      </c>
      <c r="P1081" s="336">
        <f t="shared" si="205"/>
        <v>3184.6016920515103</v>
      </c>
      <c r="Q1081" s="336">
        <f t="shared" si="206"/>
        <v>5056.868967045164</v>
      </c>
      <c r="R1081" s="303">
        <f t="shared" si="207"/>
        <v>0.22770329662962308</v>
      </c>
    </row>
    <row r="1082" spans="1:18" x14ac:dyDescent="0.3">
      <c r="A1082" s="2">
        <v>3369</v>
      </c>
      <c r="B1082" s="41" t="s">
        <v>1840</v>
      </c>
      <c r="C1082" s="2">
        <v>8</v>
      </c>
      <c r="D1082" s="2" t="s">
        <v>419</v>
      </c>
      <c r="E1082" s="294">
        <v>84196.6</v>
      </c>
      <c r="F1082" s="296">
        <v>96366.666666666672</v>
      </c>
      <c r="G1082" s="352">
        <v>24</v>
      </c>
      <c r="H1082" s="296">
        <f t="shared" si="200"/>
        <v>2020718.4000000001</v>
      </c>
      <c r="I1082" s="122">
        <f t="shared" si="201"/>
        <v>2312800</v>
      </c>
      <c r="J1082" s="331">
        <f t="shared" si="202"/>
        <v>292081.59999999986</v>
      </c>
      <c r="K1082" s="292">
        <f>'09-RESUMEN'!$F$43/1375</f>
        <v>81431.961035221175</v>
      </c>
      <c r="L1082" s="122">
        <f>('ESTADO RESULTADOS'!$C$36+'ESTADO RESULTADOS'!$C$71)/1375</f>
        <v>24762.287272727273</v>
      </c>
      <c r="M1082" s="122">
        <v>0</v>
      </c>
      <c r="N1082" s="122">
        <f t="shared" si="210"/>
        <v>2126912.6483079484</v>
      </c>
      <c r="O1082" s="122">
        <f t="shared" si="211"/>
        <v>88621.360346164511</v>
      </c>
      <c r="P1082" s="336">
        <f t="shared" si="205"/>
        <v>185887.35169205163</v>
      </c>
      <c r="Q1082" s="336">
        <f t="shared" si="206"/>
        <v>4424.7603461645049</v>
      </c>
      <c r="R1082" s="303">
        <f t="shared" si="207"/>
        <v>5.2552720016776265E-2</v>
      </c>
    </row>
    <row r="1083" spans="1:18" x14ac:dyDescent="0.3">
      <c r="A1083" s="2">
        <v>3370</v>
      </c>
      <c r="B1083" s="41" t="s">
        <v>893</v>
      </c>
      <c r="C1083" s="2">
        <v>12</v>
      </c>
      <c r="D1083" s="2" t="s">
        <v>12</v>
      </c>
      <c r="E1083" s="294">
        <v>795375</v>
      </c>
      <c r="F1083" s="296">
        <v>875000</v>
      </c>
      <c r="G1083" s="352">
        <v>1</v>
      </c>
      <c r="H1083" s="296">
        <f t="shared" si="200"/>
        <v>795375</v>
      </c>
      <c r="I1083" s="122">
        <f t="shared" si="201"/>
        <v>875000</v>
      </c>
      <c r="J1083" s="331">
        <f t="shared" si="202"/>
        <v>79625</v>
      </c>
      <c r="K1083" s="292">
        <f>'09-RESUMEN'!$F$43/1375</f>
        <v>81431.961035221175</v>
      </c>
      <c r="L1083" s="122">
        <f>('ESTADO RESULTADOS'!$C$36+'ESTADO RESULTADOS'!$C$71)/1375</f>
        <v>24762.287272727273</v>
      </c>
      <c r="M1083" s="122">
        <v>0</v>
      </c>
      <c r="N1083" s="122">
        <f t="shared" si="210"/>
        <v>901569.24830794835</v>
      </c>
      <c r="O1083" s="122">
        <f t="shared" si="211"/>
        <v>901569.24830794835</v>
      </c>
      <c r="P1083" s="336">
        <f t="shared" si="205"/>
        <v>-26569.24830794835</v>
      </c>
      <c r="Q1083" s="336">
        <f t="shared" si="206"/>
        <v>106194.24830794835</v>
      </c>
      <c r="R1083" s="303">
        <f t="shared" si="207"/>
        <v>0.13351469219921214</v>
      </c>
    </row>
    <row r="1084" spans="1:18" x14ac:dyDescent="0.3">
      <c r="A1084" s="2">
        <v>3371</v>
      </c>
      <c r="B1084" s="41" t="s">
        <v>1841</v>
      </c>
      <c r="C1084" s="2">
        <v>12</v>
      </c>
      <c r="D1084" s="2" t="s">
        <v>12</v>
      </c>
      <c r="E1084" s="294">
        <v>1419500</v>
      </c>
      <c r="F1084" s="296">
        <v>1580000</v>
      </c>
      <c r="G1084" s="352">
        <v>0</v>
      </c>
      <c r="H1084" s="296">
        <f t="shared" si="200"/>
        <v>0</v>
      </c>
      <c r="I1084" s="122">
        <f t="shared" si="201"/>
        <v>0</v>
      </c>
      <c r="J1084" s="331">
        <f t="shared" si="202"/>
        <v>0</v>
      </c>
      <c r="K1084" s="292">
        <f>'09-RESUMEN'!$F$43/1375</f>
        <v>81431.961035221175</v>
      </c>
      <c r="L1084" s="122">
        <f>('ESTADO RESULTADOS'!$C$36+'ESTADO RESULTADOS'!$C$71)/1375</f>
        <v>24762.287272727273</v>
      </c>
      <c r="M1084" s="122">
        <v>0</v>
      </c>
      <c r="N1084" s="122">
        <f>SUM(E1084+K1084+L1084+M1084)</f>
        <v>1525694.2483079485</v>
      </c>
      <c r="O1084" s="122">
        <f>N1084</f>
        <v>1525694.2483079485</v>
      </c>
      <c r="P1084" s="336">
        <f t="shared" si="205"/>
        <v>-1525694.2483079485</v>
      </c>
      <c r="Q1084" s="336">
        <f t="shared" si="206"/>
        <v>106194.24830794847</v>
      </c>
      <c r="R1084" s="303">
        <f t="shared" si="207"/>
        <v>7.4811023816800604E-2</v>
      </c>
    </row>
    <row r="1085" spans="1:18" x14ac:dyDescent="0.3">
      <c r="A1085" s="2">
        <v>3372</v>
      </c>
      <c r="B1085" s="41" t="s">
        <v>1842</v>
      </c>
      <c r="C1085" s="2">
        <v>12</v>
      </c>
      <c r="D1085" s="2" t="s">
        <v>12</v>
      </c>
      <c r="E1085" s="294">
        <v>1323402</v>
      </c>
      <c r="F1085" s="296">
        <v>1525000</v>
      </c>
      <c r="G1085" s="352">
        <v>0</v>
      </c>
      <c r="H1085" s="296">
        <f t="shared" si="200"/>
        <v>0</v>
      </c>
      <c r="I1085" s="122">
        <f t="shared" si="201"/>
        <v>0</v>
      </c>
      <c r="J1085" s="331">
        <f t="shared" si="202"/>
        <v>0</v>
      </c>
      <c r="K1085" s="292">
        <f>'09-RESUMEN'!$F$43/1375</f>
        <v>81431.961035221175</v>
      </c>
      <c r="L1085" s="122">
        <f>('ESTADO RESULTADOS'!$C$36+'ESTADO RESULTADOS'!$C$71)/1375</f>
        <v>24762.287272727273</v>
      </c>
      <c r="M1085" s="122">
        <v>0</v>
      </c>
      <c r="N1085" s="122">
        <f>SUM(E1085+K1085+L1085+M1085)</f>
        <v>1429596.2483079485</v>
      </c>
      <c r="O1085" s="122">
        <f>N1085</f>
        <v>1429596.2483079485</v>
      </c>
      <c r="P1085" s="336">
        <f t="shared" si="205"/>
        <v>-1429596.2483079485</v>
      </c>
      <c r="Q1085" s="336">
        <f t="shared" si="206"/>
        <v>106194.24830794847</v>
      </c>
      <c r="R1085" s="303">
        <f t="shared" si="207"/>
        <v>8.0243379039738841E-2</v>
      </c>
    </row>
    <row r="1086" spans="1:18" x14ac:dyDescent="0.3">
      <c r="A1086" s="2">
        <v>3373</v>
      </c>
      <c r="B1086" s="41" t="s">
        <v>1843</v>
      </c>
      <c r="C1086" s="2">
        <v>12</v>
      </c>
      <c r="D1086" s="2" t="s">
        <v>12</v>
      </c>
      <c r="E1086" s="294">
        <v>1232437.5</v>
      </c>
      <c r="F1086" s="296">
        <v>1480000</v>
      </c>
      <c r="G1086" s="352">
        <v>1</v>
      </c>
      <c r="H1086" s="296">
        <f t="shared" si="200"/>
        <v>1232437.5</v>
      </c>
      <c r="I1086" s="122">
        <f t="shared" si="201"/>
        <v>1480000</v>
      </c>
      <c r="J1086" s="331">
        <f t="shared" si="202"/>
        <v>247562.5</v>
      </c>
      <c r="K1086" s="292">
        <f>'09-RESUMEN'!$F$43/1375</f>
        <v>81431.961035221175</v>
      </c>
      <c r="L1086" s="122">
        <f>('ESTADO RESULTADOS'!$C$36+'ESTADO RESULTADOS'!$C$71)/1375</f>
        <v>24762.287272727273</v>
      </c>
      <c r="M1086" s="122">
        <v>0</v>
      </c>
      <c r="N1086" s="122">
        <f t="shared" ref="N1086:N1091" si="212">SUM(H1086+K1086+L1086+M1086)</f>
        <v>1338631.7483079485</v>
      </c>
      <c r="O1086" s="122">
        <f t="shared" ref="O1086:O1091" si="213">N1086/G1086</f>
        <v>1338631.7483079485</v>
      </c>
      <c r="P1086" s="336">
        <f t="shared" si="205"/>
        <v>141368.25169205153</v>
      </c>
      <c r="Q1086" s="336">
        <f t="shared" si="206"/>
        <v>106194.24830794847</v>
      </c>
      <c r="R1086" s="303">
        <f t="shared" si="207"/>
        <v>8.6166031387351058E-2</v>
      </c>
    </row>
    <row r="1087" spans="1:18" x14ac:dyDescent="0.3">
      <c r="A1087" s="2">
        <v>3374</v>
      </c>
      <c r="B1087" s="41" t="s">
        <v>894</v>
      </c>
      <c r="C1087" s="2">
        <v>8</v>
      </c>
      <c r="D1087" s="2" t="s">
        <v>16</v>
      </c>
      <c r="E1087" s="294">
        <v>25740</v>
      </c>
      <c r="F1087" s="296">
        <v>31000</v>
      </c>
      <c r="G1087" s="352">
        <v>33</v>
      </c>
      <c r="H1087" s="296">
        <f t="shared" si="200"/>
        <v>849420</v>
      </c>
      <c r="I1087" s="122">
        <f t="shared" si="201"/>
        <v>1023000</v>
      </c>
      <c r="J1087" s="331">
        <f t="shared" si="202"/>
        <v>173580</v>
      </c>
      <c r="K1087" s="292">
        <f>'09-RESUMEN'!$F$43/1375</f>
        <v>81431.961035221175</v>
      </c>
      <c r="L1087" s="122">
        <f>('ESTADO RESULTADOS'!$C$36+'ESTADO RESULTADOS'!$C$71)/1375</f>
        <v>24762.287272727273</v>
      </c>
      <c r="M1087" s="122">
        <v>0</v>
      </c>
      <c r="N1087" s="122">
        <f t="shared" si="212"/>
        <v>955614.24830794835</v>
      </c>
      <c r="O1087" s="122">
        <f t="shared" si="213"/>
        <v>28958.007524483284</v>
      </c>
      <c r="P1087" s="336">
        <f t="shared" si="205"/>
        <v>67385.75169205165</v>
      </c>
      <c r="Q1087" s="336">
        <f t="shared" si="206"/>
        <v>3218.0075244832842</v>
      </c>
      <c r="R1087" s="303">
        <f t="shared" si="207"/>
        <v>0.12501971734589293</v>
      </c>
    </row>
    <row r="1088" spans="1:18" x14ac:dyDescent="0.3">
      <c r="A1088" s="2">
        <v>3375</v>
      </c>
      <c r="B1088" s="41" t="s">
        <v>1844</v>
      </c>
      <c r="C1088" s="2">
        <v>8</v>
      </c>
      <c r="D1088" s="2" t="s">
        <v>1845</v>
      </c>
      <c r="E1088" s="294">
        <v>363023.5</v>
      </c>
      <c r="F1088" s="296">
        <v>421666.66666666669</v>
      </c>
      <c r="G1088" s="352">
        <v>12</v>
      </c>
      <c r="H1088" s="296">
        <f t="shared" si="200"/>
        <v>4356282</v>
      </c>
      <c r="I1088" s="122">
        <f t="shared" si="201"/>
        <v>5060000</v>
      </c>
      <c r="J1088" s="331">
        <f t="shared" si="202"/>
        <v>703718</v>
      </c>
      <c r="K1088" s="292">
        <f>'09-RESUMEN'!$F$43/1375</f>
        <v>81431.961035221175</v>
      </c>
      <c r="L1088" s="122">
        <f>('ESTADO RESULTADOS'!$C$36+'ESTADO RESULTADOS'!$C$71)/1375</f>
        <v>24762.287272727273</v>
      </c>
      <c r="M1088" s="122">
        <v>0</v>
      </c>
      <c r="N1088" s="122">
        <f t="shared" si="212"/>
        <v>4462476.248307948</v>
      </c>
      <c r="O1088" s="122">
        <f t="shared" si="213"/>
        <v>371873.02069232898</v>
      </c>
      <c r="P1088" s="336">
        <f t="shared" si="205"/>
        <v>597523.751692052</v>
      </c>
      <c r="Q1088" s="336">
        <f t="shared" si="206"/>
        <v>8849.5206923289807</v>
      </c>
      <c r="R1088" s="303">
        <f t="shared" si="207"/>
        <v>2.437726673983635E-2</v>
      </c>
    </row>
    <row r="1089" spans="1:18" x14ac:dyDescent="0.3">
      <c r="A1089" s="2">
        <v>3376</v>
      </c>
      <c r="B1089" s="41" t="s">
        <v>895</v>
      </c>
      <c r="C1089" s="2">
        <v>4</v>
      </c>
      <c r="D1089" s="2" t="s">
        <v>16</v>
      </c>
      <c r="E1089" s="294">
        <v>110000</v>
      </c>
      <c r="F1089" s="296">
        <v>133400</v>
      </c>
      <c r="G1089" s="352">
        <v>12</v>
      </c>
      <c r="H1089" s="296">
        <f t="shared" si="200"/>
        <v>1320000</v>
      </c>
      <c r="I1089" s="122">
        <f t="shared" si="201"/>
        <v>1600800</v>
      </c>
      <c r="J1089" s="331">
        <f t="shared" si="202"/>
        <v>280800</v>
      </c>
      <c r="K1089" s="292">
        <f>'09-RESUMEN'!$F$43/1375</f>
        <v>81431.961035221175</v>
      </c>
      <c r="L1089" s="122">
        <f>('ESTADO RESULTADOS'!$C$36+'ESTADO RESULTADOS'!$C$71)/1375</f>
        <v>24762.287272727273</v>
      </c>
      <c r="M1089" s="122">
        <v>0</v>
      </c>
      <c r="N1089" s="122">
        <f t="shared" si="212"/>
        <v>1426194.2483079485</v>
      </c>
      <c r="O1089" s="122">
        <f t="shared" si="213"/>
        <v>118849.52069232904</v>
      </c>
      <c r="P1089" s="336">
        <f t="shared" si="205"/>
        <v>174605.75169205153</v>
      </c>
      <c r="Q1089" s="336">
        <f t="shared" si="206"/>
        <v>8849.5206923290389</v>
      </c>
      <c r="R1089" s="303">
        <f t="shared" si="207"/>
        <v>8.0450188112082169E-2</v>
      </c>
    </row>
    <row r="1090" spans="1:18" x14ac:dyDescent="0.3">
      <c r="A1090" s="2">
        <v>3378</v>
      </c>
      <c r="B1090" s="41" t="s">
        <v>896</v>
      </c>
      <c r="C1090" s="2">
        <v>14</v>
      </c>
      <c r="D1090" s="2" t="s">
        <v>12</v>
      </c>
      <c r="E1090" s="294">
        <v>21851</v>
      </c>
      <c r="F1090" s="296">
        <v>28600</v>
      </c>
      <c r="G1090" s="352">
        <v>2</v>
      </c>
      <c r="H1090" s="296">
        <f t="shared" si="200"/>
        <v>43702</v>
      </c>
      <c r="I1090" s="122">
        <f t="shared" si="201"/>
        <v>57200</v>
      </c>
      <c r="J1090" s="331">
        <f t="shared" si="202"/>
        <v>13498</v>
      </c>
      <c r="K1090" s="292">
        <f>'09-RESUMEN'!$F$43/1375</f>
        <v>81431.961035221175</v>
      </c>
      <c r="L1090" s="122">
        <f>('ESTADO RESULTADOS'!$C$36+'ESTADO RESULTADOS'!$C$71)/1375</f>
        <v>24762.287272727273</v>
      </c>
      <c r="M1090" s="122">
        <v>0</v>
      </c>
      <c r="N1090" s="122">
        <f t="shared" si="212"/>
        <v>149896.24830794844</v>
      </c>
      <c r="O1090" s="122">
        <f t="shared" si="213"/>
        <v>74948.124153974219</v>
      </c>
      <c r="P1090" s="336">
        <f t="shared" si="205"/>
        <v>-92696.248307948437</v>
      </c>
      <c r="Q1090" s="336">
        <f t="shared" si="206"/>
        <v>53097.124153974219</v>
      </c>
      <c r="R1090" s="303">
        <f t="shared" si="207"/>
        <v>2.4299631208628538</v>
      </c>
    </row>
    <row r="1091" spans="1:18" x14ac:dyDescent="0.3">
      <c r="A1091" s="2">
        <v>3379</v>
      </c>
      <c r="B1091" s="41" t="s">
        <v>897</v>
      </c>
      <c r="C1091" s="2">
        <v>14</v>
      </c>
      <c r="D1091" s="2" t="s">
        <v>81</v>
      </c>
      <c r="E1091" s="294">
        <v>7930</v>
      </c>
      <c r="F1091" s="296">
        <v>10500</v>
      </c>
      <c r="G1091" s="352">
        <v>2</v>
      </c>
      <c r="H1091" s="296">
        <f t="shared" si="200"/>
        <v>15860</v>
      </c>
      <c r="I1091" s="122">
        <f t="shared" si="201"/>
        <v>21000</v>
      </c>
      <c r="J1091" s="331">
        <f t="shared" si="202"/>
        <v>5140</v>
      </c>
      <c r="K1091" s="292">
        <f>'09-RESUMEN'!$F$43/1375</f>
        <v>81431.961035221175</v>
      </c>
      <c r="L1091" s="122">
        <f>('ESTADO RESULTADOS'!$C$36+'ESTADO RESULTADOS'!$C$71)/1375</f>
        <v>24762.287272727273</v>
      </c>
      <c r="M1091" s="122">
        <v>0</v>
      </c>
      <c r="N1091" s="122">
        <f t="shared" si="212"/>
        <v>122054.24830794845</v>
      </c>
      <c r="O1091" s="122">
        <f t="shared" si="213"/>
        <v>61027.124153974226</v>
      </c>
      <c r="P1091" s="336">
        <f t="shared" si="205"/>
        <v>-101054.24830794845</v>
      </c>
      <c r="Q1091" s="336">
        <f t="shared" si="206"/>
        <v>53097.124153974226</v>
      </c>
      <c r="R1091" s="303">
        <f t="shared" si="207"/>
        <v>6.6957281404759428</v>
      </c>
    </row>
    <row r="1092" spans="1:18" x14ac:dyDescent="0.3">
      <c r="A1092" s="2">
        <v>3380</v>
      </c>
      <c r="B1092" s="41" t="s">
        <v>898</v>
      </c>
      <c r="C1092" s="2">
        <v>14</v>
      </c>
      <c r="D1092" s="2" t="s">
        <v>81</v>
      </c>
      <c r="E1092" s="294">
        <v>37811</v>
      </c>
      <c r="F1092" s="296">
        <v>45000</v>
      </c>
      <c r="G1092" s="352">
        <v>0</v>
      </c>
      <c r="H1092" s="296">
        <f t="shared" ref="H1092:H1155" si="214">E1092*G1092</f>
        <v>0</v>
      </c>
      <c r="I1092" s="122">
        <f t="shared" ref="I1092:I1155" si="215">F1092*G1092</f>
        <v>0</v>
      </c>
      <c r="J1092" s="331">
        <f t="shared" ref="J1092:J1155" si="216">I1092-H1092</f>
        <v>0</v>
      </c>
      <c r="K1092" s="292">
        <f>'09-RESUMEN'!$F$43/1375</f>
        <v>81431.961035221175</v>
      </c>
      <c r="L1092" s="122">
        <f>('ESTADO RESULTADOS'!$C$36+'ESTADO RESULTADOS'!$C$71)/1375</f>
        <v>24762.287272727273</v>
      </c>
      <c r="M1092" s="122">
        <v>0</v>
      </c>
      <c r="N1092" s="122">
        <f>SUM(E1092+K1092+L1092+M1092)</f>
        <v>144005.24830794844</v>
      </c>
      <c r="O1092" s="122">
        <f>N1092</f>
        <v>144005.24830794844</v>
      </c>
      <c r="P1092" s="336">
        <f t="shared" si="205"/>
        <v>-144005.24830794844</v>
      </c>
      <c r="Q1092" s="336">
        <f t="shared" si="206"/>
        <v>106194.24830794844</v>
      </c>
      <c r="R1092" s="303">
        <f t="shared" si="207"/>
        <v>2.8085543441841909</v>
      </c>
    </row>
    <row r="1093" spans="1:18" x14ac:dyDescent="0.3">
      <c r="A1093" s="2">
        <v>3381</v>
      </c>
      <c r="B1093" s="41" t="s">
        <v>899</v>
      </c>
      <c r="C1093" s="2">
        <v>14</v>
      </c>
      <c r="D1093" s="2" t="s">
        <v>81</v>
      </c>
      <c r="E1093" s="294">
        <v>10987.2857</v>
      </c>
      <c r="F1093" s="296">
        <v>14500</v>
      </c>
      <c r="G1093" s="352">
        <v>1</v>
      </c>
      <c r="H1093" s="296">
        <f t="shared" si="214"/>
        <v>10987.2857</v>
      </c>
      <c r="I1093" s="122">
        <f t="shared" si="215"/>
        <v>14500</v>
      </c>
      <c r="J1093" s="331">
        <f t="shared" si="216"/>
        <v>3512.7142999999996</v>
      </c>
      <c r="K1093" s="292">
        <f>'09-RESUMEN'!$F$43/1375</f>
        <v>81431.961035221175</v>
      </c>
      <c r="L1093" s="122">
        <f>('ESTADO RESULTADOS'!$C$36+'ESTADO RESULTADOS'!$C$71)/1375</f>
        <v>24762.287272727273</v>
      </c>
      <c r="M1093" s="122">
        <v>0</v>
      </c>
      <c r="N1093" s="122">
        <f>SUM(H1093+K1093+L1093+M1093)</f>
        <v>117181.53400794846</v>
      </c>
      <c r="O1093" s="122">
        <f>N1093/G1093</f>
        <v>117181.53400794846</v>
      </c>
      <c r="P1093" s="336">
        <f t="shared" ref="P1093:P1156" si="217">I1093-N1093</f>
        <v>-102681.53400794846</v>
      </c>
      <c r="Q1093" s="336">
        <f t="shared" ref="Q1093:Q1156" si="218">O1093-E1093</f>
        <v>106194.24830794847</v>
      </c>
      <c r="R1093" s="303">
        <f t="shared" ref="R1093:R1156" si="219">Q1093/E1093</f>
        <v>9.6651940440529795</v>
      </c>
    </row>
    <row r="1094" spans="1:18" x14ac:dyDescent="0.3">
      <c r="A1094" s="2">
        <v>3382</v>
      </c>
      <c r="B1094" s="41" t="s">
        <v>900</v>
      </c>
      <c r="C1094" s="2">
        <v>12</v>
      </c>
      <c r="D1094" s="2" t="s">
        <v>12</v>
      </c>
      <c r="E1094" s="294">
        <v>2050</v>
      </c>
      <c r="F1094" s="296">
        <v>2500</v>
      </c>
      <c r="G1094" s="352">
        <v>0</v>
      </c>
      <c r="H1094" s="296">
        <f t="shared" si="214"/>
        <v>0</v>
      </c>
      <c r="I1094" s="122">
        <f t="shared" si="215"/>
        <v>0</v>
      </c>
      <c r="J1094" s="331">
        <f t="shared" si="216"/>
        <v>0</v>
      </c>
      <c r="K1094" s="292">
        <f>'09-RESUMEN'!$F$43/1375</f>
        <v>81431.961035221175</v>
      </c>
      <c r="L1094" s="122">
        <f>('ESTADO RESULTADOS'!$C$36+'ESTADO RESULTADOS'!$C$71)/1375</f>
        <v>24762.287272727273</v>
      </c>
      <c r="M1094" s="122">
        <v>0</v>
      </c>
      <c r="N1094" s="122">
        <f>SUM(E1094+K1094+L1094+M1094)</f>
        <v>108244.24830794845</v>
      </c>
      <c r="O1094" s="122">
        <f>N1094</f>
        <v>108244.24830794845</v>
      </c>
      <c r="P1094" s="336">
        <f t="shared" si="217"/>
        <v>-108244.24830794845</v>
      </c>
      <c r="Q1094" s="336">
        <f t="shared" si="218"/>
        <v>106194.24830794845</v>
      </c>
      <c r="R1094" s="303">
        <f t="shared" si="219"/>
        <v>51.802072345340711</v>
      </c>
    </row>
    <row r="1095" spans="1:18" x14ac:dyDescent="0.3">
      <c r="A1095" s="2">
        <v>3383</v>
      </c>
      <c r="B1095" s="41" t="s">
        <v>901</v>
      </c>
      <c r="C1095" s="2">
        <v>12</v>
      </c>
      <c r="D1095" s="2" t="s">
        <v>12</v>
      </c>
      <c r="E1095" s="294">
        <v>1231.6500000000001</v>
      </c>
      <c r="F1095" s="296">
        <v>1800</v>
      </c>
      <c r="G1095" s="352">
        <v>3</v>
      </c>
      <c r="H1095" s="296">
        <f t="shared" si="214"/>
        <v>3694.9500000000003</v>
      </c>
      <c r="I1095" s="122">
        <f t="shared" si="215"/>
        <v>5400</v>
      </c>
      <c r="J1095" s="331">
        <f t="shared" si="216"/>
        <v>1705.0499999999997</v>
      </c>
      <c r="K1095" s="292">
        <f>'09-RESUMEN'!$F$43/1375</f>
        <v>81431.961035221175</v>
      </c>
      <c r="L1095" s="122">
        <f>('ESTADO RESULTADOS'!$C$36+'ESTADO RESULTADOS'!$C$71)/1375</f>
        <v>24762.287272727273</v>
      </c>
      <c r="M1095" s="122">
        <v>0</v>
      </c>
      <c r="N1095" s="122">
        <f>SUM(H1095+K1095+L1095+M1095)</f>
        <v>109889.19830794845</v>
      </c>
      <c r="O1095" s="122">
        <f>N1095/G1095</f>
        <v>36629.73276931615</v>
      </c>
      <c r="P1095" s="336">
        <f t="shared" si="217"/>
        <v>-104489.19830794845</v>
      </c>
      <c r="Q1095" s="336">
        <f t="shared" si="218"/>
        <v>35398.082769316148</v>
      </c>
      <c r="R1095" s="303">
        <f t="shared" si="219"/>
        <v>28.740374919267769</v>
      </c>
    </row>
    <row r="1096" spans="1:18" x14ac:dyDescent="0.3">
      <c r="A1096" s="2">
        <v>3384</v>
      </c>
      <c r="B1096" s="41" t="s">
        <v>902</v>
      </c>
      <c r="C1096" s="2">
        <v>12</v>
      </c>
      <c r="D1096" s="2" t="s">
        <v>12</v>
      </c>
      <c r="E1096" s="294">
        <v>4289.95</v>
      </c>
      <c r="F1096" s="296">
        <v>5800</v>
      </c>
      <c r="G1096" s="352">
        <v>0</v>
      </c>
      <c r="H1096" s="296">
        <f t="shared" si="214"/>
        <v>0</v>
      </c>
      <c r="I1096" s="122">
        <f t="shared" si="215"/>
        <v>0</v>
      </c>
      <c r="J1096" s="331">
        <f t="shared" si="216"/>
        <v>0</v>
      </c>
      <c r="K1096" s="292">
        <f>'09-RESUMEN'!$F$43/1375</f>
        <v>81431.961035221175</v>
      </c>
      <c r="L1096" s="122">
        <f>('ESTADO RESULTADOS'!$C$36+'ESTADO RESULTADOS'!$C$71)/1375</f>
        <v>24762.287272727273</v>
      </c>
      <c r="M1096" s="122">
        <v>0</v>
      </c>
      <c r="N1096" s="122">
        <f>SUM(E1096+K1096+L1096+M1096)</f>
        <v>110484.19830794845</v>
      </c>
      <c r="O1096" s="122">
        <f>N1096</f>
        <v>110484.19830794845</v>
      </c>
      <c r="P1096" s="336">
        <f t="shared" si="217"/>
        <v>-110484.19830794845</v>
      </c>
      <c r="Q1096" s="336">
        <f t="shared" si="218"/>
        <v>106194.24830794845</v>
      </c>
      <c r="R1096" s="303">
        <f t="shared" si="219"/>
        <v>24.754192544889442</v>
      </c>
    </row>
    <row r="1097" spans="1:18" x14ac:dyDescent="0.3">
      <c r="A1097" s="2">
        <v>3385</v>
      </c>
      <c r="B1097" s="41" t="s">
        <v>903</v>
      </c>
      <c r="C1097" s="2">
        <v>12</v>
      </c>
      <c r="D1097" s="2" t="s">
        <v>12</v>
      </c>
      <c r="E1097" s="294">
        <v>3117.8</v>
      </c>
      <c r="F1097" s="296">
        <v>4000</v>
      </c>
      <c r="G1097" s="352">
        <v>2</v>
      </c>
      <c r="H1097" s="296">
        <f t="shared" si="214"/>
        <v>6235.6</v>
      </c>
      <c r="I1097" s="122">
        <f t="shared" si="215"/>
        <v>8000</v>
      </c>
      <c r="J1097" s="331">
        <f t="shared" si="216"/>
        <v>1764.3999999999996</v>
      </c>
      <c r="K1097" s="292">
        <f>'09-RESUMEN'!$F$43/1375</f>
        <v>81431.961035221175</v>
      </c>
      <c r="L1097" s="122">
        <f>('ESTADO RESULTADOS'!$C$36+'ESTADO RESULTADOS'!$C$71)/1375</f>
        <v>24762.287272727273</v>
      </c>
      <c r="M1097" s="122">
        <v>0</v>
      </c>
      <c r="N1097" s="122">
        <f>SUM(H1097+K1097+L1097+M1097)</f>
        <v>112429.84830794846</v>
      </c>
      <c r="O1097" s="122">
        <f>N1097/G1097</f>
        <v>56214.924153974229</v>
      </c>
      <c r="P1097" s="336">
        <f t="shared" si="217"/>
        <v>-104429.84830794846</v>
      </c>
      <c r="Q1097" s="336">
        <f t="shared" si="218"/>
        <v>53097.124153974226</v>
      </c>
      <c r="R1097" s="303">
        <f t="shared" si="219"/>
        <v>17.030317580978327</v>
      </c>
    </row>
    <row r="1098" spans="1:18" x14ac:dyDescent="0.3">
      <c r="A1098" s="2">
        <v>3386</v>
      </c>
      <c r="B1098" s="41" t="s">
        <v>904</v>
      </c>
      <c r="C1098" s="2">
        <v>12</v>
      </c>
      <c r="D1098" s="2" t="s">
        <v>12</v>
      </c>
      <c r="E1098" s="294">
        <v>3628.31</v>
      </c>
      <c r="F1098" s="296">
        <v>5200</v>
      </c>
      <c r="G1098" s="352">
        <v>1</v>
      </c>
      <c r="H1098" s="296">
        <f t="shared" si="214"/>
        <v>3628.31</v>
      </c>
      <c r="I1098" s="122">
        <f t="shared" si="215"/>
        <v>5200</v>
      </c>
      <c r="J1098" s="331">
        <f t="shared" si="216"/>
        <v>1571.69</v>
      </c>
      <c r="K1098" s="292">
        <f>'09-RESUMEN'!$F$43/1375</f>
        <v>81431.961035221175</v>
      </c>
      <c r="L1098" s="122">
        <f>('ESTADO RESULTADOS'!$C$36+'ESTADO RESULTADOS'!$C$71)/1375</f>
        <v>24762.287272727273</v>
      </c>
      <c r="M1098" s="122">
        <v>0</v>
      </c>
      <c r="N1098" s="122">
        <f>SUM(H1098+K1098+L1098+M1098)</f>
        <v>109822.55830794845</v>
      </c>
      <c r="O1098" s="122">
        <f>N1098/G1098</f>
        <v>109822.55830794845</v>
      </c>
      <c r="P1098" s="336">
        <f t="shared" si="217"/>
        <v>-104622.55830794845</v>
      </c>
      <c r="Q1098" s="336">
        <f t="shared" si="218"/>
        <v>106194.24830794845</v>
      </c>
      <c r="R1098" s="303">
        <f t="shared" si="219"/>
        <v>29.268240119490468</v>
      </c>
    </row>
    <row r="1099" spans="1:18" x14ac:dyDescent="0.3">
      <c r="A1099" s="2">
        <v>3387</v>
      </c>
      <c r="B1099" s="41" t="s">
        <v>905</v>
      </c>
      <c r="C1099" s="2">
        <v>12</v>
      </c>
      <c r="D1099" s="2" t="s">
        <v>12</v>
      </c>
      <c r="E1099" s="294">
        <v>6534.29</v>
      </c>
      <c r="F1099" s="296">
        <v>8200</v>
      </c>
      <c r="G1099" s="352">
        <v>0</v>
      </c>
      <c r="H1099" s="296">
        <f t="shared" si="214"/>
        <v>0</v>
      </c>
      <c r="I1099" s="122">
        <f t="shared" si="215"/>
        <v>0</v>
      </c>
      <c r="J1099" s="331">
        <f t="shared" si="216"/>
        <v>0</v>
      </c>
      <c r="K1099" s="292">
        <f>'09-RESUMEN'!$F$43/1375</f>
        <v>81431.961035221175</v>
      </c>
      <c r="L1099" s="122">
        <f>('ESTADO RESULTADOS'!$C$36+'ESTADO RESULTADOS'!$C$71)/1375</f>
        <v>24762.287272727273</v>
      </c>
      <c r="M1099" s="122">
        <v>0</v>
      </c>
      <c r="N1099" s="122">
        <f>SUM(E1099+K1099+L1099+M1099)</f>
        <v>112728.53830794845</v>
      </c>
      <c r="O1099" s="122">
        <f>N1099</f>
        <v>112728.53830794845</v>
      </c>
      <c r="P1099" s="336">
        <f t="shared" si="217"/>
        <v>-112728.53830794845</v>
      </c>
      <c r="Q1099" s="336">
        <f t="shared" si="218"/>
        <v>106194.24830794845</v>
      </c>
      <c r="R1099" s="303">
        <f t="shared" si="219"/>
        <v>16.251841945788822</v>
      </c>
    </row>
    <row r="1100" spans="1:18" x14ac:dyDescent="0.3">
      <c r="A1100" s="2">
        <v>3388</v>
      </c>
      <c r="B1100" s="41" t="s">
        <v>906</v>
      </c>
      <c r="C1100" s="2">
        <v>12</v>
      </c>
      <c r="D1100" s="2" t="s">
        <v>12</v>
      </c>
      <c r="E1100" s="294">
        <v>2097.9699999999998</v>
      </c>
      <c r="F1100" s="296">
        <v>2600</v>
      </c>
      <c r="G1100" s="352">
        <v>3</v>
      </c>
      <c r="H1100" s="296">
        <f t="shared" si="214"/>
        <v>6293.91</v>
      </c>
      <c r="I1100" s="122">
        <f t="shared" si="215"/>
        <v>7800</v>
      </c>
      <c r="J1100" s="331">
        <f t="shared" si="216"/>
        <v>1506.0900000000001</v>
      </c>
      <c r="K1100" s="292">
        <f>'09-RESUMEN'!$F$43/1375</f>
        <v>81431.961035221175</v>
      </c>
      <c r="L1100" s="122">
        <f>('ESTADO RESULTADOS'!$C$36+'ESTADO RESULTADOS'!$C$71)/1375</f>
        <v>24762.287272727273</v>
      </c>
      <c r="M1100" s="122">
        <v>0</v>
      </c>
      <c r="N1100" s="122">
        <f t="shared" ref="N1100:N1106" si="220">SUM(H1100+K1100+L1100+M1100)</f>
        <v>112488.15830794846</v>
      </c>
      <c r="O1100" s="122">
        <f t="shared" ref="O1100:O1106" si="221">N1100/G1100</f>
        <v>37496.052769316149</v>
      </c>
      <c r="P1100" s="336">
        <f t="shared" si="217"/>
        <v>-104688.15830794846</v>
      </c>
      <c r="Q1100" s="336">
        <f t="shared" si="218"/>
        <v>35398.082769316148</v>
      </c>
      <c r="R1100" s="303">
        <f t="shared" si="219"/>
        <v>16.872540012162304</v>
      </c>
    </row>
    <row r="1101" spans="1:18" x14ac:dyDescent="0.3">
      <c r="A1101" s="2">
        <v>3389</v>
      </c>
      <c r="B1101" s="41" t="s">
        <v>907</v>
      </c>
      <c r="C1101" s="2">
        <v>12</v>
      </c>
      <c r="D1101" s="2" t="s">
        <v>12</v>
      </c>
      <c r="E1101" s="294">
        <v>9800</v>
      </c>
      <c r="F1101" s="296">
        <v>12000</v>
      </c>
      <c r="G1101" s="352">
        <v>5</v>
      </c>
      <c r="H1101" s="296">
        <f t="shared" si="214"/>
        <v>49000</v>
      </c>
      <c r="I1101" s="122">
        <f t="shared" si="215"/>
        <v>60000</v>
      </c>
      <c r="J1101" s="331">
        <f t="shared" si="216"/>
        <v>11000</v>
      </c>
      <c r="K1101" s="292">
        <f>'09-RESUMEN'!$F$43/1375</f>
        <v>81431.961035221175</v>
      </c>
      <c r="L1101" s="122">
        <f>('ESTADO RESULTADOS'!$C$36+'ESTADO RESULTADOS'!$C$71)/1375</f>
        <v>24762.287272727273</v>
      </c>
      <c r="M1101" s="122">
        <v>0</v>
      </c>
      <c r="N1101" s="122">
        <f t="shared" si="220"/>
        <v>155194.24830794844</v>
      </c>
      <c r="O1101" s="122">
        <f t="shared" si="221"/>
        <v>31038.849661589687</v>
      </c>
      <c r="P1101" s="336">
        <f t="shared" si="217"/>
        <v>-95194.248307948437</v>
      </c>
      <c r="Q1101" s="336">
        <f t="shared" si="218"/>
        <v>21238.849661589687</v>
      </c>
      <c r="R1101" s="303">
        <f t="shared" si="219"/>
        <v>2.1672295573050699</v>
      </c>
    </row>
    <row r="1102" spans="1:18" x14ac:dyDescent="0.3">
      <c r="A1102" s="2">
        <v>3390</v>
      </c>
      <c r="B1102" s="41" t="s">
        <v>908</v>
      </c>
      <c r="C1102" s="2">
        <v>12</v>
      </c>
      <c r="D1102" s="2" t="s">
        <v>12</v>
      </c>
      <c r="E1102" s="294">
        <v>13779.01</v>
      </c>
      <c r="F1102" s="296">
        <v>16800</v>
      </c>
      <c r="G1102" s="352">
        <v>3</v>
      </c>
      <c r="H1102" s="296">
        <f t="shared" si="214"/>
        <v>41337.03</v>
      </c>
      <c r="I1102" s="122">
        <f t="shared" si="215"/>
        <v>50400</v>
      </c>
      <c r="J1102" s="331">
        <f t="shared" si="216"/>
        <v>9062.9700000000012</v>
      </c>
      <c r="K1102" s="292">
        <f>'09-RESUMEN'!$F$43/1375</f>
        <v>81431.961035221175</v>
      </c>
      <c r="L1102" s="122">
        <f>('ESTADO RESULTADOS'!$C$36+'ESTADO RESULTADOS'!$C$71)/1375</f>
        <v>24762.287272727273</v>
      </c>
      <c r="M1102" s="122">
        <v>0</v>
      </c>
      <c r="N1102" s="122">
        <f t="shared" si="220"/>
        <v>147531.27830794844</v>
      </c>
      <c r="O1102" s="122">
        <f t="shared" si="221"/>
        <v>49177.092769316143</v>
      </c>
      <c r="P1102" s="336">
        <f t="shared" si="217"/>
        <v>-97131.278307948436</v>
      </c>
      <c r="Q1102" s="336">
        <f t="shared" si="218"/>
        <v>35398.082769316141</v>
      </c>
      <c r="R1102" s="303">
        <f t="shared" si="219"/>
        <v>2.5689859263703374</v>
      </c>
    </row>
    <row r="1103" spans="1:18" x14ac:dyDescent="0.3">
      <c r="A1103" s="2">
        <v>3391</v>
      </c>
      <c r="B1103" s="41" t="s">
        <v>909</v>
      </c>
      <c r="C1103" s="2">
        <v>12</v>
      </c>
      <c r="D1103" s="2" t="s">
        <v>12</v>
      </c>
      <c r="E1103" s="294">
        <v>1625.54</v>
      </c>
      <c r="F1103" s="296">
        <v>2200</v>
      </c>
      <c r="G1103" s="352">
        <v>2</v>
      </c>
      <c r="H1103" s="296">
        <f t="shared" si="214"/>
        <v>3251.08</v>
      </c>
      <c r="I1103" s="122">
        <f t="shared" si="215"/>
        <v>4400</v>
      </c>
      <c r="J1103" s="331">
        <f t="shared" si="216"/>
        <v>1148.92</v>
      </c>
      <c r="K1103" s="292">
        <f>'09-RESUMEN'!$F$43/1375</f>
        <v>81431.961035221175</v>
      </c>
      <c r="L1103" s="122">
        <f>('ESTADO RESULTADOS'!$C$36+'ESTADO RESULTADOS'!$C$71)/1375</f>
        <v>24762.287272727273</v>
      </c>
      <c r="M1103" s="122">
        <v>0</v>
      </c>
      <c r="N1103" s="122">
        <f t="shared" si="220"/>
        <v>109445.32830794845</v>
      </c>
      <c r="O1103" s="122">
        <f t="shared" si="221"/>
        <v>54722.664153974227</v>
      </c>
      <c r="P1103" s="336">
        <f t="shared" si="217"/>
        <v>-105045.32830794845</v>
      </c>
      <c r="Q1103" s="336">
        <f t="shared" si="218"/>
        <v>53097.124153974226</v>
      </c>
      <c r="R1103" s="303">
        <f t="shared" si="219"/>
        <v>32.664298727791518</v>
      </c>
    </row>
    <row r="1104" spans="1:18" x14ac:dyDescent="0.3">
      <c r="A1104" s="2">
        <v>3392</v>
      </c>
      <c r="B1104" s="41" t="s">
        <v>910</v>
      </c>
      <c r="C1104" s="2">
        <v>12</v>
      </c>
      <c r="D1104" s="2" t="s">
        <v>12</v>
      </c>
      <c r="E1104" s="294">
        <v>1625.54</v>
      </c>
      <c r="F1104" s="296">
        <v>2500</v>
      </c>
      <c r="G1104" s="352">
        <v>2</v>
      </c>
      <c r="H1104" s="296">
        <f t="shared" si="214"/>
        <v>3251.08</v>
      </c>
      <c r="I1104" s="122">
        <f t="shared" si="215"/>
        <v>5000</v>
      </c>
      <c r="J1104" s="331">
        <f t="shared" si="216"/>
        <v>1748.92</v>
      </c>
      <c r="K1104" s="292">
        <f>'09-RESUMEN'!$F$43/1375</f>
        <v>81431.961035221175</v>
      </c>
      <c r="L1104" s="122">
        <f>('ESTADO RESULTADOS'!$C$36+'ESTADO RESULTADOS'!$C$71)/1375</f>
        <v>24762.287272727273</v>
      </c>
      <c r="M1104" s="122">
        <v>0</v>
      </c>
      <c r="N1104" s="122">
        <f t="shared" si="220"/>
        <v>109445.32830794845</v>
      </c>
      <c r="O1104" s="122">
        <f t="shared" si="221"/>
        <v>54722.664153974227</v>
      </c>
      <c r="P1104" s="336">
        <f t="shared" si="217"/>
        <v>-104445.32830794845</v>
      </c>
      <c r="Q1104" s="336">
        <f t="shared" si="218"/>
        <v>53097.124153974226</v>
      </c>
      <c r="R1104" s="303">
        <f t="shared" si="219"/>
        <v>32.664298727791518</v>
      </c>
    </row>
    <row r="1105" spans="1:18" x14ac:dyDescent="0.3">
      <c r="A1105" s="2">
        <v>3393</v>
      </c>
      <c r="B1105" s="41" t="s">
        <v>911</v>
      </c>
      <c r="C1105" s="2">
        <v>12</v>
      </c>
      <c r="D1105" s="2" t="s">
        <v>12</v>
      </c>
      <c r="E1105" s="294">
        <v>11163.39</v>
      </c>
      <c r="F1105" s="296">
        <v>13400</v>
      </c>
      <c r="G1105" s="352">
        <v>4</v>
      </c>
      <c r="H1105" s="296">
        <f t="shared" si="214"/>
        <v>44653.56</v>
      </c>
      <c r="I1105" s="122">
        <f t="shared" si="215"/>
        <v>53600</v>
      </c>
      <c r="J1105" s="331">
        <f t="shared" si="216"/>
        <v>8946.4400000000023</v>
      </c>
      <c r="K1105" s="292">
        <f>'09-RESUMEN'!$F$43/1375</f>
        <v>81431.961035221175</v>
      </c>
      <c r="L1105" s="122">
        <f>('ESTADO RESULTADOS'!$C$36+'ESTADO RESULTADOS'!$C$71)/1375</f>
        <v>24762.287272727273</v>
      </c>
      <c r="M1105" s="122">
        <v>0</v>
      </c>
      <c r="N1105" s="122">
        <f t="shared" si="220"/>
        <v>150847.80830794843</v>
      </c>
      <c r="O1105" s="122">
        <f t="shared" si="221"/>
        <v>37711.952076987109</v>
      </c>
      <c r="P1105" s="336">
        <f t="shared" si="217"/>
        <v>-97247.808307948435</v>
      </c>
      <c r="Q1105" s="336">
        <f t="shared" si="218"/>
        <v>26548.562076987109</v>
      </c>
      <c r="R1105" s="303">
        <f t="shared" si="219"/>
        <v>2.37818100747059</v>
      </c>
    </row>
    <row r="1106" spans="1:18" x14ac:dyDescent="0.3">
      <c r="A1106" s="2">
        <v>3394</v>
      </c>
      <c r="B1106" s="41" t="s">
        <v>912</v>
      </c>
      <c r="C1106" s="2">
        <v>12</v>
      </c>
      <c r="D1106" s="2" t="s">
        <v>12</v>
      </c>
      <c r="E1106" s="294">
        <v>2381.19</v>
      </c>
      <c r="F1106" s="296">
        <v>3000</v>
      </c>
      <c r="G1106" s="352">
        <v>2</v>
      </c>
      <c r="H1106" s="296">
        <f t="shared" si="214"/>
        <v>4762.38</v>
      </c>
      <c r="I1106" s="122">
        <f t="shared" si="215"/>
        <v>6000</v>
      </c>
      <c r="J1106" s="331">
        <f t="shared" si="216"/>
        <v>1237.6199999999999</v>
      </c>
      <c r="K1106" s="292">
        <f>'09-RESUMEN'!$F$43/1375</f>
        <v>81431.961035221175</v>
      </c>
      <c r="L1106" s="122">
        <f>('ESTADO RESULTADOS'!$C$36+'ESTADO RESULTADOS'!$C$71)/1375</f>
        <v>24762.287272727273</v>
      </c>
      <c r="M1106" s="122">
        <v>0</v>
      </c>
      <c r="N1106" s="122">
        <f t="shared" si="220"/>
        <v>110956.62830794846</v>
      </c>
      <c r="O1106" s="122">
        <f t="shared" si="221"/>
        <v>55478.314153974228</v>
      </c>
      <c r="P1106" s="336">
        <f t="shared" si="217"/>
        <v>-104956.62830794846</v>
      </c>
      <c r="Q1106" s="336">
        <f t="shared" si="218"/>
        <v>53097.124153974226</v>
      </c>
      <c r="R1106" s="303">
        <f t="shared" si="219"/>
        <v>22.298566747707753</v>
      </c>
    </row>
    <row r="1107" spans="1:18" x14ac:dyDescent="0.3">
      <c r="A1107" s="2">
        <v>3395</v>
      </c>
      <c r="B1107" s="41" t="s">
        <v>914</v>
      </c>
      <c r="C1107" s="2">
        <v>12</v>
      </c>
      <c r="D1107" s="2" t="s">
        <v>12</v>
      </c>
      <c r="E1107" s="294">
        <v>821.1</v>
      </c>
      <c r="F1107" s="296">
        <v>1200</v>
      </c>
      <c r="G1107" s="352">
        <v>0</v>
      </c>
      <c r="H1107" s="296">
        <f t="shared" si="214"/>
        <v>0</v>
      </c>
      <c r="I1107" s="122">
        <f t="shared" si="215"/>
        <v>0</v>
      </c>
      <c r="J1107" s="331">
        <f t="shared" si="216"/>
        <v>0</v>
      </c>
      <c r="K1107" s="292">
        <f>'09-RESUMEN'!$F$43/1375</f>
        <v>81431.961035221175</v>
      </c>
      <c r="L1107" s="122">
        <f>('ESTADO RESULTADOS'!$C$36+'ESTADO RESULTADOS'!$C$71)/1375</f>
        <v>24762.287272727273</v>
      </c>
      <c r="M1107" s="122">
        <v>0</v>
      </c>
      <c r="N1107" s="122">
        <f>SUM(E1107+K1107+L1107+M1107)</f>
        <v>107015.34830794846</v>
      </c>
      <c r="O1107" s="122">
        <f>N1107</f>
        <v>107015.34830794846</v>
      </c>
      <c r="P1107" s="336">
        <f t="shared" si="217"/>
        <v>-107015.34830794846</v>
      </c>
      <c r="Q1107" s="336">
        <f t="shared" si="218"/>
        <v>106194.24830794845</v>
      </c>
      <c r="R1107" s="303">
        <f t="shared" si="219"/>
        <v>129.33168713670497</v>
      </c>
    </row>
    <row r="1108" spans="1:18" x14ac:dyDescent="0.3">
      <c r="A1108" s="2">
        <v>3396</v>
      </c>
      <c r="B1108" s="41" t="s">
        <v>915</v>
      </c>
      <c r="C1108" s="2">
        <v>12</v>
      </c>
      <c r="D1108" s="2" t="s">
        <v>12</v>
      </c>
      <c r="E1108" s="294">
        <v>7652.89</v>
      </c>
      <c r="F1108" s="296">
        <v>10500</v>
      </c>
      <c r="G1108" s="352">
        <v>0</v>
      </c>
      <c r="H1108" s="296">
        <f t="shared" si="214"/>
        <v>0</v>
      </c>
      <c r="I1108" s="122">
        <f t="shared" si="215"/>
        <v>0</v>
      </c>
      <c r="J1108" s="331">
        <f t="shared" si="216"/>
        <v>0</v>
      </c>
      <c r="K1108" s="292">
        <f>'09-RESUMEN'!$F$43/1375</f>
        <v>81431.961035221175</v>
      </c>
      <c r="L1108" s="122">
        <f>('ESTADO RESULTADOS'!$C$36+'ESTADO RESULTADOS'!$C$71)/1375</f>
        <v>24762.287272727273</v>
      </c>
      <c r="M1108" s="122">
        <v>0</v>
      </c>
      <c r="N1108" s="122">
        <f>SUM(E1108+K1108+L1108+M1108)</f>
        <v>113847.13830794845</v>
      </c>
      <c r="O1108" s="122">
        <f>N1108</f>
        <v>113847.13830794845</v>
      </c>
      <c r="P1108" s="336">
        <f t="shared" si="217"/>
        <v>-113847.13830794845</v>
      </c>
      <c r="Q1108" s="336">
        <f t="shared" si="218"/>
        <v>106194.24830794845</v>
      </c>
      <c r="R1108" s="303">
        <f t="shared" si="219"/>
        <v>13.876358905975186</v>
      </c>
    </row>
    <row r="1109" spans="1:18" x14ac:dyDescent="0.3">
      <c r="A1109" s="2">
        <v>3397</v>
      </c>
      <c r="B1109" s="41" t="s">
        <v>916</v>
      </c>
      <c r="C1109" s="2">
        <v>12</v>
      </c>
      <c r="D1109" s="2" t="s">
        <v>12</v>
      </c>
      <c r="E1109" s="294">
        <v>70388.5</v>
      </c>
      <c r="F1109" s="296">
        <v>85500</v>
      </c>
      <c r="G1109" s="352">
        <v>3</v>
      </c>
      <c r="H1109" s="296">
        <f t="shared" si="214"/>
        <v>211165.5</v>
      </c>
      <c r="I1109" s="122">
        <f t="shared" si="215"/>
        <v>256500</v>
      </c>
      <c r="J1109" s="331">
        <f t="shared" si="216"/>
        <v>45334.5</v>
      </c>
      <c r="K1109" s="292">
        <f>'09-RESUMEN'!$F$43/1375</f>
        <v>81431.961035221175</v>
      </c>
      <c r="L1109" s="122">
        <f>('ESTADO RESULTADOS'!$C$36+'ESTADO RESULTADOS'!$C$71)/1375</f>
        <v>24762.287272727273</v>
      </c>
      <c r="M1109" s="122">
        <v>0</v>
      </c>
      <c r="N1109" s="122">
        <f t="shared" ref="N1109:N1116" si="222">SUM(H1109+K1109+L1109+M1109)</f>
        <v>317359.74830794847</v>
      </c>
      <c r="O1109" s="122">
        <f t="shared" ref="O1109:O1116" si="223">N1109/G1109</f>
        <v>105786.58276931616</v>
      </c>
      <c r="P1109" s="336">
        <f t="shared" si="217"/>
        <v>-60859.748307948466</v>
      </c>
      <c r="Q1109" s="336">
        <f t="shared" si="218"/>
        <v>35398.082769316155</v>
      </c>
      <c r="R1109" s="303">
        <f t="shared" si="219"/>
        <v>0.50289582487645224</v>
      </c>
    </row>
    <row r="1110" spans="1:18" x14ac:dyDescent="0.3">
      <c r="A1110" s="2">
        <v>3398</v>
      </c>
      <c r="B1110" s="41" t="s">
        <v>917</v>
      </c>
      <c r="C1110" s="2">
        <v>12</v>
      </c>
      <c r="D1110" s="2" t="s">
        <v>12</v>
      </c>
      <c r="E1110" s="294">
        <v>15522.36</v>
      </c>
      <c r="F1110" s="296">
        <v>18000</v>
      </c>
      <c r="G1110" s="352">
        <v>1</v>
      </c>
      <c r="H1110" s="296">
        <f t="shared" si="214"/>
        <v>15522.36</v>
      </c>
      <c r="I1110" s="122">
        <f t="shared" si="215"/>
        <v>18000</v>
      </c>
      <c r="J1110" s="331">
        <f t="shared" si="216"/>
        <v>2477.6399999999994</v>
      </c>
      <c r="K1110" s="292">
        <f>'09-RESUMEN'!$F$43/1375</f>
        <v>81431.961035221175</v>
      </c>
      <c r="L1110" s="122">
        <f>('ESTADO RESULTADOS'!$C$36+'ESTADO RESULTADOS'!$C$71)/1375</f>
        <v>24762.287272727273</v>
      </c>
      <c r="M1110" s="122">
        <v>0</v>
      </c>
      <c r="N1110" s="122">
        <f t="shared" si="222"/>
        <v>121716.60830794845</v>
      </c>
      <c r="O1110" s="122">
        <f t="shared" si="223"/>
        <v>121716.60830794845</v>
      </c>
      <c r="P1110" s="336">
        <f t="shared" si="217"/>
        <v>-103716.60830794845</v>
      </c>
      <c r="Q1110" s="336">
        <f t="shared" si="218"/>
        <v>106194.24830794845</v>
      </c>
      <c r="R1110" s="303">
        <f t="shared" si="219"/>
        <v>6.8413725946279076</v>
      </c>
    </row>
    <row r="1111" spans="1:18" x14ac:dyDescent="0.3">
      <c r="A1111" s="2">
        <v>3399</v>
      </c>
      <c r="B1111" s="41" t="s">
        <v>918</v>
      </c>
      <c r="C1111" s="2">
        <v>12</v>
      </c>
      <c r="D1111" s="2" t="s">
        <v>12</v>
      </c>
      <c r="E1111" s="294">
        <v>1774.29</v>
      </c>
      <c r="F1111" s="296">
        <v>2500</v>
      </c>
      <c r="G1111" s="352">
        <v>6</v>
      </c>
      <c r="H1111" s="296">
        <f t="shared" si="214"/>
        <v>10645.74</v>
      </c>
      <c r="I1111" s="122">
        <f t="shared" si="215"/>
        <v>15000</v>
      </c>
      <c r="J1111" s="331">
        <f t="shared" si="216"/>
        <v>4354.26</v>
      </c>
      <c r="K1111" s="292">
        <f>'09-RESUMEN'!$F$43/1375</f>
        <v>81431.961035221175</v>
      </c>
      <c r="L1111" s="122">
        <f>('ESTADO RESULTADOS'!$C$36+'ESTADO RESULTADOS'!$C$71)/1375</f>
        <v>24762.287272727273</v>
      </c>
      <c r="M1111" s="122">
        <v>0</v>
      </c>
      <c r="N1111" s="122">
        <f t="shared" si="222"/>
        <v>116839.98830794846</v>
      </c>
      <c r="O1111" s="122">
        <f t="shared" si="223"/>
        <v>19473.331384658075</v>
      </c>
      <c r="P1111" s="336">
        <f t="shared" si="217"/>
        <v>-101839.98830794846</v>
      </c>
      <c r="Q1111" s="336">
        <f t="shared" si="218"/>
        <v>17699.041384658074</v>
      </c>
      <c r="R1111" s="303">
        <f t="shared" si="219"/>
        <v>9.975281033347466</v>
      </c>
    </row>
    <row r="1112" spans="1:18" x14ac:dyDescent="0.3">
      <c r="A1112" s="2">
        <v>3400</v>
      </c>
      <c r="B1112" s="41" t="s">
        <v>919</v>
      </c>
      <c r="C1112" s="2">
        <v>12</v>
      </c>
      <c r="D1112" s="2" t="s">
        <v>12</v>
      </c>
      <c r="E1112" s="294">
        <v>1579.13</v>
      </c>
      <c r="F1112" s="296">
        <v>2500</v>
      </c>
      <c r="G1112" s="352">
        <v>2</v>
      </c>
      <c r="H1112" s="296">
        <f t="shared" si="214"/>
        <v>3158.26</v>
      </c>
      <c r="I1112" s="122">
        <f t="shared" si="215"/>
        <v>5000</v>
      </c>
      <c r="J1112" s="331">
        <f t="shared" si="216"/>
        <v>1841.7399999999998</v>
      </c>
      <c r="K1112" s="292">
        <f>'09-RESUMEN'!$F$43/1375</f>
        <v>81431.961035221175</v>
      </c>
      <c r="L1112" s="122">
        <f>('ESTADO RESULTADOS'!$C$36+'ESTADO RESULTADOS'!$C$71)/1375</f>
        <v>24762.287272727273</v>
      </c>
      <c r="M1112" s="122">
        <v>0</v>
      </c>
      <c r="N1112" s="122">
        <f t="shared" si="222"/>
        <v>109352.50830794845</v>
      </c>
      <c r="O1112" s="122">
        <f t="shared" si="223"/>
        <v>54676.254153974223</v>
      </c>
      <c r="P1112" s="336">
        <f t="shared" si="217"/>
        <v>-104352.50830794845</v>
      </c>
      <c r="Q1112" s="336">
        <f t="shared" si="218"/>
        <v>53097.124153974226</v>
      </c>
      <c r="R1112" s="303">
        <f t="shared" si="219"/>
        <v>33.624289421373938</v>
      </c>
    </row>
    <row r="1113" spans="1:18" x14ac:dyDescent="0.3">
      <c r="A1113" s="2">
        <v>3401</v>
      </c>
      <c r="B1113" s="41" t="s">
        <v>1846</v>
      </c>
      <c r="C1113" s="2">
        <v>12</v>
      </c>
      <c r="D1113" s="2" t="s">
        <v>12</v>
      </c>
      <c r="E1113" s="294">
        <v>38600</v>
      </c>
      <c r="F1113" s="296">
        <v>46000</v>
      </c>
      <c r="G1113" s="352">
        <v>1</v>
      </c>
      <c r="H1113" s="296">
        <f t="shared" si="214"/>
        <v>38600</v>
      </c>
      <c r="I1113" s="122">
        <f t="shared" si="215"/>
        <v>46000</v>
      </c>
      <c r="J1113" s="331">
        <f t="shared" si="216"/>
        <v>7400</v>
      </c>
      <c r="K1113" s="292">
        <f>'09-RESUMEN'!$F$43/1375</f>
        <v>81431.961035221175</v>
      </c>
      <c r="L1113" s="122">
        <f>('ESTADO RESULTADOS'!$C$36+'ESTADO RESULTADOS'!$C$71)/1375</f>
        <v>24762.287272727273</v>
      </c>
      <c r="M1113" s="122">
        <v>0</v>
      </c>
      <c r="N1113" s="122">
        <f t="shared" si="222"/>
        <v>144794.24830794844</v>
      </c>
      <c r="O1113" s="122">
        <f t="shared" si="223"/>
        <v>144794.24830794844</v>
      </c>
      <c r="P1113" s="336">
        <f t="shared" si="217"/>
        <v>-98794.248307948437</v>
      </c>
      <c r="Q1113" s="336">
        <f t="shared" si="218"/>
        <v>106194.24830794844</v>
      </c>
      <c r="R1113" s="303">
        <f t="shared" si="219"/>
        <v>2.751146329221462</v>
      </c>
    </row>
    <row r="1114" spans="1:18" x14ac:dyDescent="0.3">
      <c r="A1114" s="2">
        <v>3402</v>
      </c>
      <c r="B1114" s="41" t="s">
        <v>920</v>
      </c>
      <c r="C1114" s="2">
        <v>12</v>
      </c>
      <c r="D1114" s="2" t="s">
        <v>12</v>
      </c>
      <c r="E1114" s="294">
        <v>9892.1299999999992</v>
      </c>
      <c r="F1114" s="296">
        <v>10500</v>
      </c>
      <c r="G1114" s="352">
        <v>3</v>
      </c>
      <c r="H1114" s="296">
        <f t="shared" si="214"/>
        <v>29676.39</v>
      </c>
      <c r="I1114" s="122">
        <f t="shared" si="215"/>
        <v>31500</v>
      </c>
      <c r="J1114" s="331">
        <f t="shared" si="216"/>
        <v>1823.6100000000006</v>
      </c>
      <c r="K1114" s="292">
        <f>'09-RESUMEN'!$F$43/1375</f>
        <v>81431.961035221175</v>
      </c>
      <c r="L1114" s="122">
        <f>('ESTADO RESULTADOS'!$C$36+'ESTADO RESULTADOS'!$C$71)/1375</f>
        <v>24762.287272727273</v>
      </c>
      <c r="M1114" s="122">
        <v>0</v>
      </c>
      <c r="N1114" s="122">
        <f t="shared" si="222"/>
        <v>135870.63830794845</v>
      </c>
      <c r="O1114" s="122">
        <f t="shared" si="223"/>
        <v>45290.212769316153</v>
      </c>
      <c r="P1114" s="336">
        <f t="shared" si="217"/>
        <v>-104370.63830794845</v>
      </c>
      <c r="Q1114" s="336">
        <f t="shared" si="218"/>
        <v>35398.082769316155</v>
      </c>
      <c r="R1114" s="303">
        <f t="shared" si="219"/>
        <v>3.5784085701781274</v>
      </c>
    </row>
    <row r="1115" spans="1:18" x14ac:dyDescent="0.3">
      <c r="A1115" s="2">
        <v>3403</v>
      </c>
      <c r="B1115" s="41" t="s">
        <v>1847</v>
      </c>
      <c r="C1115" s="2">
        <v>12</v>
      </c>
      <c r="D1115" s="2" t="s">
        <v>12</v>
      </c>
      <c r="E1115" s="294">
        <v>1880.5967000000001</v>
      </c>
      <c r="F1115" s="296">
        <v>2500</v>
      </c>
      <c r="G1115" s="352">
        <v>1</v>
      </c>
      <c r="H1115" s="296">
        <f t="shared" si="214"/>
        <v>1880.5967000000001</v>
      </c>
      <c r="I1115" s="122">
        <f t="shared" si="215"/>
        <v>2500</v>
      </c>
      <c r="J1115" s="331">
        <f t="shared" si="216"/>
        <v>619.40329999999994</v>
      </c>
      <c r="K1115" s="292">
        <f>'09-RESUMEN'!$F$43/1375</f>
        <v>81431.961035221175</v>
      </c>
      <c r="L1115" s="122">
        <f>('ESTADO RESULTADOS'!$C$36+'ESTADO RESULTADOS'!$C$71)/1375</f>
        <v>24762.287272727273</v>
      </c>
      <c r="M1115" s="122">
        <v>0</v>
      </c>
      <c r="N1115" s="122">
        <f t="shared" si="222"/>
        <v>108074.84500794845</v>
      </c>
      <c r="O1115" s="122">
        <f t="shared" si="223"/>
        <v>108074.84500794845</v>
      </c>
      <c r="P1115" s="336">
        <f t="shared" si="217"/>
        <v>-105574.84500794845</v>
      </c>
      <c r="Q1115" s="336">
        <f t="shared" si="218"/>
        <v>106194.24830794845</v>
      </c>
      <c r="R1115" s="303">
        <f t="shared" si="219"/>
        <v>56.468379588217104</v>
      </c>
    </row>
    <row r="1116" spans="1:18" x14ac:dyDescent="0.3">
      <c r="A1116" s="2">
        <v>3404</v>
      </c>
      <c r="B1116" s="41" t="s">
        <v>921</v>
      </c>
      <c r="C1116" s="2">
        <v>12</v>
      </c>
      <c r="D1116" s="2" t="s">
        <v>12</v>
      </c>
      <c r="E1116" s="294">
        <v>3332</v>
      </c>
      <c r="F1116" s="296">
        <v>3916.6666666666665</v>
      </c>
      <c r="G1116" s="352">
        <v>3</v>
      </c>
      <c r="H1116" s="296">
        <f t="shared" si="214"/>
        <v>9996</v>
      </c>
      <c r="I1116" s="122">
        <f t="shared" si="215"/>
        <v>11750</v>
      </c>
      <c r="J1116" s="331">
        <f t="shared" si="216"/>
        <v>1754</v>
      </c>
      <c r="K1116" s="292">
        <f>'09-RESUMEN'!$F$43/1375</f>
        <v>81431.961035221175</v>
      </c>
      <c r="L1116" s="122">
        <f>('ESTADO RESULTADOS'!$C$36+'ESTADO RESULTADOS'!$C$71)/1375</f>
        <v>24762.287272727273</v>
      </c>
      <c r="M1116" s="122">
        <v>0</v>
      </c>
      <c r="N1116" s="122">
        <f t="shared" si="222"/>
        <v>116190.24830794845</v>
      </c>
      <c r="O1116" s="122">
        <f t="shared" si="223"/>
        <v>38730.082769316148</v>
      </c>
      <c r="P1116" s="336">
        <f t="shared" si="217"/>
        <v>-104440.24830794845</v>
      </c>
      <c r="Q1116" s="336">
        <f t="shared" si="218"/>
        <v>35398.082769316148</v>
      </c>
      <c r="R1116" s="303">
        <f t="shared" si="219"/>
        <v>10.62367430051505</v>
      </c>
    </row>
    <row r="1117" spans="1:18" x14ac:dyDescent="0.3">
      <c r="A1117" s="2">
        <v>3405</v>
      </c>
      <c r="B1117" s="41" t="s">
        <v>1848</v>
      </c>
      <c r="C1117" s="2">
        <v>12</v>
      </c>
      <c r="D1117" s="2" t="s">
        <v>12</v>
      </c>
      <c r="E1117" s="294">
        <v>2894.08</v>
      </c>
      <c r="F1117" s="296">
        <v>3500</v>
      </c>
      <c r="G1117" s="352">
        <v>0</v>
      </c>
      <c r="H1117" s="296">
        <f t="shared" si="214"/>
        <v>0</v>
      </c>
      <c r="I1117" s="122">
        <f t="shared" si="215"/>
        <v>0</v>
      </c>
      <c r="J1117" s="331">
        <f t="shared" si="216"/>
        <v>0</v>
      </c>
      <c r="K1117" s="292">
        <f>'09-RESUMEN'!$F$43/1375</f>
        <v>81431.961035221175</v>
      </c>
      <c r="L1117" s="122">
        <f>('ESTADO RESULTADOS'!$C$36+'ESTADO RESULTADOS'!$C$71)/1375</f>
        <v>24762.287272727273</v>
      </c>
      <c r="M1117" s="122">
        <v>0</v>
      </c>
      <c r="N1117" s="122">
        <f>SUM(E1117+K1117+L1117+M1117)</f>
        <v>109088.32830794845</v>
      </c>
      <c r="O1117" s="122">
        <f>N1117</f>
        <v>109088.32830794845</v>
      </c>
      <c r="P1117" s="336">
        <f t="shared" si="217"/>
        <v>-109088.32830794845</v>
      </c>
      <c r="Q1117" s="336">
        <f t="shared" si="218"/>
        <v>106194.24830794845</v>
      </c>
      <c r="R1117" s="303">
        <f t="shared" si="219"/>
        <v>36.693611893226326</v>
      </c>
    </row>
    <row r="1118" spans="1:18" x14ac:dyDescent="0.3">
      <c r="A1118" s="2">
        <v>3406</v>
      </c>
      <c r="B1118" s="41" t="s">
        <v>922</v>
      </c>
      <c r="C1118" s="2">
        <v>12</v>
      </c>
      <c r="D1118" s="2" t="s">
        <v>12</v>
      </c>
      <c r="E1118" s="294">
        <v>4194.75</v>
      </c>
      <c r="F1118" s="296">
        <v>6500</v>
      </c>
      <c r="G1118" s="352">
        <v>0</v>
      </c>
      <c r="H1118" s="296">
        <f t="shared" si="214"/>
        <v>0</v>
      </c>
      <c r="I1118" s="122">
        <f t="shared" si="215"/>
        <v>0</v>
      </c>
      <c r="J1118" s="331">
        <f t="shared" si="216"/>
        <v>0</v>
      </c>
      <c r="K1118" s="292">
        <f>'09-RESUMEN'!$F$43/1375</f>
        <v>81431.961035221175</v>
      </c>
      <c r="L1118" s="122">
        <f>('ESTADO RESULTADOS'!$C$36+'ESTADO RESULTADOS'!$C$71)/1375</f>
        <v>24762.287272727273</v>
      </c>
      <c r="M1118" s="122">
        <v>0</v>
      </c>
      <c r="N1118" s="122">
        <f>SUM(E1118+K1118+L1118+M1118)</f>
        <v>110388.99830794845</v>
      </c>
      <c r="O1118" s="122">
        <f>N1118</f>
        <v>110388.99830794845</v>
      </c>
      <c r="P1118" s="336">
        <f t="shared" si="217"/>
        <v>-110388.99830794845</v>
      </c>
      <c r="Q1118" s="336">
        <f t="shared" si="218"/>
        <v>106194.24830794845</v>
      </c>
      <c r="R1118" s="303">
        <f t="shared" si="219"/>
        <v>25.315989822503951</v>
      </c>
    </row>
    <row r="1119" spans="1:18" x14ac:dyDescent="0.3">
      <c r="A1119" s="2">
        <v>3407</v>
      </c>
      <c r="B1119" s="41" t="s">
        <v>923</v>
      </c>
      <c r="C1119" s="2">
        <v>12</v>
      </c>
      <c r="D1119" s="2" t="s">
        <v>12</v>
      </c>
      <c r="E1119" s="294">
        <v>5087.25</v>
      </c>
      <c r="F1119" s="296">
        <v>6800</v>
      </c>
      <c r="G1119" s="352">
        <v>1</v>
      </c>
      <c r="H1119" s="296">
        <f t="shared" si="214"/>
        <v>5087.25</v>
      </c>
      <c r="I1119" s="122">
        <f t="shared" si="215"/>
        <v>6800</v>
      </c>
      <c r="J1119" s="331">
        <f t="shared" si="216"/>
        <v>1712.75</v>
      </c>
      <c r="K1119" s="292">
        <f>'09-RESUMEN'!$F$43/1375</f>
        <v>81431.961035221175</v>
      </c>
      <c r="L1119" s="122">
        <f>('ESTADO RESULTADOS'!$C$36+'ESTADO RESULTADOS'!$C$71)/1375</f>
        <v>24762.287272727273</v>
      </c>
      <c r="M1119" s="122">
        <v>0</v>
      </c>
      <c r="N1119" s="122">
        <f>SUM(H1119+K1119+L1119+M1119)</f>
        <v>111281.49830794845</v>
      </c>
      <c r="O1119" s="122">
        <f>N1119/G1119</f>
        <v>111281.49830794845</v>
      </c>
      <c r="P1119" s="336">
        <f t="shared" si="217"/>
        <v>-104481.49830794845</v>
      </c>
      <c r="Q1119" s="336">
        <f t="shared" si="218"/>
        <v>106194.24830794845</v>
      </c>
      <c r="R1119" s="303">
        <f t="shared" si="219"/>
        <v>20.874588099257643</v>
      </c>
    </row>
    <row r="1120" spans="1:18" x14ac:dyDescent="0.3">
      <c r="A1120" s="2">
        <v>3408</v>
      </c>
      <c r="B1120" s="41" t="s">
        <v>924</v>
      </c>
      <c r="C1120" s="2">
        <v>12</v>
      </c>
      <c r="D1120" s="2" t="s">
        <v>12</v>
      </c>
      <c r="E1120" s="294">
        <v>6158.25</v>
      </c>
      <c r="F1120" s="296">
        <v>7500</v>
      </c>
      <c r="G1120" s="352">
        <v>0</v>
      </c>
      <c r="H1120" s="296">
        <f t="shared" si="214"/>
        <v>0</v>
      </c>
      <c r="I1120" s="122">
        <f t="shared" si="215"/>
        <v>0</v>
      </c>
      <c r="J1120" s="331">
        <f t="shared" si="216"/>
        <v>0</v>
      </c>
      <c r="K1120" s="292">
        <f>'09-RESUMEN'!$F$43/1375</f>
        <v>81431.961035221175</v>
      </c>
      <c r="L1120" s="122">
        <f>('ESTADO RESULTADOS'!$C$36+'ESTADO RESULTADOS'!$C$71)/1375</f>
        <v>24762.287272727273</v>
      </c>
      <c r="M1120" s="122">
        <v>0</v>
      </c>
      <c r="N1120" s="122">
        <f>SUM(E1120+K1120+L1120+M1120)</f>
        <v>112352.49830794845</v>
      </c>
      <c r="O1120" s="122">
        <f>N1120</f>
        <v>112352.49830794845</v>
      </c>
      <c r="P1120" s="336">
        <f t="shared" si="217"/>
        <v>-112352.49830794845</v>
      </c>
      <c r="Q1120" s="336">
        <f t="shared" si="218"/>
        <v>106194.24830794845</v>
      </c>
      <c r="R1120" s="303">
        <f t="shared" si="219"/>
        <v>17.244224951560664</v>
      </c>
    </row>
    <row r="1121" spans="1:18" x14ac:dyDescent="0.3">
      <c r="A1121" s="2">
        <v>3409</v>
      </c>
      <c r="B1121" s="41" t="s">
        <v>925</v>
      </c>
      <c r="C1121" s="2">
        <v>12</v>
      </c>
      <c r="D1121" s="2" t="s">
        <v>12</v>
      </c>
      <c r="E1121" s="294">
        <v>6426</v>
      </c>
      <c r="F1121" s="296">
        <v>7000</v>
      </c>
      <c r="G1121" s="352">
        <v>6</v>
      </c>
      <c r="H1121" s="296">
        <f t="shared" si="214"/>
        <v>38556</v>
      </c>
      <c r="I1121" s="122">
        <f t="shared" si="215"/>
        <v>42000</v>
      </c>
      <c r="J1121" s="331">
        <f t="shared" si="216"/>
        <v>3444</v>
      </c>
      <c r="K1121" s="292">
        <f>'09-RESUMEN'!$F$43/1375</f>
        <v>81431.961035221175</v>
      </c>
      <c r="L1121" s="122">
        <f>('ESTADO RESULTADOS'!$C$36+'ESTADO RESULTADOS'!$C$71)/1375</f>
        <v>24762.287272727273</v>
      </c>
      <c r="M1121" s="122">
        <v>0</v>
      </c>
      <c r="N1121" s="122">
        <f>SUM(H1121+K1121+L1121+M1121)</f>
        <v>144750.24830794844</v>
      </c>
      <c r="O1121" s="122">
        <f>N1121/G1121</f>
        <v>24125.041384658074</v>
      </c>
      <c r="P1121" s="336">
        <f t="shared" si="217"/>
        <v>-102750.24830794844</v>
      </c>
      <c r="Q1121" s="336">
        <f t="shared" si="218"/>
        <v>17699.041384658074</v>
      </c>
      <c r="R1121" s="303">
        <f t="shared" si="219"/>
        <v>2.7542859297631614</v>
      </c>
    </row>
    <row r="1122" spans="1:18" x14ac:dyDescent="0.3">
      <c r="A1122" s="2">
        <v>3410</v>
      </c>
      <c r="B1122" s="41" t="s">
        <v>926</v>
      </c>
      <c r="C1122" s="2">
        <v>12</v>
      </c>
      <c r="D1122" s="2" t="s">
        <v>12</v>
      </c>
      <c r="E1122" s="294">
        <v>18117.75</v>
      </c>
      <c r="F1122" s="296">
        <v>19600</v>
      </c>
      <c r="G1122" s="352">
        <v>2</v>
      </c>
      <c r="H1122" s="296">
        <f t="shared" si="214"/>
        <v>36235.5</v>
      </c>
      <c r="I1122" s="122">
        <f t="shared" si="215"/>
        <v>39200</v>
      </c>
      <c r="J1122" s="331">
        <f t="shared" si="216"/>
        <v>2964.5</v>
      </c>
      <c r="K1122" s="292">
        <f>'09-RESUMEN'!$F$43/1375</f>
        <v>81431.961035221175</v>
      </c>
      <c r="L1122" s="122">
        <f>('ESTADO RESULTADOS'!$C$36+'ESTADO RESULTADOS'!$C$71)/1375</f>
        <v>24762.287272727273</v>
      </c>
      <c r="M1122" s="122">
        <v>0</v>
      </c>
      <c r="N1122" s="122">
        <f>SUM(H1122+K1122+L1122+M1122)</f>
        <v>142429.74830794844</v>
      </c>
      <c r="O1122" s="122">
        <f>N1122/G1122</f>
        <v>71214.874153974219</v>
      </c>
      <c r="P1122" s="336">
        <f t="shared" si="217"/>
        <v>-103229.74830794844</v>
      </c>
      <c r="Q1122" s="336">
        <f t="shared" si="218"/>
        <v>53097.124153974219</v>
      </c>
      <c r="R1122" s="303">
        <f t="shared" si="219"/>
        <v>2.930668772555876</v>
      </c>
    </row>
    <row r="1123" spans="1:18" x14ac:dyDescent="0.3">
      <c r="A1123" s="2">
        <v>3411</v>
      </c>
      <c r="B1123" s="41" t="s">
        <v>927</v>
      </c>
      <c r="C1123" s="2">
        <v>12</v>
      </c>
      <c r="D1123" s="2" t="s">
        <v>12</v>
      </c>
      <c r="E1123" s="294">
        <v>3900</v>
      </c>
      <c r="F1123" s="296">
        <v>4500</v>
      </c>
      <c r="G1123" s="352">
        <v>0</v>
      </c>
      <c r="H1123" s="296">
        <f t="shared" si="214"/>
        <v>0</v>
      </c>
      <c r="I1123" s="122">
        <f t="shared" si="215"/>
        <v>0</v>
      </c>
      <c r="J1123" s="331">
        <f t="shared" si="216"/>
        <v>0</v>
      </c>
      <c r="K1123" s="292">
        <f>'09-RESUMEN'!$F$43/1375</f>
        <v>81431.961035221175</v>
      </c>
      <c r="L1123" s="122">
        <f>('ESTADO RESULTADOS'!$C$36+'ESTADO RESULTADOS'!$C$71)/1375</f>
        <v>24762.287272727273</v>
      </c>
      <c r="M1123" s="122">
        <v>0</v>
      </c>
      <c r="N1123" s="122">
        <f>SUM(E1123+K1123+L1123+M1123)</f>
        <v>110094.24830794845</v>
      </c>
      <c r="O1123" s="122">
        <f>N1123</f>
        <v>110094.24830794845</v>
      </c>
      <c r="P1123" s="336">
        <f t="shared" si="217"/>
        <v>-110094.24830794845</v>
      </c>
      <c r="Q1123" s="336">
        <f t="shared" si="218"/>
        <v>106194.24830794845</v>
      </c>
      <c r="R1123" s="303">
        <f t="shared" si="219"/>
        <v>27.229294437935501</v>
      </c>
    </row>
    <row r="1124" spans="1:18" x14ac:dyDescent="0.3">
      <c r="A1124" s="2">
        <v>3412</v>
      </c>
      <c r="B1124" s="41" t="s">
        <v>928</v>
      </c>
      <c r="C1124" s="2">
        <v>12</v>
      </c>
      <c r="D1124" s="2" t="s">
        <v>12</v>
      </c>
      <c r="E1124" s="294">
        <v>1500</v>
      </c>
      <c r="F1124" s="296">
        <v>2500</v>
      </c>
      <c r="G1124" s="352">
        <v>7</v>
      </c>
      <c r="H1124" s="296">
        <f t="shared" si="214"/>
        <v>10500</v>
      </c>
      <c r="I1124" s="122">
        <f t="shared" si="215"/>
        <v>17500</v>
      </c>
      <c r="J1124" s="331">
        <f t="shared" si="216"/>
        <v>7000</v>
      </c>
      <c r="K1124" s="292">
        <f>'09-RESUMEN'!$F$43/1375</f>
        <v>81431.961035221175</v>
      </c>
      <c r="L1124" s="122">
        <f>('ESTADO RESULTADOS'!$C$36+'ESTADO RESULTADOS'!$C$71)/1375</f>
        <v>24762.287272727273</v>
      </c>
      <c r="M1124" s="122">
        <v>0</v>
      </c>
      <c r="N1124" s="122">
        <f>SUM(H1124+K1124+L1124+M1124)</f>
        <v>116694.24830794845</v>
      </c>
      <c r="O1124" s="122">
        <f>N1124/G1124</f>
        <v>16670.606901135492</v>
      </c>
      <c r="P1124" s="336">
        <f t="shared" si="217"/>
        <v>-99194.248307948452</v>
      </c>
      <c r="Q1124" s="336">
        <f t="shared" si="218"/>
        <v>15170.606901135492</v>
      </c>
      <c r="R1124" s="303">
        <f t="shared" si="219"/>
        <v>10.113737934090327</v>
      </c>
    </row>
    <row r="1125" spans="1:18" x14ac:dyDescent="0.3">
      <c r="A1125" s="2">
        <v>3413</v>
      </c>
      <c r="B1125" s="41" t="s">
        <v>929</v>
      </c>
      <c r="C1125" s="2">
        <v>12</v>
      </c>
      <c r="D1125" s="2" t="s">
        <v>12</v>
      </c>
      <c r="E1125" s="294">
        <v>615.23</v>
      </c>
      <c r="F1125" s="296">
        <v>1200</v>
      </c>
      <c r="G1125" s="352">
        <v>2</v>
      </c>
      <c r="H1125" s="296">
        <f t="shared" si="214"/>
        <v>1230.46</v>
      </c>
      <c r="I1125" s="122">
        <f t="shared" si="215"/>
        <v>2400</v>
      </c>
      <c r="J1125" s="331">
        <f t="shared" si="216"/>
        <v>1169.54</v>
      </c>
      <c r="K1125" s="292">
        <f>'09-RESUMEN'!$F$43/1375</f>
        <v>81431.961035221175</v>
      </c>
      <c r="L1125" s="122">
        <f>('ESTADO RESULTADOS'!$C$36+'ESTADO RESULTADOS'!$C$71)/1375</f>
        <v>24762.287272727273</v>
      </c>
      <c r="M1125" s="122">
        <v>0</v>
      </c>
      <c r="N1125" s="122">
        <f>SUM(H1125+K1125+L1125+M1125)</f>
        <v>107424.70830794846</v>
      </c>
      <c r="O1125" s="122">
        <f>N1125/G1125</f>
        <v>53712.354153974229</v>
      </c>
      <c r="P1125" s="336">
        <f t="shared" si="217"/>
        <v>-105024.70830794846</v>
      </c>
      <c r="Q1125" s="336">
        <f t="shared" si="218"/>
        <v>53097.124153974226</v>
      </c>
      <c r="R1125" s="303">
        <f t="shared" si="219"/>
        <v>86.304510758536196</v>
      </c>
    </row>
    <row r="1126" spans="1:18" x14ac:dyDescent="0.3">
      <c r="A1126" s="2">
        <v>3414</v>
      </c>
      <c r="B1126" s="41" t="s">
        <v>930</v>
      </c>
      <c r="C1126" s="2">
        <v>12</v>
      </c>
      <c r="D1126" s="2" t="s">
        <v>12</v>
      </c>
      <c r="E1126" s="294">
        <v>6564.04</v>
      </c>
      <c r="F1126" s="296">
        <v>6800</v>
      </c>
      <c r="G1126" s="352">
        <v>0</v>
      </c>
      <c r="H1126" s="296">
        <f t="shared" si="214"/>
        <v>0</v>
      </c>
      <c r="I1126" s="122">
        <f t="shared" si="215"/>
        <v>0</v>
      </c>
      <c r="J1126" s="331">
        <f t="shared" si="216"/>
        <v>0</v>
      </c>
      <c r="K1126" s="292">
        <f>'09-RESUMEN'!$F$43/1375</f>
        <v>81431.961035221175</v>
      </c>
      <c r="L1126" s="122">
        <f>('ESTADO RESULTADOS'!$C$36+'ESTADO RESULTADOS'!$C$71)/1375</f>
        <v>24762.287272727273</v>
      </c>
      <c r="M1126" s="122">
        <v>0</v>
      </c>
      <c r="N1126" s="122">
        <f>SUM(E1126+K1126+L1126+M1126)</f>
        <v>112758.28830794845</v>
      </c>
      <c r="O1126" s="122">
        <f>N1126</f>
        <v>112758.28830794845</v>
      </c>
      <c r="P1126" s="336">
        <f t="shared" si="217"/>
        <v>-112758.28830794845</v>
      </c>
      <c r="Q1126" s="336">
        <f t="shared" si="218"/>
        <v>106194.24830794845</v>
      </c>
      <c r="R1126" s="303">
        <f t="shared" si="219"/>
        <v>16.178184213982313</v>
      </c>
    </row>
    <row r="1127" spans="1:18" x14ac:dyDescent="0.3">
      <c r="A1127" s="2">
        <v>3415</v>
      </c>
      <c r="B1127" s="41" t="s">
        <v>931</v>
      </c>
      <c r="C1127" s="2">
        <v>2</v>
      </c>
      <c r="D1127" s="2" t="s">
        <v>10</v>
      </c>
      <c r="E1127" s="294">
        <v>103335.75</v>
      </c>
      <c r="F1127" s="296">
        <v>116250</v>
      </c>
      <c r="G1127" s="352">
        <v>0</v>
      </c>
      <c r="H1127" s="296">
        <f t="shared" si="214"/>
        <v>0</v>
      </c>
      <c r="I1127" s="122">
        <f t="shared" si="215"/>
        <v>0</v>
      </c>
      <c r="J1127" s="331">
        <f t="shared" si="216"/>
        <v>0</v>
      </c>
      <c r="K1127" s="292">
        <f>'09-RESUMEN'!$F$43/1375</f>
        <v>81431.961035221175</v>
      </c>
      <c r="L1127" s="122">
        <f>('ESTADO RESULTADOS'!$C$36+'ESTADO RESULTADOS'!$C$71)/1375</f>
        <v>24762.287272727273</v>
      </c>
      <c r="M1127" s="122">
        <v>0</v>
      </c>
      <c r="N1127" s="122">
        <f>SUM(E1127+K1127+L1127+M1127)</f>
        <v>209529.99830794844</v>
      </c>
      <c r="O1127" s="122">
        <f>N1127</f>
        <v>209529.99830794844</v>
      </c>
      <c r="P1127" s="336">
        <f t="shared" si="217"/>
        <v>-209529.99830794844</v>
      </c>
      <c r="Q1127" s="336">
        <f t="shared" si="218"/>
        <v>106194.24830794844</v>
      </c>
      <c r="R1127" s="303">
        <f t="shared" si="219"/>
        <v>1.0276622399116322</v>
      </c>
    </row>
    <row r="1128" spans="1:18" x14ac:dyDescent="0.3">
      <c r="A1128" s="2">
        <v>3416</v>
      </c>
      <c r="B1128" s="41" t="s">
        <v>932</v>
      </c>
      <c r="C1128" s="2">
        <v>2</v>
      </c>
      <c r="D1128" s="2" t="s">
        <v>10</v>
      </c>
      <c r="E1128" s="294">
        <v>80514</v>
      </c>
      <c r="F1128" s="296">
        <v>90250</v>
      </c>
      <c r="G1128" s="352">
        <v>0</v>
      </c>
      <c r="H1128" s="296">
        <f t="shared" si="214"/>
        <v>0</v>
      </c>
      <c r="I1128" s="122">
        <f t="shared" si="215"/>
        <v>0</v>
      </c>
      <c r="J1128" s="331">
        <f t="shared" si="216"/>
        <v>0</v>
      </c>
      <c r="K1128" s="292">
        <f>'09-RESUMEN'!$F$43/1375</f>
        <v>81431.961035221175</v>
      </c>
      <c r="L1128" s="122">
        <f>('ESTADO RESULTADOS'!$C$36+'ESTADO RESULTADOS'!$C$71)/1375</f>
        <v>24762.287272727273</v>
      </c>
      <c r="M1128" s="122">
        <v>0</v>
      </c>
      <c r="N1128" s="122">
        <f>SUM(E1128+K1128+L1128+M1128)</f>
        <v>186708.24830794844</v>
      </c>
      <c r="O1128" s="122">
        <f>N1128</f>
        <v>186708.24830794844</v>
      </c>
      <c r="P1128" s="336">
        <f t="shared" si="217"/>
        <v>-186708.24830794844</v>
      </c>
      <c r="Q1128" s="336">
        <f t="shared" si="218"/>
        <v>106194.24830794844</v>
      </c>
      <c r="R1128" s="303">
        <f t="shared" si="219"/>
        <v>1.318953825520387</v>
      </c>
    </row>
    <row r="1129" spans="1:18" x14ac:dyDescent="0.3">
      <c r="A1129" s="2">
        <v>3417</v>
      </c>
      <c r="B1129" s="41" t="s">
        <v>1849</v>
      </c>
      <c r="C1129" s="2">
        <v>2</v>
      </c>
      <c r="D1129" s="2" t="s">
        <v>12</v>
      </c>
      <c r="E1129" s="294">
        <v>16350</v>
      </c>
      <c r="F1129" s="296">
        <v>19500</v>
      </c>
      <c r="G1129" s="352">
        <v>0</v>
      </c>
      <c r="H1129" s="296">
        <f t="shared" si="214"/>
        <v>0</v>
      </c>
      <c r="I1129" s="122">
        <f t="shared" si="215"/>
        <v>0</v>
      </c>
      <c r="J1129" s="331">
        <f t="shared" si="216"/>
        <v>0</v>
      </c>
      <c r="K1129" s="292">
        <f>'09-RESUMEN'!$F$43/1375</f>
        <v>81431.961035221175</v>
      </c>
      <c r="L1129" s="122">
        <f>('ESTADO RESULTADOS'!$C$36+'ESTADO RESULTADOS'!$C$71)/1375</f>
        <v>24762.287272727273</v>
      </c>
      <c r="M1129" s="122">
        <v>0</v>
      </c>
      <c r="N1129" s="122">
        <f>SUM(E1129+K1129+L1129+M1129)</f>
        <v>122544.24830794845</v>
      </c>
      <c r="O1129" s="122">
        <f>N1129</f>
        <v>122544.24830794845</v>
      </c>
      <c r="P1129" s="336">
        <f t="shared" si="217"/>
        <v>-122544.24830794845</v>
      </c>
      <c r="Q1129" s="336">
        <f t="shared" si="218"/>
        <v>106194.24830794845</v>
      </c>
      <c r="R1129" s="303">
        <f t="shared" si="219"/>
        <v>6.4950610585901192</v>
      </c>
    </row>
    <row r="1130" spans="1:18" x14ac:dyDescent="0.3">
      <c r="A1130" s="2">
        <v>3419</v>
      </c>
      <c r="B1130" s="41" t="s">
        <v>1850</v>
      </c>
      <c r="C1130" s="2">
        <v>12</v>
      </c>
      <c r="D1130" s="2" t="s">
        <v>12</v>
      </c>
      <c r="E1130" s="294">
        <v>10900</v>
      </c>
      <c r="F1130" s="296">
        <v>13933.333333333334</v>
      </c>
      <c r="G1130" s="352">
        <v>3</v>
      </c>
      <c r="H1130" s="296">
        <f t="shared" si="214"/>
        <v>32700</v>
      </c>
      <c r="I1130" s="122">
        <f t="shared" si="215"/>
        <v>41800</v>
      </c>
      <c r="J1130" s="331">
        <f t="shared" si="216"/>
        <v>9100</v>
      </c>
      <c r="K1130" s="292">
        <f>'09-RESUMEN'!$F$43/1375</f>
        <v>81431.961035221175</v>
      </c>
      <c r="L1130" s="122">
        <f>('ESTADO RESULTADOS'!$C$36+'ESTADO RESULTADOS'!$C$71)/1375</f>
        <v>24762.287272727273</v>
      </c>
      <c r="M1130" s="122">
        <v>0</v>
      </c>
      <c r="N1130" s="122">
        <f>SUM(H1130+K1130+L1130+M1130)</f>
        <v>138894.24830794844</v>
      </c>
      <c r="O1130" s="122">
        <f>N1130/G1130</f>
        <v>46298.082769316148</v>
      </c>
      <c r="P1130" s="336">
        <f t="shared" si="217"/>
        <v>-97094.248307948437</v>
      </c>
      <c r="Q1130" s="336">
        <f t="shared" si="218"/>
        <v>35398.082769316148</v>
      </c>
      <c r="R1130" s="303">
        <f t="shared" si="219"/>
        <v>3.2475305292950596</v>
      </c>
    </row>
    <row r="1131" spans="1:18" x14ac:dyDescent="0.3">
      <c r="A1131" s="2">
        <v>3420</v>
      </c>
      <c r="B1131" s="41" t="s">
        <v>1851</v>
      </c>
      <c r="C1131" s="2">
        <v>12</v>
      </c>
      <c r="D1131" s="2" t="s">
        <v>12</v>
      </c>
      <c r="E1131" s="294">
        <v>40499.999900000003</v>
      </c>
      <c r="F1131" s="296">
        <v>45200</v>
      </c>
      <c r="G1131" s="352">
        <v>0</v>
      </c>
      <c r="H1131" s="296">
        <f t="shared" si="214"/>
        <v>0</v>
      </c>
      <c r="I1131" s="122">
        <f t="shared" si="215"/>
        <v>0</v>
      </c>
      <c r="J1131" s="331">
        <f t="shared" si="216"/>
        <v>0</v>
      </c>
      <c r="K1131" s="292">
        <f>'09-RESUMEN'!$F$43/1375</f>
        <v>81431.961035221175</v>
      </c>
      <c r="L1131" s="122">
        <f>('ESTADO RESULTADOS'!$C$36+'ESTADO RESULTADOS'!$C$71)/1375</f>
        <v>24762.287272727273</v>
      </c>
      <c r="M1131" s="122">
        <v>0</v>
      </c>
      <c r="N1131" s="122">
        <f>SUM(E1131+K1131+L1131+M1131)</f>
        <v>146694.24820794843</v>
      </c>
      <c r="O1131" s="122">
        <f>N1131</f>
        <v>146694.24820794843</v>
      </c>
      <c r="P1131" s="336">
        <f t="shared" si="217"/>
        <v>-146694.24820794843</v>
      </c>
      <c r="Q1131" s="336">
        <f t="shared" si="218"/>
        <v>106194.24830794844</v>
      </c>
      <c r="R1131" s="303">
        <f t="shared" si="219"/>
        <v>2.6220802116088011</v>
      </c>
    </row>
    <row r="1132" spans="1:18" x14ac:dyDescent="0.3">
      <c r="A1132" s="2">
        <v>3421</v>
      </c>
      <c r="B1132" s="41" t="s">
        <v>933</v>
      </c>
      <c r="C1132" s="2">
        <v>12</v>
      </c>
      <c r="D1132" s="2" t="s">
        <v>12</v>
      </c>
      <c r="E1132" s="294">
        <v>6299.9998999999998</v>
      </c>
      <c r="F1132" s="296">
        <v>8500</v>
      </c>
      <c r="G1132" s="352">
        <v>0</v>
      </c>
      <c r="H1132" s="296">
        <f t="shared" si="214"/>
        <v>0</v>
      </c>
      <c r="I1132" s="122">
        <f t="shared" si="215"/>
        <v>0</v>
      </c>
      <c r="J1132" s="331">
        <f t="shared" si="216"/>
        <v>0</v>
      </c>
      <c r="K1132" s="292">
        <f>'09-RESUMEN'!$F$43/1375</f>
        <v>81431.961035221175</v>
      </c>
      <c r="L1132" s="122">
        <f>('ESTADO RESULTADOS'!$C$36+'ESTADO RESULTADOS'!$C$71)/1375</f>
        <v>24762.287272727273</v>
      </c>
      <c r="M1132" s="122">
        <v>0</v>
      </c>
      <c r="N1132" s="122">
        <f>SUM(E1132+K1132+L1132+M1132)</f>
        <v>112494.24820794845</v>
      </c>
      <c r="O1132" s="122">
        <f>N1132</f>
        <v>112494.24820794845</v>
      </c>
      <c r="P1132" s="336">
        <f t="shared" si="217"/>
        <v>-112494.24820794845</v>
      </c>
      <c r="Q1132" s="336">
        <f t="shared" si="218"/>
        <v>106194.24830794845</v>
      </c>
      <c r="R1132" s="303">
        <f t="shared" si="219"/>
        <v>16.856230157709756</v>
      </c>
    </row>
    <row r="1133" spans="1:18" x14ac:dyDescent="0.3">
      <c r="A1133" s="2">
        <v>3422</v>
      </c>
      <c r="B1133" s="41" t="s">
        <v>934</v>
      </c>
      <c r="C1133" s="2">
        <v>12</v>
      </c>
      <c r="D1133" s="2" t="s">
        <v>12</v>
      </c>
      <c r="E1133" s="294">
        <v>32700</v>
      </c>
      <c r="F1133" s="296">
        <v>38600</v>
      </c>
      <c r="G1133" s="352">
        <v>1</v>
      </c>
      <c r="H1133" s="296">
        <f t="shared" si="214"/>
        <v>32700</v>
      </c>
      <c r="I1133" s="122">
        <f t="shared" si="215"/>
        <v>38600</v>
      </c>
      <c r="J1133" s="331">
        <f t="shared" si="216"/>
        <v>5900</v>
      </c>
      <c r="K1133" s="292">
        <f>'09-RESUMEN'!$F$43/1375</f>
        <v>81431.961035221175</v>
      </c>
      <c r="L1133" s="122">
        <f>('ESTADO RESULTADOS'!$C$36+'ESTADO RESULTADOS'!$C$71)/1375</f>
        <v>24762.287272727273</v>
      </c>
      <c r="M1133" s="122">
        <v>0</v>
      </c>
      <c r="N1133" s="122">
        <f t="shared" ref="N1133:N1144" si="224">SUM(H1133+K1133+L1133+M1133)</f>
        <v>138894.24830794844</v>
      </c>
      <c r="O1133" s="122">
        <f t="shared" ref="O1133:O1144" si="225">N1133/G1133</f>
        <v>138894.24830794844</v>
      </c>
      <c r="P1133" s="336">
        <f t="shared" si="217"/>
        <v>-100294.24830794844</v>
      </c>
      <c r="Q1133" s="336">
        <f t="shared" si="218"/>
        <v>106194.24830794844</v>
      </c>
      <c r="R1133" s="303">
        <f t="shared" si="219"/>
        <v>3.2475305292950591</v>
      </c>
    </row>
    <row r="1134" spans="1:18" x14ac:dyDescent="0.3">
      <c r="A1134" s="2">
        <v>3423</v>
      </c>
      <c r="B1134" s="41" t="s">
        <v>1852</v>
      </c>
      <c r="C1134" s="2">
        <v>12</v>
      </c>
      <c r="D1134" s="2" t="s">
        <v>12</v>
      </c>
      <c r="E1134" s="294">
        <v>38700</v>
      </c>
      <c r="F1134" s="296">
        <v>45200</v>
      </c>
      <c r="G1134" s="352">
        <v>2</v>
      </c>
      <c r="H1134" s="296">
        <f t="shared" si="214"/>
        <v>77400</v>
      </c>
      <c r="I1134" s="122">
        <f t="shared" si="215"/>
        <v>90400</v>
      </c>
      <c r="J1134" s="331">
        <f t="shared" si="216"/>
        <v>13000</v>
      </c>
      <c r="K1134" s="292">
        <f>'09-RESUMEN'!$F$43/1375</f>
        <v>81431.961035221175</v>
      </c>
      <c r="L1134" s="122">
        <f>('ESTADO RESULTADOS'!$C$36+'ESTADO RESULTADOS'!$C$71)/1375</f>
        <v>24762.287272727273</v>
      </c>
      <c r="M1134" s="122">
        <v>0</v>
      </c>
      <c r="N1134" s="122">
        <f t="shared" si="224"/>
        <v>183594.24830794844</v>
      </c>
      <c r="O1134" s="122">
        <f t="shared" si="225"/>
        <v>91797.124153974219</v>
      </c>
      <c r="P1134" s="336">
        <f t="shared" si="217"/>
        <v>-93194.248307948437</v>
      </c>
      <c r="Q1134" s="336">
        <f t="shared" si="218"/>
        <v>53097.124153974219</v>
      </c>
      <c r="R1134" s="303">
        <f t="shared" si="219"/>
        <v>1.3720187119889979</v>
      </c>
    </row>
    <row r="1135" spans="1:18" x14ac:dyDescent="0.3">
      <c r="A1135" s="2">
        <v>3424</v>
      </c>
      <c r="B1135" s="41" t="s">
        <v>1853</v>
      </c>
      <c r="C1135" s="2">
        <v>4</v>
      </c>
      <c r="D1135" s="2" t="s">
        <v>12</v>
      </c>
      <c r="E1135" s="294">
        <v>34500</v>
      </c>
      <c r="F1135" s="296">
        <v>42500</v>
      </c>
      <c r="G1135" s="352">
        <v>1</v>
      </c>
      <c r="H1135" s="296">
        <f t="shared" si="214"/>
        <v>34500</v>
      </c>
      <c r="I1135" s="122">
        <f t="shared" si="215"/>
        <v>42500</v>
      </c>
      <c r="J1135" s="331">
        <f t="shared" si="216"/>
        <v>8000</v>
      </c>
      <c r="K1135" s="292">
        <f>'09-RESUMEN'!$F$43/1375</f>
        <v>81431.961035221175</v>
      </c>
      <c r="L1135" s="122">
        <f>('ESTADO RESULTADOS'!$C$36+'ESTADO RESULTADOS'!$C$71)/1375</f>
        <v>24762.287272727273</v>
      </c>
      <c r="M1135" s="122">
        <v>0</v>
      </c>
      <c r="N1135" s="122">
        <f t="shared" si="224"/>
        <v>140694.24830794844</v>
      </c>
      <c r="O1135" s="122">
        <f t="shared" si="225"/>
        <v>140694.24830794844</v>
      </c>
      <c r="P1135" s="336">
        <f t="shared" si="217"/>
        <v>-98194.248307948437</v>
      </c>
      <c r="Q1135" s="336">
        <f t="shared" si="218"/>
        <v>106194.24830794844</v>
      </c>
      <c r="R1135" s="303">
        <f t="shared" si="219"/>
        <v>3.078094153853578</v>
      </c>
    </row>
    <row r="1136" spans="1:18" x14ac:dyDescent="0.3">
      <c r="A1136" s="2">
        <v>3425</v>
      </c>
      <c r="B1136" s="41" t="s">
        <v>935</v>
      </c>
      <c r="C1136" s="2">
        <v>4</v>
      </c>
      <c r="D1136" s="2" t="s">
        <v>12</v>
      </c>
      <c r="E1136" s="294">
        <v>16800</v>
      </c>
      <c r="F1136" s="296">
        <v>20500</v>
      </c>
      <c r="G1136" s="352">
        <v>29</v>
      </c>
      <c r="H1136" s="296">
        <f t="shared" si="214"/>
        <v>487200</v>
      </c>
      <c r="I1136" s="122">
        <f t="shared" si="215"/>
        <v>594500</v>
      </c>
      <c r="J1136" s="331">
        <f t="shared" si="216"/>
        <v>107300</v>
      </c>
      <c r="K1136" s="292">
        <f>'09-RESUMEN'!$F$43/1375</f>
        <v>81431.961035221175</v>
      </c>
      <c r="L1136" s="122">
        <f>('ESTADO RESULTADOS'!$C$36+'ESTADO RESULTADOS'!$C$71)/1375</f>
        <v>24762.287272727273</v>
      </c>
      <c r="M1136" s="122">
        <v>0</v>
      </c>
      <c r="N1136" s="122">
        <f t="shared" si="224"/>
        <v>593394.24830794835</v>
      </c>
      <c r="O1136" s="122">
        <f t="shared" si="225"/>
        <v>20461.870631308564</v>
      </c>
      <c r="P1136" s="336">
        <f t="shared" si="217"/>
        <v>1105.75169205165</v>
      </c>
      <c r="Q1136" s="336">
        <f t="shared" si="218"/>
        <v>3661.870631308564</v>
      </c>
      <c r="R1136" s="303">
        <f t="shared" si="219"/>
        <v>0.2179684899588431</v>
      </c>
    </row>
    <row r="1137" spans="1:18" x14ac:dyDescent="0.3">
      <c r="A1137" s="2">
        <v>3426</v>
      </c>
      <c r="B1137" s="41" t="s">
        <v>936</v>
      </c>
      <c r="C1137" s="2">
        <v>5</v>
      </c>
      <c r="D1137" s="2" t="s">
        <v>12</v>
      </c>
      <c r="E1137" s="294">
        <v>981</v>
      </c>
      <c r="F1137" s="296">
        <v>1300</v>
      </c>
      <c r="G1137" s="352">
        <v>43</v>
      </c>
      <c r="H1137" s="296">
        <f t="shared" si="214"/>
        <v>42183</v>
      </c>
      <c r="I1137" s="122">
        <f t="shared" si="215"/>
        <v>55900</v>
      </c>
      <c r="J1137" s="331">
        <f t="shared" si="216"/>
        <v>13717</v>
      </c>
      <c r="K1137" s="292">
        <f>'09-RESUMEN'!$F$43/1375</f>
        <v>81431.961035221175</v>
      </c>
      <c r="L1137" s="122">
        <f>('ESTADO RESULTADOS'!$C$36+'ESTADO RESULTADOS'!$C$71)/1375</f>
        <v>24762.287272727273</v>
      </c>
      <c r="M1137" s="122">
        <v>0</v>
      </c>
      <c r="N1137" s="122">
        <f t="shared" si="224"/>
        <v>148377.24830794844</v>
      </c>
      <c r="O1137" s="122">
        <f t="shared" si="225"/>
        <v>3450.633681580196</v>
      </c>
      <c r="P1137" s="336">
        <f t="shared" si="217"/>
        <v>-92477.248307948437</v>
      </c>
      <c r="Q1137" s="336">
        <f t="shared" si="218"/>
        <v>2469.633681580196</v>
      </c>
      <c r="R1137" s="303">
        <f t="shared" si="219"/>
        <v>2.5174655265853172</v>
      </c>
    </row>
    <row r="1138" spans="1:18" x14ac:dyDescent="0.3">
      <c r="A1138" s="2">
        <v>3427</v>
      </c>
      <c r="B1138" s="41" t="s">
        <v>937</v>
      </c>
      <c r="C1138" s="2">
        <v>5</v>
      </c>
      <c r="D1138" s="2" t="s">
        <v>81</v>
      </c>
      <c r="E1138" s="294">
        <v>67000</v>
      </c>
      <c r="F1138" s="296">
        <v>80333.333333333328</v>
      </c>
      <c r="G1138" s="352">
        <v>25</v>
      </c>
      <c r="H1138" s="296">
        <f t="shared" si="214"/>
        <v>1675000</v>
      </c>
      <c r="I1138" s="122">
        <f t="shared" si="215"/>
        <v>2008333.3333333333</v>
      </c>
      <c r="J1138" s="331">
        <f t="shared" si="216"/>
        <v>333333.33333333326</v>
      </c>
      <c r="K1138" s="292">
        <f>'09-RESUMEN'!$F$43/1375</f>
        <v>81431.961035221175</v>
      </c>
      <c r="L1138" s="122">
        <f>('ESTADO RESULTADOS'!$C$36+'ESTADO RESULTADOS'!$C$71)/1375</f>
        <v>24762.287272727273</v>
      </c>
      <c r="M1138" s="122">
        <v>0</v>
      </c>
      <c r="N1138" s="122">
        <f t="shared" si="224"/>
        <v>1781194.2483079485</v>
      </c>
      <c r="O1138" s="122">
        <f t="shared" si="225"/>
        <v>71247.76993231794</v>
      </c>
      <c r="P1138" s="336">
        <f t="shared" si="217"/>
        <v>227139.08502538479</v>
      </c>
      <c r="Q1138" s="336">
        <f t="shared" si="218"/>
        <v>4247.7699323179404</v>
      </c>
      <c r="R1138" s="303">
        <f t="shared" si="219"/>
        <v>6.3399551228625978E-2</v>
      </c>
    </row>
    <row r="1139" spans="1:18" x14ac:dyDescent="0.3">
      <c r="A1139" s="2">
        <v>3428</v>
      </c>
      <c r="B1139" s="41" t="s">
        <v>938</v>
      </c>
      <c r="C1139" s="2">
        <v>5</v>
      </c>
      <c r="D1139" s="2" t="s">
        <v>913</v>
      </c>
      <c r="E1139" s="294">
        <v>278000</v>
      </c>
      <c r="F1139" s="296">
        <v>317000</v>
      </c>
      <c r="G1139" s="352">
        <v>3</v>
      </c>
      <c r="H1139" s="296">
        <f t="shared" si="214"/>
        <v>834000</v>
      </c>
      <c r="I1139" s="122">
        <f t="shared" si="215"/>
        <v>951000</v>
      </c>
      <c r="J1139" s="331">
        <f t="shared" si="216"/>
        <v>117000</v>
      </c>
      <c r="K1139" s="292">
        <f>'09-RESUMEN'!$F$43/1375</f>
        <v>81431.961035221175</v>
      </c>
      <c r="L1139" s="122">
        <f>('ESTADO RESULTADOS'!$C$36+'ESTADO RESULTADOS'!$C$71)/1375</f>
        <v>24762.287272727273</v>
      </c>
      <c r="M1139" s="122">
        <v>0</v>
      </c>
      <c r="N1139" s="122">
        <f t="shared" si="224"/>
        <v>940194.24830794835</v>
      </c>
      <c r="O1139" s="122">
        <f t="shared" si="225"/>
        <v>313398.0827693161</v>
      </c>
      <c r="P1139" s="336">
        <f t="shared" si="217"/>
        <v>10805.75169205165</v>
      </c>
      <c r="Q1139" s="336">
        <f t="shared" si="218"/>
        <v>35398.082769316097</v>
      </c>
      <c r="R1139" s="303">
        <f t="shared" si="219"/>
        <v>0.12733123298315144</v>
      </c>
    </row>
    <row r="1140" spans="1:18" x14ac:dyDescent="0.3">
      <c r="A1140" s="2">
        <v>3429</v>
      </c>
      <c r="B1140" s="41" t="s">
        <v>1854</v>
      </c>
      <c r="C1140" s="2">
        <v>4</v>
      </c>
      <c r="D1140" s="2" t="s">
        <v>35</v>
      </c>
      <c r="E1140" s="294">
        <v>13000</v>
      </c>
      <c r="F1140" s="296">
        <v>19750</v>
      </c>
      <c r="G1140" s="352">
        <v>6</v>
      </c>
      <c r="H1140" s="296">
        <f t="shared" si="214"/>
        <v>78000</v>
      </c>
      <c r="I1140" s="122">
        <f t="shared" si="215"/>
        <v>118500</v>
      </c>
      <c r="J1140" s="331">
        <f t="shared" si="216"/>
        <v>40500</v>
      </c>
      <c r="K1140" s="292">
        <f>'09-RESUMEN'!$F$43/1375</f>
        <v>81431.961035221175</v>
      </c>
      <c r="L1140" s="122">
        <f>('ESTADO RESULTADOS'!$C$36+'ESTADO RESULTADOS'!$C$71)/1375</f>
        <v>24762.287272727273</v>
      </c>
      <c r="M1140" s="122">
        <v>0</v>
      </c>
      <c r="N1140" s="122">
        <f t="shared" si="224"/>
        <v>184194.24830794844</v>
      </c>
      <c r="O1140" s="122">
        <f t="shared" si="225"/>
        <v>30699.041384658074</v>
      </c>
      <c r="P1140" s="336">
        <f t="shared" si="217"/>
        <v>-65694.248307948437</v>
      </c>
      <c r="Q1140" s="336">
        <f t="shared" si="218"/>
        <v>17699.041384658074</v>
      </c>
      <c r="R1140" s="303">
        <f t="shared" si="219"/>
        <v>1.361464721896775</v>
      </c>
    </row>
    <row r="1141" spans="1:18" x14ac:dyDescent="0.3">
      <c r="A1141" s="2">
        <v>3430</v>
      </c>
      <c r="B1141" s="41" t="s">
        <v>1855</v>
      </c>
      <c r="C1141" s="2">
        <v>6</v>
      </c>
      <c r="D1141" s="2" t="s">
        <v>81</v>
      </c>
      <c r="E1141" s="294">
        <v>184000</v>
      </c>
      <c r="F1141" s="296">
        <v>218000</v>
      </c>
      <c r="G1141" s="352">
        <v>21</v>
      </c>
      <c r="H1141" s="296">
        <f t="shared" si="214"/>
        <v>3864000</v>
      </c>
      <c r="I1141" s="122">
        <f t="shared" si="215"/>
        <v>4578000</v>
      </c>
      <c r="J1141" s="331">
        <f t="shared" si="216"/>
        <v>714000</v>
      </c>
      <c r="K1141" s="292">
        <f>'09-RESUMEN'!$F$43/1375</f>
        <v>81431.961035221175</v>
      </c>
      <c r="L1141" s="122">
        <f>('ESTADO RESULTADOS'!$C$36+'ESTADO RESULTADOS'!$C$71)/1375</f>
        <v>24762.287272727273</v>
      </c>
      <c r="M1141" s="122">
        <v>0</v>
      </c>
      <c r="N1141" s="122">
        <f t="shared" si="224"/>
        <v>3970194.2483079485</v>
      </c>
      <c r="O1141" s="122">
        <f t="shared" si="225"/>
        <v>189056.86896704516</v>
      </c>
      <c r="P1141" s="336">
        <f t="shared" si="217"/>
        <v>607805.75169205153</v>
      </c>
      <c r="Q1141" s="336">
        <f t="shared" si="218"/>
        <v>5056.8689670451568</v>
      </c>
      <c r="R1141" s="303">
        <f t="shared" si="219"/>
        <v>2.7482983516549764E-2</v>
      </c>
    </row>
    <row r="1142" spans="1:18" x14ac:dyDescent="0.3">
      <c r="A1142" s="2">
        <v>3431</v>
      </c>
      <c r="B1142" s="41" t="s">
        <v>939</v>
      </c>
      <c r="C1142" s="2">
        <v>8</v>
      </c>
      <c r="D1142" s="2" t="s">
        <v>16</v>
      </c>
      <c r="E1142" s="294">
        <v>110891</v>
      </c>
      <c r="F1142" s="296">
        <v>128400</v>
      </c>
      <c r="G1142" s="352">
        <v>2</v>
      </c>
      <c r="H1142" s="296">
        <f t="shared" si="214"/>
        <v>221782</v>
      </c>
      <c r="I1142" s="122">
        <f t="shared" si="215"/>
        <v>256800</v>
      </c>
      <c r="J1142" s="331">
        <f t="shared" si="216"/>
        <v>35018</v>
      </c>
      <c r="K1142" s="292">
        <f>'09-RESUMEN'!$F$43/1375</f>
        <v>81431.961035221175</v>
      </c>
      <c r="L1142" s="122">
        <f>('ESTADO RESULTADOS'!$C$36+'ESTADO RESULTADOS'!$C$71)/1375</f>
        <v>24762.287272727273</v>
      </c>
      <c r="M1142" s="122">
        <v>0</v>
      </c>
      <c r="N1142" s="122">
        <f t="shared" si="224"/>
        <v>327976.24830794847</v>
      </c>
      <c r="O1142" s="122">
        <f t="shared" si="225"/>
        <v>163988.12415397423</v>
      </c>
      <c r="P1142" s="336">
        <f t="shared" si="217"/>
        <v>-71176.248307948466</v>
      </c>
      <c r="Q1142" s="336">
        <f t="shared" si="218"/>
        <v>53097.124153974233</v>
      </c>
      <c r="R1142" s="303">
        <f t="shared" si="219"/>
        <v>0.47882266508530208</v>
      </c>
    </row>
    <row r="1143" spans="1:18" x14ac:dyDescent="0.3">
      <c r="A1143" s="2">
        <v>3432</v>
      </c>
      <c r="B1143" s="41" t="s">
        <v>940</v>
      </c>
      <c r="C1143" s="2">
        <v>6</v>
      </c>
      <c r="D1143" s="2" t="s">
        <v>12</v>
      </c>
      <c r="E1143" s="294">
        <v>275375.24</v>
      </c>
      <c r="F1143" s="296">
        <v>318333.33333333331</v>
      </c>
      <c r="G1143" s="352">
        <v>2</v>
      </c>
      <c r="H1143" s="296">
        <f t="shared" si="214"/>
        <v>550750.48</v>
      </c>
      <c r="I1143" s="122">
        <f t="shared" si="215"/>
        <v>636666.66666666663</v>
      </c>
      <c r="J1143" s="331">
        <f t="shared" si="216"/>
        <v>85916.186666666646</v>
      </c>
      <c r="K1143" s="292">
        <f>'09-RESUMEN'!$F$43/1375</f>
        <v>81431.961035221175</v>
      </c>
      <c r="L1143" s="122">
        <f>('ESTADO RESULTADOS'!$C$36+'ESTADO RESULTADOS'!$C$71)/1375</f>
        <v>24762.287272727273</v>
      </c>
      <c r="M1143" s="122">
        <v>0</v>
      </c>
      <c r="N1143" s="122">
        <f t="shared" si="224"/>
        <v>656944.72830794833</v>
      </c>
      <c r="O1143" s="122">
        <f t="shared" si="225"/>
        <v>328472.36415397417</v>
      </c>
      <c r="P1143" s="336">
        <f t="shared" si="217"/>
        <v>-20278.061641281703</v>
      </c>
      <c r="Q1143" s="336">
        <f t="shared" si="218"/>
        <v>53097.124153974175</v>
      </c>
      <c r="R1143" s="303">
        <f t="shared" si="219"/>
        <v>0.19281735044143467</v>
      </c>
    </row>
    <row r="1144" spans="1:18" x14ac:dyDescent="0.3">
      <c r="A1144" s="2">
        <v>3433</v>
      </c>
      <c r="B1144" s="41" t="s">
        <v>941</v>
      </c>
      <c r="C1144" s="2">
        <v>6</v>
      </c>
      <c r="D1144" s="2" t="s">
        <v>176</v>
      </c>
      <c r="E1144" s="294">
        <v>44816</v>
      </c>
      <c r="F1144" s="296">
        <v>52600</v>
      </c>
      <c r="G1144" s="352">
        <v>11</v>
      </c>
      <c r="H1144" s="296">
        <f t="shared" si="214"/>
        <v>492976</v>
      </c>
      <c r="I1144" s="122">
        <f t="shared" si="215"/>
        <v>578600</v>
      </c>
      <c r="J1144" s="331">
        <f t="shared" si="216"/>
        <v>85624</v>
      </c>
      <c r="K1144" s="292">
        <f>'09-RESUMEN'!$F$43/1375</f>
        <v>81431.961035221175</v>
      </c>
      <c r="L1144" s="122">
        <f>('ESTADO RESULTADOS'!$C$36+'ESTADO RESULTADOS'!$C$71)/1375</f>
        <v>24762.287272727273</v>
      </c>
      <c r="M1144" s="122">
        <v>0</v>
      </c>
      <c r="N1144" s="122">
        <f t="shared" si="224"/>
        <v>599170.24830794835</v>
      </c>
      <c r="O1144" s="122">
        <f t="shared" si="225"/>
        <v>54470.022573449853</v>
      </c>
      <c r="P1144" s="336">
        <f t="shared" si="217"/>
        <v>-20570.24830794835</v>
      </c>
      <c r="Q1144" s="336">
        <f t="shared" si="218"/>
        <v>9654.0225734498526</v>
      </c>
      <c r="R1144" s="303">
        <f t="shared" si="219"/>
        <v>0.21541464149968431</v>
      </c>
    </row>
    <row r="1145" spans="1:18" x14ac:dyDescent="0.3">
      <c r="A1145" s="2">
        <v>3434</v>
      </c>
      <c r="B1145" s="41" t="s">
        <v>1856</v>
      </c>
      <c r="C1145" s="2">
        <v>14</v>
      </c>
      <c r="D1145" s="2" t="s">
        <v>1857</v>
      </c>
      <c r="E1145" s="294">
        <v>17554.88</v>
      </c>
      <c r="F1145" s="296">
        <v>22000</v>
      </c>
      <c r="G1145" s="352">
        <v>0</v>
      </c>
      <c r="H1145" s="296">
        <f t="shared" si="214"/>
        <v>0</v>
      </c>
      <c r="I1145" s="122">
        <f t="shared" si="215"/>
        <v>0</v>
      </c>
      <c r="J1145" s="331">
        <f t="shared" si="216"/>
        <v>0</v>
      </c>
      <c r="K1145" s="292">
        <f>'09-RESUMEN'!$F$43/1375</f>
        <v>81431.961035221175</v>
      </c>
      <c r="L1145" s="122">
        <f>('ESTADO RESULTADOS'!$C$36+'ESTADO RESULTADOS'!$C$71)/1375</f>
        <v>24762.287272727273</v>
      </c>
      <c r="M1145" s="122">
        <v>0</v>
      </c>
      <c r="N1145" s="122">
        <f>SUM(E1145+K1145+L1145+M1145)</f>
        <v>123749.12830794846</v>
      </c>
      <c r="O1145" s="122">
        <f>N1145</f>
        <v>123749.12830794846</v>
      </c>
      <c r="P1145" s="336">
        <f t="shared" si="217"/>
        <v>-123749.12830794846</v>
      </c>
      <c r="Q1145" s="336">
        <f t="shared" si="218"/>
        <v>106194.24830794845</v>
      </c>
      <c r="R1145" s="303">
        <f t="shared" si="219"/>
        <v>6.0492722427010861</v>
      </c>
    </row>
    <row r="1146" spans="1:18" x14ac:dyDescent="0.3">
      <c r="A1146" s="2">
        <v>3435</v>
      </c>
      <c r="B1146" s="41" t="s">
        <v>942</v>
      </c>
      <c r="C1146" s="2">
        <v>8</v>
      </c>
      <c r="D1146" s="2" t="s">
        <v>5</v>
      </c>
      <c r="E1146" s="294">
        <v>64750</v>
      </c>
      <c r="F1146" s="296">
        <v>73983.333333333328</v>
      </c>
      <c r="G1146" s="352">
        <v>45</v>
      </c>
      <c r="H1146" s="296">
        <f t="shared" si="214"/>
        <v>2913750</v>
      </c>
      <c r="I1146" s="122">
        <f t="shared" si="215"/>
        <v>3329250</v>
      </c>
      <c r="J1146" s="331">
        <f t="shared" si="216"/>
        <v>415500</v>
      </c>
      <c r="K1146" s="292">
        <f>'09-RESUMEN'!$F$43/1375</f>
        <v>81431.961035221175</v>
      </c>
      <c r="L1146" s="122">
        <f>('ESTADO RESULTADOS'!$C$36+'ESTADO RESULTADOS'!$C$71)/1375</f>
        <v>24762.287272727273</v>
      </c>
      <c r="M1146" s="122">
        <v>0</v>
      </c>
      <c r="N1146" s="122">
        <f>SUM(H1146+K1146+L1146+M1146)</f>
        <v>3019944.2483079485</v>
      </c>
      <c r="O1146" s="122">
        <f>N1146/G1146</f>
        <v>67109.872184621083</v>
      </c>
      <c r="P1146" s="336">
        <f t="shared" si="217"/>
        <v>309305.75169205153</v>
      </c>
      <c r="Q1146" s="336">
        <f t="shared" si="218"/>
        <v>2359.8721846210829</v>
      </c>
      <c r="R1146" s="303">
        <f t="shared" si="219"/>
        <v>3.6445902465190472E-2</v>
      </c>
    </row>
    <row r="1147" spans="1:18" x14ac:dyDescent="0.3">
      <c r="A1147" s="2">
        <v>3436</v>
      </c>
      <c r="B1147" s="41" t="s">
        <v>1858</v>
      </c>
      <c r="C1147" s="2">
        <v>2</v>
      </c>
      <c r="D1147" s="2" t="s">
        <v>12</v>
      </c>
      <c r="E1147" s="294">
        <v>1880.0039999999999</v>
      </c>
      <c r="F1147" s="296">
        <v>2200</v>
      </c>
      <c r="G1147" s="352">
        <v>0</v>
      </c>
      <c r="H1147" s="296">
        <f t="shared" si="214"/>
        <v>0</v>
      </c>
      <c r="I1147" s="122">
        <f t="shared" si="215"/>
        <v>0</v>
      </c>
      <c r="J1147" s="331">
        <f t="shared" si="216"/>
        <v>0</v>
      </c>
      <c r="K1147" s="292">
        <f>'09-RESUMEN'!$F$43/1375</f>
        <v>81431.961035221175</v>
      </c>
      <c r="L1147" s="122">
        <f>('ESTADO RESULTADOS'!$C$36+'ESTADO RESULTADOS'!$C$71)/1375</f>
        <v>24762.287272727273</v>
      </c>
      <c r="M1147" s="122">
        <v>0</v>
      </c>
      <c r="N1147" s="122">
        <f>SUM(E1147+K1147+L1147+M1147)</f>
        <v>108074.25230794845</v>
      </c>
      <c r="O1147" s="122">
        <f>N1147</f>
        <v>108074.25230794845</v>
      </c>
      <c r="P1147" s="336">
        <f t="shared" si="217"/>
        <v>-108074.25230794845</v>
      </c>
      <c r="Q1147" s="336">
        <f t="shared" si="218"/>
        <v>106194.24830794845</v>
      </c>
      <c r="R1147" s="303">
        <f t="shared" si="219"/>
        <v>56.486182108095761</v>
      </c>
    </row>
    <row r="1148" spans="1:18" x14ac:dyDescent="0.3">
      <c r="A1148" s="2">
        <v>3437</v>
      </c>
      <c r="B1148" s="41" t="s">
        <v>943</v>
      </c>
      <c r="C1148" s="2">
        <v>10</v>
      </c>
      <c r="D1148" s="2" t="s">
        <v>12</v>
      </c>
      <c r="E1148" s="294">
        <v>4708.3333000000002</v>
      </c>
      <c r="F1148" s="296">
        <v>5700</v>
      </c>
      <c r="G1148" s="352">
        <v>0</v>
      </c>
      <c r="H1148" s="296">
        <f t="shared" si="214"/>
        <v>0</v>
      </c>
      <c r="I1148" s="122">
        <f t="shared" si="215"/>
        <v>0</v>
      </c>
      <c r="J1148" s="331">
        <f t="shared" si="216"/>
        <v>0</v>
      </c>
      <c r="K1148" s="292">
        <f>'09-RESUMEN'!$F$43/1375</f>
        <v>81431.961035221175</v>
      </c>
      <c r="L1148" s="122">
        <f>('ESTADO RESULTADOS'!$C$36+'ESTADO RESULTADOS'!$C$71)/1375</f>
        <v>24762.287272727273</v>
      </c>
      <c r="M1148" s="122">
        <v>0</v>
      </c>
      <c r="N1148" s="122">
        <f>SUM(E1148+K1148+L1148+M1148)</f>
        <v>110902.58160794845</v>
      </c>
      <c r="O1148" s="122">
        <f>N1148</f>
        <v>110902.58160794845</v>
      </c>
      <c r="P1148" s="336">
        <f t="shared" si="217"/>
        <v>-110902.58160794845</v>
      </c>
      <c r="Q1148" s="336">
        <f t="shared" si="218"/>
        <v>106194.24830794845</v>
      </c>
      <c r="R1148" s="303">
        <f t="shared" si="219"/>
        <v>22.554530773755641</v>
      </c>
    </row>
    <row r="1149" spans="1:18" x14ac:dyDescent="0.3">
      <c r="A1149" s="2">
        <v>3438</v>
      </c>
      <c r="B1149" s="41" t="s">
        <v>944</v>
      </c>
      <c r="C1149" s="2">
        <v>5</v>
      </c>
      <c r="D1149" s="2" t="s">
        <v>16</v>
      </c>
      <c r="E1149" s="294">
        <v>24702</v>
      </c>
      <c r="F1149" s="296">
        <v>32000</v>
      </c>
      <c r="G1149" s="352">
        <v>13</v>
      </c>
      <c r="H1149" s="296">
        <f t="shared" si="214"/>
        <v>321126</v>
      </c>
      <c r="I1149" s="122">
        <f t="shared" si="215"/>
        <v>416000</v>
      </c>
      <c r="J1149" s="331">
        <f t="shared" si="216"/>
        <v>94874</v>
      </c>
      <c r="K1149" s="292">
        <f>'09-RESUMEN'!$F$43/1375</f>
        <v>81431.961035221175</v>
      </c>
      <c r="L1149" s="122">
        <f>('ESTADO RESULTADOS'!$C$36+'ESTADO RESULTADOS'!$C$71)/1375</f>
        <v>24762.287272727273</v>
      </c>
      <c r="M1149" s="122">
        <v>0</v>
      </c>
      <c r="N1149" s="122">
        <f>SUM(H1149+K1149+L1149+M1149)</f>
        <v>427320.24830794847</v>
      </c>
      <c r="O1149" s="122">
        <f>N1149/G1149</f>
        <v>32870.788331380652</v>
      </c>
      <c r="P1149" s="336">
        <f t="shared" si="217"/>
        <v>-11320.248307948466</v>
      </c>
      <c r="Q1149" s="336">
        <f t="shared" si="218"/>
        <v>8168.7883313806524</v>
      </c>
      <c r="R1149" s="303">
        <f t="shared" si="219"/>
        <v>0.33069339856613444</v>
      </c>
    </row>
    <row r="1150" spans="1:18" x14ac:dyDescent="0.3">
      <c r="A1150" s="2">
        <v>3440</v>
      </c>
      <c r="B1150" s="41" t="s">
        <v>945</v>
      </c>
      <c r="C1150" s="2">
        <v>12</v>
      </c>
      <c r="D1150" s="2" t="s">
        <v>12</v>
      </c>
      <c r="E1150" s="294">
        <v>6200</v>
      </c>
      <c r="F1150" s="296">
        <v>9000</v>
      </c>
      <c r="G1150" s="352">
        <v>1</v>
      </c>
      <c r="H1150" s="296">
        <f t="shared" si="214"/>
        <v>6200</v>
      </c>
      <c r="I1150" s="122">
        <f t="shared" si="215"/>
        <v>9000</v>
      </c>
      <c r="J1150" s="331">
        <f t="shared" si="216"/>
        <v>2800</v>
      </c>
      <c r="K1150" s="292">
        <f>'09-RESUMEN'!$F$43/1375</f>
        <v>81431.961035221175</v>
      </c>
      <c r="L1150" s="122">
        <f>('ESTADO RESULTADOS'!$C$36+'ESTADO RESULTADOS'!$C$71)/1375</f>
        <v>24762.287272727273</v>
      </c>
      <c r="M1150" s="122">
        <v>0</v>
      </c>
      <c r="N1150" s="122">
        <f>SUM(H1150+K1150+L1150+M1150)</f>
        <v>112394.24830794845</v>
      </c>
      <c r="O1150" s="122">
        <f>N1150/G1150</f>
        <v>112394.24830794845</v>
      </c>
      <c r="P1150" s="336">
        <f t="shared" si="217"/>
        <v>-103394.24830794845</v>
      </c>
      <c r="Q1150" s="336">
        <f t="shared" si="218"/>
        <v>106194.24830794845</v>
      </c>
      <c r="R1150" s="303">
        <f t="shared" si="219"/>
        <v>17.128104565798136</v>
      </c>
    </row>
    <row r="1151" spans="1:18" x14ac:dyDescent="0.3">
      <c r="A1151" s="2">
        <v>3441</v>
      </c>
      <c r="B1151" s="41" t="s">
        <v>946</v>
      </c>
      <c r="C1151" s="2">
        <v>12</v>
      </c>
      <c r="D1151" s="2" t="s">
        <v>500</v>
      </c>
      <c r="E1151" s="294">
        <v>7500</v>
      </c>
      <c r="F1151" s="296">
        <v>9000</v>
      </c>
      <c r="G1151" s="352">
        <v>0</v>
      </c>
      <c r="H1151" s="296">
        <f t="shared" si="214"/>
        <v>0</v>
      </c>
      <c r="I1151" s="122">
        <f t="shared" si="215"/>
        <v>0</v>
      </c>
      <c r="J1151" s="331">
        <f t="shared" si="216"/>
        <v>0</v>
      </c>
      <c r="K1151" s="292">
        <f>'09-RESUMEN'!$F$43/1375</f>
        <v>81431.961035221175</v>
      </c>
      <c r="L1151" s="122">
        <f>('ESTADO RESULTADOS'!$C$36+'ESTADO RESULTADOS'!$C$71)/1375</f>
        <v>24762.287272727273</v>
      </c>
      <c r="M1151" s="122">
        <v>0</v>
      </c>
      <c r="N1151" s="122">
        <f t="shared" ref="N1151:N1156" si="226">SUM(E1151+K1151+L1151+M1151)</f>
        <v>113694.24830794845</v>
      </c>
      <c r="O1151" s="122">
        <f t="shared" ref="O1151:O1156" si="227">N1151</f>
        <v>113694.24830794845</v>
      </c>
      <c r="P1151" s="336">
        <f t="shared" si="217"/>
        <v>-113694.24830794845</v>
      </c>
      <c r="Q1151" s="336">
        <f t="shared" si="218"/>
        <v>106194.24830794845</v>
      </c>
      <c r="R1151" s="303">
        <f t="shared" si="219"/>
        <v>14.159233107726461</v>
      </c>
    </row>
    <row r="1152" spans="1:18" x14ac:dyDescent="0.3">
      <c r="A1152" s="2">
        <v>3443</v>
      </c>
      <c r="B1152" s="41" t="s">
        <v>1859</v>
      </c>
      <c r="C1152" s="2">
        <v>2</v>
      </c>
      <c r="D1152" s="2" t="s">
        <v>12</v>
      </c>
      <c r="E1152" s="294">
        <v>188600</v>
      </c>
      <c r="F1152" s="296">
        <v>198500</v>
      </c>
      <c r="G1152" s="352">
        <v>0</v>
      </c>
      <c r="H1152" s="296">
        <f t="shared" si="214"/>
        <v>0</v>
      </c>
      <c r="I1152" s="122">
        <f t="shared" si="215"/>
        <v>0</v>
      </c>
      <c r="J1152" s="331">
        <f t="shared" si="216"/>
        <v>0</v>
      </c>
      <c r="K1152" s="292">
        <f>'09-RESUMEN'!$F$43/1375</f>
        <v>81431.961035221175</v>
      </c>
      <c r="L1152" s="122">
        <f>('ESTADO RESULTADOS'!$C$36+'ESTADO RESULTADOS'!$C$71)/1375</f>
        <v>24762.287272727273</v>
      </c>
      <c r="M1152" s="122">
        <v>0</v>
      </c>
      <c r="N1152" s="122">
        <f t="shared" si="226"/>
        <v>294794.24830794847</v>
      </c>
      <c r="O1152" s="122">
        <f t="shared" si="227"/>
        <v>294794.24830794847</v>
      </c>
      <c r="P1152" s="336">
        <f t="shared" si="217"/>
        <v>-294794.24830794847</v>
      </c>
      <c r="Q1152" s="336">
        <f t="shared" si="218"/>
        <v>106194.24830794847</v>
      </c>
      <c r="R1152" s="303">
        <f t="shared" si="219"/>
        <v>0.56306600375370341</v>
      </c>
    </row>
    <row r="1153" spans="1:18" x14ac:dyDescent="0.3">
      <c r="A1153" s="2">
        <v>3444</v>
      </c>
      <c r="B1153" s="41" t="s">
        <v>1860</v>
      </c>
      <c r="C1153" s="2">
        <v>2</v>
      </c>
      <c r="D1153" s="2" t="s">
        <v>10</v>
      </c>
      <c r="E1153" s="294">
        <v>168945</v>
      </c>
      <c r="F1153" s="296">
        <v>176500</v>
      </c>
      <c r="G1153" s="352">
        <v>0</v>
      </c>
      <c r="H1153" s="296">
        <f t="shared" si="214"/>
        <v>0</v>
      </c>
      <c r="I1153" s="122">
        <f t="shared" si="215"/>
        <v>0</v>
      </c>
      <c r="J1153" s="331">
        <f t="shared" si="216"/>
        <v>0</v>
      </c>
      <c r="K1153" s="292">
        <f>'09-RESUMEN'!$F$43/1375</f>
        <v>81431.961035221175</v>
      </c>
      <c r="L1153" s="122">
        <f>('ESTADO RESULTADOS'!$C$36+'ESTADO RESULTADOS'!$C$71)/1375</f>
        <v>24762.287272727273</v>
      </c>
      <c r="M1153" s="122">
        <v>0</v>
      </c>
      <c r="N1153" s="122">
        <f t="shared" si="226"/>
        <v>275139.24830794847</v>
      </c>
      <c r="O1153" s="122">
        <f t="shared" si="227"/>
        <v>275139.24830794847</v>
      </c>
      <c r="P1153" s="336">
        <f t="shared" si="217"/>
        <v>-275139.24830794847</v>
      </c>
      <c r="Q1153" s="336">
        <f t="shared" si="218"/>
        <v>106194.24830794847</v>
      </c>
      <c r="R1153" s="303">
        <f t="shared" si="219"/>
        <v>0.62857289832755314</v>
      </c>
    </row>
    <row r="1154" spans="1:18" x14ac:dyDescent="0.3">
      <c r="A1154" s="2">
        <v>3445</v>
      </c>
      <c r="B1154" s="41" t="s">
        <v>1861</v>
      </c>
      <c r="C1154" s="2">
        <v>2</v>
      </c>
      <c r="D1154" s="2" t="s">
        <v>12</v>
      </c>
      <c r="E1154" s="294">
        <v>152700</v>
      </c>
      <c r="F1154" s="296">
        <v>165000</v>
      </c>
      <c r="G1154" s="352">
        <v>0</v>
      </c>
      <c r="H1154" s="296">
        <f t="shared" si="214"/>
        <v>0</v>
      </c>
      <c r="I1154" s="122">
        <f t="shared" si="215"/>
        <v>0</v>
      </c>
      <c r="J1154" s="331">
        <f t="shared" si="216"/>
        <v>0</v>
      </c>
      <c r="K1154" s="292">
        <f>'09-RESUMEN'!$F$43/1375</f>
        <v>81431.961035221175</v>
      </c>
      <c r="L1154" s="122">
        <f>('ESTADO RESULTADOS'!$C$36+'ESTADO RESULTADOS'!$C$71)/1375</f>
        <v>24762.287272727273</v>
      </c>
      <c r="M1154" s="122">
        <v>0</v>
      </c>
      <c r="N1154" s="122">
        <f t="shared" si="226"/>
        <v>258894.24830794844</v>
      </c>
      <c r="O1154" s="122">
        <f t="shared" si="227"/>
        <v>258894.24830794844</v>
      </c>
      <c r="P1154" s="336">
        <f t="shared" si="217"/>
        <v>-258894.24830794844</v>
      </c>
      <c r="Q1154" s="336">
        <f t="shared" si="218"/>
        <v>106194.24830794844</v>
      </c>
      <c r="R1154" s="303">
        <f t="shared" si="219"/>
        <v>0.69544366933823465</v>
      </c>
    </row>
    <row r="1155" spans="1:18" x14ac:dyDescent="0.3">
      <c r="A1155" s="2">
        <v>3446</v>
      </c>
      <c r="B1155" s="41" t="s">
        <v>1862</v>
      </c>
      <c r="C1155" s="2">
        <v>7</v>
      </c>
      <c r="D1155" s="2" t="s">
        <v>12</v>
      </c>
      <c r="E1155" s="294">
        <v>1200</v>
      </c>
      <c r="F1155" s="296">
        <v>1500</v>
      </c>
      <c r="G1155" s="352">
        <v>0</v>
      </c>
      <c r="H1155" s="296">
        <f t="shared" si="214"/>
        <v>0</v>
      </c>
      <c r="I1155" s="122">
        <f t="shared" si="215"/>
        <v>0</v>
      </c>
      <c r="J1155" s="331">
        <f t="shared" si="216"/>
        <v>0</v>
      </c>
      <c r="K1155" s="292">
        <f>'09-RESUMEN'!$F$43/1375</f>
        <v>81431.961035221175</v>
      </c>
      <c r="L1155" s="122">
        <f>('ESTADO RESULTADOS'!$C$36+'ESTADO RESULTADOS'!$C$71)/1375</f>
        <v>24762.287272727273</v>
      </c>
      <c r="M1155" s="122">
        <v>0</v>
      </c>
      <c r="N1155" s="122">
        <f t="shared" si="226"/>
        <v>107394.24830794845</v>
      </c>
      <c r="O1155" s="122">
        <f t="shared" si="227"/>
        <v>107394.24830794845</v>
      </c>
      <c r="P1155" s="336">
        <f t="shared" si="217"/>
        <v>-107394.24830794845</v>
      </c>
      <c r="Q1155" s="336">
        <f t="shared" si="218"/>
        <v>106194.24830794845</v>
      </c>
      <c r="R1155" s="303">
        <f t="shared" si="219"/>
        <v>88.495206923290382</v>
      </c>
    </row>
    <row r="1156" spans="1:18" x14ac:dyDescent="0.3">
      <c r="A1156" s="2">
        <v>3448</v>
      </c>
      <c r="B1156" s="41" t="s">
        <v>1863</v>
      </c>
      <c r="C1156" s="2">
        <v>1</v>
      </c>
      <c r="D1156" s="2" t="s">
        <v>237</v>
      </c>
      <c r="E1156" s="294">
        <v>92000</v>
      </c>
      <c r="F1156" s="296">
        <v>102000</v>
      </c>
      <c r="G1156" s="352">
        <v>0</v>
      </c>
      <c r="H1156" s="296">
        <f t="shared" ref="H1156:H1219" si="228">E1156*G1156</f>
        <v>0</v>
      </c>
      <c r="I1156" s="122">
        <f t="shared" ref="I1156:I1219" si="229">F1156*G1156</f>
        <v>0</v>
      </c>
      <c r="J1156" s="331">
        <f t="shared" ref="J1156:J1219" si="230">I1156-H1156</f>
        <v>0</v>
      </c>
      <c r="K1156" s="292">
        <f>'09-RESUMEN'!$F$43/1375</f>
        <v>81431.961035221175</v>
      </c>
      <c r="L1156" s="122">
        <f>('ESTADO RESULTADOS'!$C$36+'ESTADO RESULTADOS'!$C$71)/1375</f>
        <v>24762.287272727273</v>
      </c>
      <c r="M1156" s="122">
        <v>0</v>
      </c>
      <c r="N1156" s="122">
        <f t="shared" si="226"/>
        <v>198194.24830794844</v>
      </c>
      <c r="O1156" s="122">
        <f t="shared" si="227"/>
        <v>198194.24830794844</v>
      </c>
      <c r="P1156" s="336">
        <f t="shared" si="217"/>
        <v>-198194.24830794844</v>
      </c>
      <c r="Q1156" s="336">
        <f t="shared" si="218"/>
        <v>106194.24830794844</v>
      </c>
      <c r="R1156" s="303">
        <f t="shared" si="219"/>
        <v>1.1542853076950916</v>
      </c>
    </row>
    <row r="1157" spans="1:18" x14ac:dyDescent="0.3">
      <c r="A1157" s="2">
        <v>3449</v>
      </c>
      <c r="B1157" s="41" t="s">
        <v>947</v>
      </c>
      <c r="C1157" s="2">
        <v>12</v>
      </c>
      <c r="D1157" s="2" t="s">
        <v>12</v>
      </c>
      <c r="E1157" s="294">
        <v>27700</v>
      </c>
      <c r="F1157" s="296">
        <v>33000</v>
      </c>
      <c r="G1157" s="352">
        <v>4</v>
      </c>
      <c r="H1157" s="296">
        <f t="shared" si="228"/>
        <v>110800</v>
      </c>
      <c r="I1157" s="122">
        <f t="shared" si="229"/>
        <v>132000</v>
      </c>
      <c r="J1157" s="331">
        <f t="shared" si="230"/>
        <v>21200</v>
      </c>
      <c r="K1157" s="292">
        <f>'09-RESUMEN'!$F$43/1375</f>
        <v>81431.961035221175</v>
      </c>
      <c r="L1157" s="122">
        <f>('ESTADO RESULTADOS'!$C$36+'ESTADO RESULTADOS'!$C$71)/1375</f>
        <v>24762.287272727273</v>
      </c>
      <c r="M1157" s="122">
        <v>0</v>
      </c>
      <c r="N1157" s="122">
        <f>SUM(H1157+K1157+L1157+M1157)</f>
        <v>216994.24830794844</v>
      </c>
      <c r="O1157" s="122">
        <f>N1157/G1157</f>
        <v>54248.562076987109</v>
      </c>
      <c r="P1157" s="336">
        <f t="shared" ref="P1157:P1220" si="231">I1157-N1157</f>
        <v>-84994.248307948437</v>
      </c>
      <c r="Q1157" s="336">
        <f t="shared" ref="Q1157:Q1220" si="232">O1157-E1157</f>
        <v>26548.562076987109</v>
      </c>
      <c r="R1157" s="303">
        <f t="shared" ref="R1157:R1220" si="233">Q1157/E1157</f>
        <v>0.95843184393455272</v>
      </c>
    </row>
    <row r="1158" spans="1:18" x14ac:dyDescent="0.3">
      <c r="A1158" s="2">
        <v>3450</v>
      </c>
      <c r="B1158" s="41" t="s">
        <v>948</v>
      </c>
      <c r="C1158" s="2">
        <v>12</v>
      </c>
      <c r="D1158" s="2" t="s">
        <v>12</v>
      </c>
      <c r="E1158" s="294">
        <v>24000</v>
      </c>
      <c r="F1158" s="296">
        <v>32000</v>
      </c>
      <c r="G1158" s="352">
        <v>4</v>
      </c>
      <c r="H1158" s="296">
        <f t="shared" si="228"/>
        <v>96000</v>
      </c>
      <c r="I1158" s="122">
        <f t="shared" si="229"/>
        <v>128000</v>
      </c>
      <c r="J1158" s="331">
        <f t="shared" si="230"/>
        <v>32000</v>
      </c>
      <c r="K1158" s="292">
        <f>'09-RESUMEN'!$F$43/1375</f>
        <v>81431.961035221175</v>
      </c>
      <c r="L1158" s="122">
        <f>('ESTADO RESULTADOS'!$C$36+'ESTADO RESULTADOS'!$C$71)/1375</f>
        <v>24762.287272727273</v>
      </c>
      <c r="M1158" s="122">
        <v>0</v>
      </c>
      <c r="N1158" s="122">
        <f>SUM(H1158+K1158+L1158+M1158)</f>
        <v>202194.24830794844</v>
      </c>
      <c r="O1158" s="122">
        <f>N1158/G1158</f>
        <v>50548.562076987109</v>
      </c>
      <c r="P1158" s="336">
        <f t="shared" si="231"/>
        <v>-74194.248307948437</v>
      </c>
      <c r="Q1158" s="336">
        <f t="shared" si="232"/>
        <v>26548.562076987109</v>
      </c>
      <c r="R1158" s="303">
        <f t="shared" si="233"/>
        <v>1.1061900865411296</v>
      </c>
    </row>
    <row r="1159" spans="1:18" x14ac:dyDescent="0.3">
      <c r="A1159" s="2">
        <v>3454</v>
      </c>
      <c r="B1159" s="41" t="s">
        <v>1864</v>
      </c>
      <c r="C1159" s="2">
        <v>14</v>
      </c>
      <c r="D1159" s="2" t="s">
        <v>12</v>
      </c>
      <c r="E1159" s="294">
        <v>32204</v>
      </c>
      <c r="F1159" s="296">
        <v>42000</v>
      </c>
      <c r="G1159" s="352">
        <v>1</v>
      </c>
      <c r="H1159" s="296">
        <f t="shared" si="228"/>
        <v>32204</v>
      </c>
      <c r="I1159" s="122">
        <f t="shared" si="229"/>
        <v>42000</v>
      </c>
      <c r="J1159" s="331">
        <f t="shared" si="230"/>
        <v>9796</v>
      </c>
      <c r="K1159" s="292">
        <f>'09-RESUMEN'!$F$43/1375</f>
        <v>81431.961035221175</v>
      </c>
      <c r="L1159" s="122">
        <f>('ESTADO RESULTADOS'!$C$36+'ESTADO RESULTADOS'!$C$71)/1375</f>
        <v>24762.287272727273</v>
      </c>
      <c r="M1159" s="122">
        <v>0</v>
      </c>
      <c r="N1159" s="122">
        <f>SUM(H1159+K1159+L1159+M1159)</f>
        <v>138398.24830794844</v>
      </c>
      <c r="O1159" s="122">
        <f>N1159/G1159</f>
        <v>138398.24830794844</v>
      </c>
      <c r="P1159" s="336">
        <f t="shared" si="231"/>
        <v>-96398.248307948437</v>
      </c>
      <c r="Q1159" s="336">
        <f t="shared" si="232"/>
        <v>106194.24830794844</v>
      </c>
      <c r="R1159" s="303">
        <f t="shared" si="233"/>
        <v>3.2975483886457719</v>
      </c>
    </row>
    <row r="1160" spans="1:18" x14ac:dyDescent="0.3">
      <c r="A1160" s="2">
        <v>3455</v>
      </c>
      <c r="B1160" s="41" t="s">
        <v>1865</v>
      </c>
      <c r="C1160" s="2">
        <v>14</v>
      </c>
      <c r="D1160" s="2" t="s">
        <v>12</v>
      </c>
      <c r="E1160" s="294">
        <v>24000</v>
      </c>
      <c r="F1160" s="296">
        <v>28000</v>
      </c>
      <c r="G1160" s="352">
        <v>0</v>
      </c>
      <c r="H1160" s="296">
        <f t="shared" si="228"/>
        <v>0</v>
      </c>
      <c r="I1160" s="122">
        <f t="shared" si="229"/>
        <v>0</v>
      </c>
      <c r="J1160" s="331">
        <f t="shared" si="230"/>
        <v>0</v>
      </c>
      <c r="K1160" s="292">
        <f>'09-RESUMEN'!$F$43/1375</f>
        <v>81431.961035221175</v>
      </c>
      <c r="L1160" s="122">
        <f>('ESTADO RESULTADOS'!$C$36+'ESTADO RESULTADOS'!$C$71)/1375</f>
        <v>24762.287272727273</v>
      </c>
      <c r="M1160" s="122">
        <v>0</v>
      </c>
      <c r="N1160" s="122">
        <f>SUM(E1160+K1160+L1160+M1160)</f>
        <v>130194.24830794845</v>
      </c>
      <c r="O1160" s="122">
        <f>N1160</f>
        <v>130194.24830794845</v>
      </c>
      <c r="P1160" s="336">
        <f t="shared" si="231"/>
        <v>-130194.24830794845</v>
      </c>
      <c r="Q1160" s="336">
        <f t="shared" si="232"/>
        <v>106194.24830794845</v>
      </c>
      <c r="R1160" s="303">
        <f t="shared" si="233"/>
        <v>4.4247603461645184</v>
      </c>
    </row>
    <row r="1161" spans="1:18" x14ac:dyDescent="0.3">
      <c r="A1161" s="2">
        <v>3456</v>
      </c>
      <c r="B1161" s="41" t="s">
        <v>1866</v>
      </c>
      <c r="C1161" s="2">
        <v>6</v>
      </c>
      <c r="D1161" s="2" t="s">
        <v>12</v>
      </c>
      <c r="E1161" s="294">
        <v>41300</v>
      </c>
      <c r="F1161" s="296">
        <v>45000</v>
      </c>
      <c r="G1161" s="352">
        <v>2</v>
      </c>
      <c r="H1161" s="296">
        <f t="shared" si="228"/>
        <v>82600</v>
      </c>
      <c r="I1161" s="122">
        <f t="shared" si="229"/>
        <v>90000</v>
      </c>
      <c r="J1161" s="331">
        <f t="shared" si="230"/>
        <v>7400</v>
      </c>
      <c r="K1161" s="292">
        <f>'09-RESUMEN'!$F$43/1375</f>
        <v>81431.961035221175</v>
      </c>
      <c r="L1161" s="122">
        <f>('ESTADO RESULTADOS'!$C$36+'ESTADO RESULTADOS'!$C$71)/1375</f>
        <v>24762.287272727273</v>
      </c>
      <c r="M1161" s="122">
        <v>0</v>
      </c>
      <c r="N1161" s="122">
        <f>SUM(H1161+K1161+L1161+M1161)</f>
        <v>188794.24830794844</v>
      </c>
      <c r="O1161" s="122">
        <f>N1161/G1161</f>
        <v>94397.124153974219</v>
      </c>
      <c r="P1161" s="336">
        <f t="shared" si="231"/>
        <v>-98794.248307948437</v>
      </c>
      <c r="Q1161" s="336">
        <f t="shared" si="232"/>
        <v>53097.124153974219</v>
      </c>
      <c r="R1161" s="303">
        <f t="shared" si="233"/>
        <v>1.2856446526386009</v>
      </c>
    </row>
    <row r="1162" spans="1:18" x14ac:dyDescent="0.3">
      <c r="A1162" s="2">
        <v>3457</v>
      </c>
      <c r="B1162" s="41" t="s">
        <v>1867</v>
      </c>
      <c r="C1162" s="2">
        <v>5</v>
      </c>
      <c r="D1162" s="2" t="s">
        <v>12</v>
      </c>
      <c r="E1162" s="294">
        <v>25750</v>
      </c>
      <c r="F1162" s="296">
        <v>32000</v>
      </c>
      <c r="G1162" s="352">
        <v>0</v>
      </c>
      <c r="H1162" s="296">
        <f t="shared" si="228"/>
        <v>0</v>
      </c>
      <c r="I1162" s="122">
        <f t="shared" si="229"/>
        <v>0</v>
      </c>
      <c r="J1162" s="331">
        <f t="shared" si="230"/>
        <v>0</v>
      </c>
      <c r="K1162" s="292">
        <f>'09-RESUMEN'!$F$43/1375</f>
        <v>81431.961035221175</v>
      </c>
      <c r="L1162" s="122">
        <f>('ESTADO RESULTADOS'!$C$36+'ESTADO RESULTADOS'!$C$71)/1375</f>
        <v>24762.287272727273</v>
      </c>
      <c r="M1162" s="122">
        <v>0</v>
      </c>
      <c r="N1162" s="122">
        <f>SUM(E1162+K1162+L1162+M1162)</f>
        <v>131944.24830794844</v>
      </c>
      <c r="O1162" s="122">
        <f>N1162</f>
        <v>131944.24830794844</v>
      </c>
      <c r="P1162" s="336">
        <f t="shared" si="231"/>
        <v>-131944.24830794844</v>
      </c>
      <c r="Q1162" s="336">
        <f t="shared" si="232"/>
        <v>106194.24830794844</v>
      </c>
      <c r="R1162" s="303">
        <f t="shared" si="233"/>
        <v>4.1240484779785804</v>
      </c>
    </row>
    <row r="1163" spans="1:18" x14ac:dyDescent="0.3">
      <c r="A1163" s="2">
        <v>3459</v>
      </c>
      <c r="B1163" s="41" t="s">
        <v>1868</v>
      </c>
      <c r="C1163" s="2">
        <v>7</v>
      </c>
      <c r="D1163" s="2" t="s">
        <v>12</v>
      </c>
      <c r="E1163" s="294">
        <v>12000</v>
      </c>
      <c r="F1163" s="296">
        <v>16500</v>
      </c>
      <c r="G1163" s="352">
        <v>0</v>
      </c>
      <c r="H1163" s="296">
        <f t="shared" si="228"/>
        <v>0</v>
      </c>
      <c r="I1163" s="122">
        <f t="shared" si="229"/>
        <v>0</v>
      </c>
      <c r="J1163" s="331">
        <f t="shared" si="230"/>
        <v>0</v>
      </c>
      <c r="K1163" s="292">
        <f>'09-RESUMEN'!$F$43/1375</f>
        <v>81431.961035221175</v>
      </c>
      <c r="L1163" s="122">
        <f>('ESTADO RESULTADOS'!$C$36+'ESTADO RESULTADOS'!$C$71)/1375</f>
        <v>24762.287272727273</v>
      </c>
      <c r="M1163" s="122">
        <v>0</v>
      </c>
      <c r="N1163" s="122">
        <f>SUM(E1163+K1163+L1163+M1163)</f>
        <v>118194.24830794845</v>
      </c>
      <c r="O1163" s="122">
        <f>N1163</f>
        <v>118194.24830794845</v>
      </c>
      <c r="P1163" s="336">
        <f t="shared" si="231"/>
        <v>-118194.24830794845</v>
      </c>
      <c r="Q1163" s="336">
        <f t="shared" si="232"/>
        <v>106194.24830794845</v>
      </c>
      <c r="R1163" s="303">
        <f t="shared" si="233"/>
        <v>8.8495206923290368</v>
      </c>
    </row>
    <row r="1164" spans="1:18" x14ac:dyDescent="0.3">
      <c r="A1164" s="2">
        <v>3460</v>
      </c>
      <c r="B1164" s="41" t="s">
        <v>1869</v>
      </c>
      <c r="C1164" s="2">
        <v>9</v>
      </c>
      <c r="D1164" s="2" t="s">
        <v>12</v>
      </c>
      <c r="E1164" s="294">
        <v>35000</v>
      </c>
      <c r="F1164" s="296">
        <v>52000</v>
      </c>
      <c r="G1164" s="352">
        <v>0</v>
      </c>
      <c r="H1164" s="296">
        <f t="shared" si="228"/>
        <v>0</v>
      </c>
      <c r="I1164" s="122">
        <f t="shared" si="229"/>
        <v>0</v>
      </c>
      <c r="J1164" s="331">
        <f t="shared" si="230"/>
        <v>0</v>
      </c>
      <c r="K1164" s="292">
        <f>'09-RESUMEN'!$F$43/1375</f>
        <v>81431.961035221175</v>
      </c>
      <c r="L1164" s="122">
        <f>('ESTADO RESULTADOS'!$C$36+'ESTADO RESULTADOS'!$C$71)/1375</f>
        <v>24762.287272727273</v>
      </c>
      <c r="M1164" s="122">
        <v>0</v>
      </c>
      <c r="N1164" s="122">
        <f>SUM(E1164+K1164+L1164+M1164)</f>
        <v>141194.24830794844</v>
      </c>
      <c r="O1164" s="122">
        <f>N1164</f>
        <v>141194.24830794844</v>
      </c>
      <c r="P1164" s="336">
        <f t="shared" si="231"/>
        <v>-141194.24830794844</v>
      </c>
      <c r="Q1164" s="336">
        <f t="shared" si="232"/>
        <v>106194.24830794844</v>
      </c>
      <c r="R1164" s="303">
        <f t="shared" si="233"/>
        <v>3.0341213802270981</v>
      </c>
    </row>
    <row r="1165" spans="1:18" x14ac:dyDescent="0.3">
      <c r="A1165" s="2">
        <v>3461</v>
      </c>
      <c r="B1165" s="41" t="s">
        <v>949</v>
      </c>
      <c r="C1165" s="2">
        <v>5</v>
      </c>
      <c r="D1165" s="2" t="s">
        <v>12</v>
      </c>
      <c r="E1165" s="294">
        <v>205000</v>
      </c>
      <c r="F1165" s="296">
        <v>258250</v>
      </c>
      <c r="G1165" s="352">
        <v>2</v>
      </c>
      <c r="H1165" s="296">
        <f t="shared" si="228"/>
        <v>410000</v>
      </c>
      <c r="I1165" s="122">
        <f t="shared" si="229"/>
        <v>516500</v>
      </c>
      <c r="J1165" s="331">
        <f t="shared" si="230"/>
        <v>106500</v>
      </c>
      <c r="K1165" s="292">
        <f>'09-RESUMEN'!$F$43/1375</f>
        <v>81431.961035221175</v>
      </c>
      <c r="L1165" s="122">
        <f>('ESTADO RESULTADOS'!$C$36+'ESTADO RESULTADOS'!$C$71)/1375</f>
        <v>24762.287272727273</v>
      </c>
      <c r="M1165" s="122">
        <v>0</v>
      </c>
      <c r="N1165" s="122">
        <f>SUM(H1165+K1165+L1165+M1165)</f>
        <v>516194.24830794847</v>
      </c>
      <c r="O1165" s="122">
        <f>N1165/G1165</f>
        <v>258097.12415397423</v>
      </c>
      <c r="P1165" s="336">
        <f t="shared" si="231"/>
        <v>305.75169205153361</v>
      </c>
      <c r="Q1165" s="336">
        <f t="shared" si="232"/>
        <v>53097.124153974233</v>
      </c>
      <c r="R1165" s="303">
        <f t="shared" si="233"/>
        <v>0.25901036172670355</v>
      </c>
    </row>
    <row r="1166" spans="1:18" x14ac:dyDescent="0.3">
      <c r="A1166" s="2">
        <v>3462</v>
      </c>
      <c r="B1166" s="41" t="s">
        <v>1870</v>
      </c>
      <c r="C1166" s="2">
        <v>5</v>
      </c>
      <c r="D1166" s="2" t="s">
        <v>12</v>
      </c>
      <c r="E1166" s="294">
        <v>67800</v>
      </c>
      <c r="F1166" s="296">
        <v>76000</v>
      </c>
      <c r="G1166" s="352">
        <v>0</v>
      </c>
      <c r="H1166" s="296">
        <f t="shared" si="228"/>
        <v>0</v>
      </c>
      <c r="I1166" s="122">
        <f t="shared" si="229"/>
        <v>0</v>
      </c>
      <c r="J1166" s="331">
        <f t="shared" si="230"/>
        <v>0</v>
      </c>
      <c r="K1166" s="292">
        <f>'09-RESUMEN'!$F$43/1375</f>
        <v>81431.961035221175</v>
      </c>
      <c r="L1166" s="122">
        <f>('ESTADO RESULTADOS'!$C$36+'ESTADO RESULTADOS'!$C$71)/1375</f>
        <v>24762.287272727273</v>
      </c>
      <c r="M1166" s="122">
        <v>0</v>
      </c>
      <c r="N1166" s="122">
        <f>SUM(E1166+K1166+L1166+M1166)</f>
        <v>173994.24830794844</v>
      </c>
      <c r="O1166" s="122">
        <f>N1166</f>
        <v>173994.24830794844</v>
      </c>
      <c r="P1166" s="336">
        <f t="shared" si="231"/>
        <v>-173994.24830794844</v>
      </c>
      <c r="Q1166" s="336">
        <f t="shared" si="232"/>
        <v>106194.24830794844</v>
      </c>
      <c r="R1166" s="303">
        <f t="shared" si="233"/>
        <v>1.5662868481998296</v>
      </c>
    </row>
    <row r="1167" spans="1:18" x14ac:dyDescent="0.3">
      <c r="A1167" s="2">
        <v>3466</v>
      </c>
      <c r="B1167" s="41" t="s">
        <v>1871</v>
      </c>
      <c r="C1167" s="2">
        <v>5</v>
      </c>
      <c r="D1167" s="2" t="s">
        <v>81</v>
      </c>
      <c r="E1167" s="294">
        <v>22799.9954</v>
      </c>
      <c r="F1167" s="296">
        <v>28000</v>
      </c>
      <c r="G1167" s="352">
        <v>0</v>
      </c>
      <c r="H1167" s="296">
        <f t="shared" si="228"/>
        <v>0</v>
      </c>
      <c r="I1167" s="122">
        <f t="shared" si="229"/>
        <v>0</v>
      </c>
      <c r="J1167" s="331">
        <f t="shared" si="230"/>
        <v>0</v>
      </c>
      <c r="K1167" s="292">
        <f>'09-RESUMEN'!$F$43/1375</f>
        <v>81431.961035221175</v>
      </c>
      <c r="L1167" s="122">
        <f>('ESTADO RESULTADOS'!$C$36+'ESTADO RESULTADOS'!$C$71)/1375</f>
        <v>24762.287272727273</v>
      </c>
      <c r="M1167" s="122">
        <v>0</v>
      </c>
      <c r="N1167" s="122">
        <f>SUM(E1167+K1167+L1167+M1167)</f>
        <v>128994.24370794845</v>
      </c>
      <c r="O1167" s="122">
        <f>N1167</f>
        <v>128994.24370794845</v>
      </c>
      <c r="P1167" s="336">
        <f t="shared" si="231"/>
        <v>-128994.24370794845</v>
      </c>
      <c r="Q1167" s="336">
        <f t="shared" si="232"/>
        <v>106194.24830794845</v>
      </c>
      <c r="R1167" s="303">
        <f t="shared" si="233"/>
        <v>4.6576434093468482</v>
      </c>
    </row>
    <row r="1168" spans="1:18" x14ac:dyDescent="0.3">
      <c r="A1168" s="2">
        <v>3468</v>
      </c>
      <c r="B1168" s="41" t="s">
        <v>950</v>
      </c>
      <c r="C1168" s="2">
        <v>5</v>
      </c>
      <c r="D1168" s="2" t="s">
        <v>16</v>
      </c>
      <c r="E1168" s="294">
        <v>108975</v>
      </c>
      <c r="F1168" s="296">
        <v>127000</v>
      </c>
      <c r="G1168" s="352">
        <v>53</v>
      </c>
      <c r="H1168" s="296">
        <f t="shared" si="228"/>
        <v>5775675</v>
      </c>
      <c r="I1168" s="122">
        <f t="shared" si="229"/>
        <v>6731000</v>
      </c>
      <c r="J1168" s="331">
        <f t="shared" si="230"/>
        <v>955325</v>
      </c>
      <c r="K1168" s="292">
        <f>'09-RESUMEN'!$F$43/1375</f>
        <v>81431.961035221175</v>
      </c>
      <c r="L1168" s="122">
        <f>('ESTADO RESULTADOS'!$C$36+'ESTADO RESULTADOS'!$C$71)/1375</f>
        <v>24762.287272727273</v>
      </c>
      <c r="M1168" s="122">
        <v>0</v>
      </c>
      <c r="N1168" s="122">
        <f>SUM(H1168+K1168+L1168+M1168)</f>
        <v>5881869.248307948</v>
      </c>
      <c r="O1168" s="122">
        <f>N1168/G1168</f>
        <v>110978.66506241412</v>
      </c>
      <c r="P1168" s="336">
        <f t="shared" si="231"/>
        <v>849130.751692052</v>
      </c>
      <c r="Q1168" s="336">
        <f t="shared" si="232"/>
        <v>2003.6650624141184</v>
      </c>
      <c r="R1168" s="303">
        <f t="shared" si="233"/>
        <v>1.8386465358239214E-2</v>
      </c>
    </row>
    <row r="1169" spans="1:18" x14ac:dyDescent="0.3">
      <c r="A1169" s="2">
        <v>3469</v>
      </c>
      <c r="B1169" s="41" t="s">
        <v>951</v>
      </c>
      <c r="C1169" s="2">
        <v>5</v>
      </c>
      <c r="D1169" s="2" t="s">
        <v>16</v>
      </c>
      <c r="E1169" s="294">
        <v>42112</v>
      </c>
      <c r="F1169" s="296">
        <v>49700</v>
      </c>
      <c r="G1169" s="352">
        <v>76</v>
      </c>
      <c r="H1169" s="296">
        <f t="shared" si="228"/>
        <v>3200512</v>
      </c>
      <c r="I1169" s="122">
        <f t="shared" si="229"/>
        <v>3777200</v>
      </c>
      <c r="J1169" s="331">
        <f t="shared" si="230"/>
        <v>576688</v>
      </c>
      <c r="K1169" s="292">
        <f>'09-RESUMEN'!$F$43/1375</f>
        <v>81431.961035221175</v>
      </c>
      <c r="L1169" s="122">
        <f>('ESTADO RESULTADOS'!$C$36+'ESTADO RESULTADOS'!$C$71)/1375</f>
        <v>24762.287272727273</v>
      </c>
      <c r="M1169" s="122">
        <v>0</v>
      </c>
      <c r="N1169" s="122">
        <f>SUM(H1169+K1169+L1169+M1169)</f>
        <v>3306706.2483079485</v>
      </c>
      <c r="O1169" s="122">
        <f>N1169/G1169</f>
        <v>43509.29274089406</v>
      </c>
      <c r="P1169" s="336">
        <f t="shared" si="231"/>
        <v>470493.75169205153</v>
      </c>
      <c r="Q1169" s="336">
        <f t="shared" si="232"/>
        <v>1397.2927408940595</v>
      </c>
      <c r="R1169" s="303">
        <f t="shared" si="233"/>
        <v>3.3180393733236599E-2</v>
      </c>
    </row>
    <row r="1170" spans="1:18" x14ac:dyDescent="0.3">
      <c r="A1170" s="2">
        <v>3470</v>
      </c>
      <c r="B1170" s="41" t="s">
        <v>952</v>
      </c>
      <c r="C1170" s="2">
        <v>6</v>
      </c>
      <c r="D1170" s="2" t="s">
        <v>16</v>
      </c>
      <c r="E1170" s="294">
        <v>133417.01999999999</v>
      </c>
      <c r="F1170" s="296">
        <v>158500</v>
      </c>
      <c r="G1170" s="352">
        <v>8</v>
      </c>
      <c r="H1170" s="296">
        <f t="shared" si="228"/>
        <v>1067336.1599999999</v>
      </c>
      <c r="I1170" s="122">
        <f t="shared" si="229"/>
        <v>1268000</v>
      </c>
      <c r="J1170" s="331">
        <f t="shared" si="230"/>
        <v>200663.84000000008</v>
      </c>
      <c r="K1170" s="292">
        <f>'09-RESUMEN'!$F$43/1375</f>
        <v>81431.961035221175</v>
      </c>
      <c r="L1170" s="122">
        <f>('ESTADO RESULTADOS'!$C$36+'ESTADO RESULTADOS'!$C$71)/1375</f>
        <v>24762.287272727273</v>
      </c>
      <c r="M1170" s="122">
        <v>0</v>
      </c>
      <c r="N1170" s="122">
        <f>SUM(H1170+K1170+L1170+M1170)</f>
        <v>1173530.4083079484</v>
      </c>
      <c r="O1170" s="122">
        <f>N1170/G1170</f>
        <v>146691.30103849355</v>
      </c>
      <c r="P1170" s="336">
        <f t="shared" si="231"/>
        <v>94469.591692051617</v>
      </c>
      <c r="Q1170" s="336">
        <f t="shared" si="232"/>
        <v>13274.281038493558</v>
      </c>
      <c r="R1170" s="303">
        <f t="shared" si="233"/>
        <v>9.9494659965374432E-2</v>
      </c>
    </row>
    <row r="1171" spans="1:18" x14ac:dyDescent="0.3">
      <c r="A1171" s="2">
        <v>3471</v>
      </c>
      <c r="B1171" s="41" t="s">
        <v>953</v>
      </c>
      <c r="C1171" s="2">
        <v>5</v>
      </c>
      <c r="D1171" s="2" t="s">
        <v>12</v>
      </c>
      <c r="E1171" s="294">
        <v>272800</v>
      </c>
      <c r="F1171" s="296">
        <v>272166.66666666669</v>
      </c>
      <c r="G1171" s="352">
        <v>4</v>
      </c>
      <c r="H1171" s="296">
        <f t="shared" si="228"/>
        <v>1091200</v>
      </c>
      <c r="I1171" s="122">
        <f t="shared" si="229"/>
        <v>1088666.6666666667</v>
      </c>
      <c r="J1171" s="331">
        <f t="shared" si="230"/>
        <v>-2533.3333333332557</v>
      </c>
      <c r="K1171" s="292">
        <f>'09-RESUMEN'!$F$43/1375</f>
        <v>81431.961035221175</v>
      </c>
      <c r="L1171" s="122">
        <f>('ESTADO RESULTADOS'!$C$36+'ESTADO RESULTADOS'!$C$71)/1375</f>
        <v>24762.287272727273</v>
      </c>
      <c r="M1171" s="122">
        <v>0</v>
      </c>
      <c r="N1171" s="122">
        <f>SUM(H1171+K1171+L1171+M1171)</f>
        <v>1197394.2483079485</v>
      </c>
      <c r="O1171" s="122">
        <f>N1171/G1171</f>
        <v>299348.56207698712</v>
      </c>
      <c r="P1171" s="336">
        <f t="shared" si="231"/>
        <v>-108727.58164128172</v>
      </c>
      <c r="Q1171" s="336">
        <f t="shared" si="232"/>
        <v>26548.562076987117</v>
      </c>
      <c r="R1171" s="303">
        <f t="shared" si="233"/>
        <v>9.7318775942034891E-2</v>
      </c>
    </row>
    <row r="1172" spans="1:18" x14ac:dyDescent="0.3">
      <c r="A1172" s="2">
        <v>3472</v>
      </c>
      <c r="B1172" s="41" t="s">
        <v>954</v>
      </c>
      <c r="C1172" s="2">
        <v>13</v>
      </c>
      <c r="D1172" s="2" t="s">
        <v>12</v>
      </c>
      <c r="E1172" s="294">
        <v>23372.79</v>
      </c>
      <c r="F1172" s="296">
        <v>28000</v>
      </c>
      <c r="G1172" s="352">
        <v>9</v>
      </c>
      <c r="H1172" s="296">
        <f t="shared" si="228"/>
        <v>210355.11000000002</v>
      </c>
      <c r="I1172" s="122">
        <f t="shared" si="229"/>
        <v>252000</v>
      </c>
      <c r="J1172" s="331">
        <f t="shared" si="230"/>
        <v>41644.889999999985</v>
      </c>
      <c r="K1172" s="292">
        <f>'09-RESUMEN'!$F$43/1375</f>
        <v>81431.961035221175</v>
      </c>
      <c r="L1172" s="122">
        <f>('ESTADO RESULTADOS'!$C$36+'ESTADO RESULTADOS'!$C$71)/1375</f>
        <v>24762.287272727273</v>
      </c>
      <c r="M1172" s="122">
        <v>0</v>
      </c>
      <c r="N1172" s="122">
        <f>SUM(H1172+K1172+L1172+M1172)</f>
        <v>316549.35830794851</v>
      </c>
      <c r="O1172" s="122">
        <f>N1172/G1172</f>
        <v>35172.150923105393</v>
      </c>
      <c r="P1172" s="336">
        <f t="shared" si="231"/>
        <v>-64549.358307948511</v>
      </c>
      <c r="Q1172" s="336">
        <f t="shared" si="232"/>
        <v>11799.360923105392</v>
      </c>
      <c r="R1172" s="303">
        <f t="shared" si="233"/>
        <v>0.50483322372320083</v>
      </c>
    </row>
    <row r="1173" spans="1:18" x14ac:dyDescent="0.3">
      <c r="A1173" s="2">
        <v>3473</v>
      </c>
      <c r="B1173" s="41" t="s">
        <v>1872</v>
      </c>
      <c r="C1173" s="2">
        <v>2</v>
      </c>
      <c r="D1173" s="2" t="s">
        <v>12</v>
      </c>
      <c r="E1173" s="294">
        <v>3700.0005000000001</v>
      </c>
      <c r="F1173" s="296">
        <v>4200</v>
      </c>
      <c r="G1173" s="352">
        <v>0</v>
      </c>
      <c r="H1173" s="296">
        <f t="shared" si="228"/>
        <v>0</v>
      </c>
      <c r="I1173" s="122">
        <f t="shared" si="229"/>
        <v>0</v>
      </c>
      <c r="J1173" s="331">
        <f t="shared" si="230"/>
        <v>0</v>
      </c>
      <c r="K1173" s="292">
        <f>'09-RESUMEN'!$F$43/1375</f>
        <v>81431.961035221175</v>
      </c>
      <c r="L1173" s="122">
        <f>('ESTADO RESULTADOS'!$C$36+'ESTADO RESULTADOS'!$C$71)/1375</f>
        <v>24762.287272727273</v>
      </c>
      <c r="M1173" s="122">
        <v>0</v>
      </c>
      <c r="N1173" s="122">
        <f>SUM(E1173+K1173+L1173+M1173)</f>
        <v>109894.24880794845</v>
      </c>
      <c r="O1173" s="122">
        <f>N1173</f>
        <v>109894.24880794845</v>
      </c>
      <c r="P1173" s="336">
        <f t="shared" si="231"/>
        <v>-109894.24880794845</v>
      </c>
      <c r="Q1173" s="336">
        <f t="shared" si="232"/>
        <v>106194.24830794845</v>
      </c>
      <c r="R1173" s="303">
        <f t="shared" si="233"/>
        <v>28.701144312804402</v>
      </c>
    </row>
    <row r="1174" spans="1:18" x14ac:dyDescent="0.3">
      <c r="A1174" s="2">
        <v>3474</v>
      </c>
      <c r="B1174" s="41" t="s">
        <v>1873</v>
      </c>
      <c r="C1174" s="2">
        <v>2</v>
      </c>
      <c r="D1174" s="2" t="s">
        <v>12</v>
      </c>
      <c r="E1174" s="294">
        <v>2949.9960000000001</v>
      </c>
      <c r="F1174" s="296">
        <v>3200</v>
      </c>
      <c r="G1174" s="352">
        <v>0</v>
      </c>
      <c r="H1174" s="296">
        <f t="shared" si="228"/>
        <v>0</v>
      </c>
      <c r="I1174" s="122">
        <f t="shared" si="229"/>
        <v>0</v>
      </c>
      <c r="J1174" s="331">
        <f t="shared" si="230"/>
        <v>0</v>
      </c>
      <c r="K1174" s="292">
        <f>'09-RESUMEN'!$F$43/1375</f>
        <v>81431.961035221175</v>
      </c>
      <c r="L1174" s="122">
        <f>('ESTADO RESULTADOS'!$C$36+'ESTADO RESULTADOS'!$C$71)/1375</f>
        <v>24762.287272727273</v>
      </c>
      <c r="M1174" s="122">
        <v>0</v>
      </c>
      <c r="N1174" s="122">
        <f>SUM(E1174+K1174+L1174+M1174)</f>
        <v>109144.24430794845</v>
      </c>
      <c r="O1174" s="122">
        <f>N1174</f>
        <v>109144.24430794845</v>
      </c>
      <c r="P1174" s="336">
        <f t="shared" si="231"/>
        <v>-109144.24430794845</v>
      </c>
      <c r="Q1174" s="336">
        <f t="shared" si="232"/>
        <v>106194.24830794845</v>
      </c>
      <c r="R1174" s="303">
        <f t="shared" si="233"/>
        <v>35.998099084862638</v>
      </c>
    </row>
    <row r="1175" spans="1:18" x14ac:dyDescent="0.3">
      <c r="A1175" s="2">
        <v>3475</v>
      </c>
      <c r="B1175" s="41" t="s">
        <v>955</v>
      </c>
      <c r="C1175" s="2">
        <v>2</v>
      </c>
      <c r="D1175" s="2" t="s">
        <v>12</v>
      </c>
      <c r="E1175" s="294">
        <v>4200</v>
      </c>
      <c r="F1175" s="296">
        <v>4900</v>
      </c>
      <c r="G1175" s="352">
        <v>34</v>
      </c>
      <c r="H1175" s="296">
        <f t="shared" si="228"/>
        <v>142800</v>
      </c>
      <c r="I1175" s="122">
        <f t="shared" si="229"/>
        <v>166600</v>
      </c>
      <c r="J1175" s="331">
        <f t="shared" si="230"/>
        <v>23800</v>
      </c>
      <c r="K1175" s="292">
        <f>'09-RESUMEN'!$F$43/1375</f>
        <v>81431.961035221175</v>
      </c>
      <c r="L1175" s="122">
        <f>('ESTADO RESULTADOS'!$C$36+'ESTADO RESULTADOS'!$C$71)/1375</f>
        <v>24762.287272727273</v>
      </c>
      <c r="M1175" s="122">
        <v>0</v>
      </c>
      <c r="N1175" s="122">
        <f>SUM(H1175+K1175+L1175+M1175)</f>
        <v>248994.24830794844</v>
      </c>
      <c r="O1175" s="122">
        <f>N1175/G1175</f>
        <v>7323.3602443514246</v>
      </c>
      <c r="P1175" s="336">
        <f t="shared" si="231"/>
        <v>-82394.248307948437</v>
      </c>
      <c r="Q1175" s="336">
        <f t="shared" si="232"/>
        <v>3123.3602443514246</v>
      </c>
      <c r="R1175" s="303">
        <f t="shared" si="233"/>
        <v>0.74365720103605348</v>
      </c>
    </row>
    <row r="1176" spans="1:18" x14ac:dyDescent="0.3">
      <c r="A1176" s="2">
        <v>3476</v>
      </c>
      <c r="B1176" s="41" t="s">
        <v>956</v>
      </c>
      <c r="C1176" s="2">
        <v>1</v>
      </c>
      <c r="D1176" s="2" t="s">
        <v>12</v>
      </c>
      <c r="E1176" s="294">
        <v>67070</v>
      </c>
      <c r="F1176" s="296">
        <v>86166.666666666672</v>
      </c>
      <c r="G1176" s="352">
        <v>32</v>
      </c>
      <c r="H1176" s="296">
        <f t="shared" si="228"/>
        <v>2146240</v>
      </c>
      <c r="I1176" s="122">
        <f t="shared" si="229"/>
        <v>2757333.3333333335</v>
      </c>
      <c r="J1176" s="331">
        <f t="shared" si="230"/>
        <v>611093.33333333349</v>
      </c>
      <c r="K1176" s="292">
        <f>'09-RESUMEN'!$F$43/1375</f>
        <v>81431.961035221175</v>
      </c>
      <c r="L1176" s="122">
        <f>('ESTADO RESULTADOS'!$C$36+'ESTADO RESULTADOS'!$C$71)/1375</f>
        <v>24762.287272727273</v>
      </c>
      <c r="M1176" s="122">
        <v>0</v>
      </c>
      <c r="N1176" s="122">
        <f>SUM(H1176+K1176+L1176+M1176)</f>
        <v>2252434.2483079485</v>
      </c>
      <c r="O1176" s="122">
        <f>N1176/G1176</f>
        <v>70388.57025962339</v>
      </c>
      <c r="P1176" s="336">
        <f t="shared" si="231"/>
        <v>504899.08502538502</v>
      </c>
      <c r="Q1176" s="336">
        <f t="shared" si="232"/>
        <v>3318.5702596233896</v>
      </c>
      <c r="R1176" s="303">
        <f t="shared" si="233"/>
        <v>4.947920470588027E-2</v>
      </c>
    </row>
    <row r="1177" spans="1:18" x14ac:dyDescent="0.3">
      <c r="A1177" s="163">
        <v>3477</v>
      </c>
      <c r="B1177" s="329" t="s">
        <v>957</v>
      </c>
      <c r="C1177" s="163">
        <v>1</v>
      </c>
      <c r="D1177" s="163" t="s">
        <v>12</v>
      </c>
      <c r="E1177" s="297">
        <v>7055</v>
      </c>
      <c r="F1177" s="299">
        <v>9966.6666666666661</v>
      </c>
      <c r="G1177" s="354">
        <v>30</v>
      </c>
      <c r="H1177" s="296">
        <f t="shared" si="228"/>
        <v>211650</v>
      </c>
      <c r="I1177" s="122">
        <f t="shared" si="229"/>
        <v>299000</v>
      </c>
      <c r="J1177" s="331">
        <f t="shared" si="230"/>
        <v>87350</v>
      </c>
      <c r="K1177" s="293">
        <f>'09-RESUMEN'!$F$43/1375+('09-RESUMEN'!$F$42/17)</f>
        <v>283519.42464527232</v>
      </c>
      <c r="L1177" s="256">
        <f>('ESTADO RESULTADOS'!$C$36+'ESTADO RESULTADOS'!$C$71)/1375</f>
        <v>24762.287272727273</v>
      </c>
      <c r="M1177" s="256">
        <f>'ESTADO RESULTADOS'!$C$37/17</f>
        <v>106174.11764705883</v>
      </c>
      <c r="N1177" s="122">
        <f>SUM(H1177+K1177+L1177+M1177)</f>
        <v>626105.82956505846</v>
      </c>
      <c r="O1177" s="122">
        <f>N1177/G1177</f>
        <v>20870.194318835282</v>
      </c>
      <c r="P1177" s="336">
        <f t="shared" si="231"/>
        <v>-327105.82956505846</v>
      </c>
      <c r="Q1177" s="336">
        <f t="shared" si="232"/>
        <v>13815.194318835282</v>
      </c>
      <c r="R1177" s="303">
        <f t="shared" si="233"/>
        <v>1.958213227333137</v>
      </c>
    </row>
    <row r="1178" spans="1:18" x14ac:dyDescent="0.3">
      <c r="A1178" s="2">
        <v>3478</v>
      </c>
      <c r="B1178" s="41" t="s">
        <v>1874</v>
      </c>
      <c r="C1178" s="2">
        <v>1</v>
      </c>
      <c r="D1178" s="2" t="s">
        <v>12</v>
      </c>
      <c r="E1178" s="294">
        <v>53125</v>
      </c>
      <c r="F1178" s="296">
        <v>85600</v>
      </c>
      <c r="G1178" s="352">
        <v>0</v>
      </c>
      <c r="H1178" s="296">
        <f t="shared" si="228"/>
        <v>0</v>
      </c>
      <c r="I1178" s="122">
        <f t="shared" si="229"/>
        <v>0</v>
      </c>
      <c r="J1178" s="331">
        <f t="shared" si="230"/>
        <v>0</v>
      </c>
      <c r="K1178" s="292">
        <f>'09-RESUMEN'!$F$43/1375</f>
        <v>81431.961035221175</v>
      </c>
      <c r="L1178" s="122">
        <f>('ESTADO RESULTADOS'!$C$36+'ESTADO RESULTADOS'!$C$71)/1375</f>
        <v>24762.287272727273</v>
      </c>
      <c r="M1178" s="122">
        <v>0</v>
      </c>
      <c r="N1178" s="122">
        <f>SUM(E1178+K1178+L1178+M1178)</f>
        <v>159319.24830794844</v>
      </c>
      <c r="O1178" s="122">
        <f>N1178</f>
        <v>159319.24830794844</v>
      </c>
      <c r="P1178" s="336">
        <f t="shared" si="231"/>
        <v>-159319.24830794844</v>
      </c>
      <c r="Q1178" s="336">
        <f t="shared" si="232"/>
        <v>106194.24830794844</v>
      </c>
      <c r="R1178" s="303">
        <f t="shared" si="233"/>
        <v>1.9989505563849117</v>
      </c>
    </row>
    <row r="1179" spans="1:18" x14ac:dyDescent="0.3">
      <c r="A1179" s="2">
        <v>3479</v>
      </c>
      <c r="B1179" s="41" t="s">
        <v>958</v>
      </c>
      <c r="C1179" s="2">
        <v>9</v>
      </c>
      <c r="D1179" s="2" t="s">
        <v>16</v>
      </c>
      <c r="E1179" s="294">
        <v>130662</v>
      </c>
      <c r="F1179" s="296">
        <v>158000</v>
      </c>
      <c r="G1179" s="352">
        <v>1</v>
      </c>
      <c r="H1179" s="296">
        <f t="shared" si="228"/>
        <v>130662</v>
      </c>
      <c r="I1179" s="122">
        <f t="shared" si="229"/>
        <v>158000</v>
      </c>
      <c r="J1179" s="331">
        <f t="shared" si="230"/>
        <v>27338</v>
      </c>
      <c r="K1179" s="292">
        <f>'09-RESUMEN'!$F$43/1375</f>
        <v>81431.961035221175</v>
      </c>
      <c r="L1179" s="122">
        <f>('ESTADO RESULTADOS'!$C$36+'ESTADO RESULTADOS'!$C$71)/1375</f>
        <v>24762.287272727273</v>
      </c>
      <c r="M1179" s="122">
        <v>0</v>
      </c>
      <c r="N1179" s="122">
        <f t="shared" ref="N1179:N1184" si="234">SUM(H1179+K1179+L1179+M1179)</f>
        <v>236856.24830794844</v>
      </c>
      <c r="O1179" s="122">
        <f t="shared" ref="O1179:O1184" si="235">N1179/G1179</f>
        <v>236856.24830794844</v>
      </c>
      <c r="P1179" s="336">
        <f t="shared" si="231"/>
        <v>-78856.248307948437</v>
      </c>
      <c r="Q1179" s="336">
        <f t="shared" si="232"/>
        <v>106194.24830794844</v>
      </c>
      <c r="R1179" s="303">
        <f t="shared" si="233"/>
        <v>0.81274011042191641</v>
      </c>
    </row>
    <row r="1180" spans="1:18" x14ac:dyDescent="0.3">
      <c r="A1180" s="2">
        <v>3480</v>
      </c>
      <c r="B1180" s="41" t="s">
        <v>959</v>
      </c>
      <c r="C1180" s="2">
        <v>5</v>
      </c>
      <c r="D1180" s="2" t="s">
        <v>419</v>
      </c>
      <c r="E1180" s="294">
        <v>414105</v>
      </c>
      <c r="F1180" s="296">
        <v>457000</v>
      </c>
      <c r="G1180" s="352">
        <v>6</v>
      </c>
      <c r="H1180" s="296">
        <f t="shared" si="228"/>
        <v>2484630</v>
      </c>
      <c r="I1180" s="122">
        <f t="shared" si="229"/>
        <v>2742000</v>
      </c>
      <c r="J1180" s="331">
        <f t="shared" si="230"/>
        <v>257370</v>
      </c>
      <c r="K1180" s="292">
        <f>'09-RESUMEN'!$F$43/1375</f>
        <v>81431.961035221175</v>
      </c>
      <c r="L1180" s="122">
        <f>('ESTADO RESULTADOS'!$C$36+'ESTADO RESULTADOS'!$C$71)/1375</f>
        <v>24762.287272727273</v>
      </c>
      <c r="M1180" s="122">
        <v>0</v>
      </c>
      <c r="N1180" s="122">
        <f t="shared" si="234"/>
        <v>2590824.2483079485</v>
      </c>
      <c r="O1180" s="122">
        <f t="shared" si="235"/>
        <v>431804.04138465808</v>
      </c>
      <c r="P1180" s="336">
        <f t="shared" si="231"/>
        <v>151175.75169205153</v>
      </c>
      <c r="Q1180" s="336">
        <f t="shared" si="232"/>
        <v>17699.041384658078</v>
      </c>
      <c r="R1180" s="303">
        <f t="shared" si="233"/>
        <v>4.2740467718714044E-2</v>
      </c>
    </row>
    <row r="1181" spans="1:18" x14ac:dyDescent="0.3">
      <c r="A1181" s="2">
        <v>3481</v>
      </c>
      <c r="B1181" s="41" t="s">
        <v>1875</v>
      </c>
      <c r="C1181" s="2">
        <v>6</v>
      </c>
      <c r="D1181" s="2" t="s">
        <v>12</v>
      </c>
      <c r="E1181" s="294">
        <v>13800</v>
      </c>
      <c r="F1181" s="296">
        <v>16500</v>
      </c>
      <c r="G1181" s="352">
        <v>8</v>
      </c>
      <c r="H1181" s="296">
        <f t="shared" si="228"/>
        <v>110400</v>
      </c>
      <c r="I1181" s="122">
        <f t="shared" si="229"/>
        <v>132000</v>
      </c>
      <c r="J1181" s="331">
        <f t="shared" si="230"/>
        <v>21600</v>
      </c>
      <c r="K1181" s="292">
        <f>'09-RESUMEN'!$F$43/1375</f>
        <v>81431.961035221175</v>
      </c>
      <c r="L1181" s="122">
        <f>('ESTADO RESULTADOS'!$C$36+'ESTADO RESULTADOS'!$C$71)/1375</f>
        <v>24762.287272727273</v>
      </c>
      <c r="M1181" s="122">
        <v>0</v>
      </c>
      <c r="N1181" s="122">
        <f t="shared" si="234"/>
        <v>216594.24830794844</v>
      </c>
      <c r="O1181" s="122">
        <f t="shared" si="235"/>
        <v>27074.281038493555</v>
      </c>
      <c r="P1181" s="336">
        <f t="shared" si="231"/>
        <v>-84594.248307948437</v>
      </c>
      <c r="Q1181" s="336">
        <f t="shared" si="232"/>
        <v>13274.281038493555</v>
      </c>
      <c r="R1181" s="303">
        <f t="shared" si="233"/>
        <v>0.96190442307924306</v>
      </c>
    </row>
    <row r="1182" spans="1:18" x14ac:dyDescent="0.3">
      <c r="A1182" s="2">
        <v>3482</v>
      </c>
      <c r="B1182" s="41" t="s">
        <v>1876</v>
      </c>
      <c r="C1182" s="2">
        <v>1</v>
      </c>
      <c r="D1182" s="2" t="s">
        <v>12</v>
      </c>
      <c r="E1182" s="294">
        <v>59042.5</v>
      </c>
      <c r="F1182" s="296">
        <v>82000</v>
      </c>
      <c r="G1182" s="352">
        <v>2</v>
      </c>
      <c r="H1182" s="296">
        <f t="shared" si="228"/>
        <v>118085</v>
      </c>
      <c r="I1182" s="122">
        <f t="shared" si="229"/>
        <v>164000</v>
      </c>
      <c r="J1182" s="331">
        <f t="shared" si="230"/>
        <v>45915</v>
      </c>
      <c r="K1182" s="292">
        <f>'09-RESUMEN'!$F$43/1375</f>
        <v>81431.961035221175</v>
      </c>
      <c r="L1182" s="122">
        <f>('ESTADO RESULTADOS'!$C$36+'ESTADO RESULTADOS'!$C$71)/1375</f>
        <v>24762.287272727273</v>
      </c>
      <c r="M1182" s="122">
        <v>0</v>
      </c>
      <c r="N1182" s="122">
        <f t="shared" si="234"/>
        <v>224279.24830794844</v>
      </c>
      <c r="O1182" s="122">
        <f t="shared" si="235"/>
        <v>112139.62415397422</v>
      </c>
      <c r="P1182" s="336">
        <f t="shared" si="231"/>
        <v>-60279.248307948437</v>
      </c>
      <c r="Q1182" s="336">
        <f t="shared" si="232"/>
        <v>53097.124153974219</v>
      </c>
      <c r="R1182" s="303">
        <f t="shared" si="233"/>
        <v>0.8993034535118638</v>
      </c>
    </row>
    <row r="1183" spans="1:18" x14ac:dyDescent="0.3">
      <c r="A1183" s="2">
        <v>3483</v>
      </c>
      <c r="B1183" s="41" t="s">
        <v>1877</v>
      </c>
      <c r="C1183" s="2">
        <v>12</v>
      </c>
      <c r="D1183" s="2" t="s">
        <v>12</v>
      </c>
      <c r="E1183" s="294">
        <v>17999.939999999999</v>
      </c>
      <c r="F1183" s="296">
        <v>21000</v>
      </c>
      <c r="G1183" s="352">
        <v>2</v>
      </c>
      <c r="H1183" s="296">
        <f t="shared" si="228"/>
        <v>35999.879999999997</v>
      </c>
      <c r="I1183" s="122">
        <f t="shared" si="229"/>
        <v>42000</v>
      </c>
      <c r="J1183" s="331">
        <f t="shared" si="230"/>
        <v>6000.1200000000026</v>
      </c>
      <c r="K1183" s="292">
        <f>'09-RESUMEN'!$F$43/1375</f>
        <v>81431.961035221175</v>
      </c>
      <c r="L1183" s="122">
        <f>('ESTADO RESULTADOS'!$C$36+'ESTADO RESULTADOS'!$C$71)/1375</f>
        <v>24762.287272727273</v>
      </c>
      <c r="M1183" s="122">
        <v>0</v>
      </c>
      <c r="N1183" s="122">
        <f t="shared" si="234"/>
        <v>142194.12830794844</v>
      </c>
      <c r="O1183" s="122">
        <f t="shared" si="235"/>
        <v>71097.064153974221</v>
      </c>
      <c r="P1183" s="336">
        <f t="shared" si="231"/>
        <v>-100194.12830794844</v>
      </c>
      <c r="Q1183" s="336">
        <f t="shared" si="232"/>
        <v>53097.124153974219</v>
      </c>
      <c r="R1183" s="303">
        <f t="shared" si="233"/>
        <v>2.9498500636098912</v>
      </c>
    </row>
    <row r="1184" spans="1:18" x14ac:dyDescent="0.3">
      <c r="A1184" s="2">
        <v>3484</v>
      </c>
      <c r="B1184" s="41" t="s">
        <v>960</v>
      </c>
      <c r="C1184" s="2">
        <v>12</v>
      </c>
      <c r="D1184" s="2" t="s">
        <v>12</v>
      </c>
      <c r="E1184" s="294">
        <v>32999.89</v>
      </c>
      <c r="F1184" s="296">
        <v>37833.333333333336</v>
      </c>
      <c r="G1184" s="352">
        <v>3</v>
      </c>
      <c r="H1184" s="296">
        <f t="shared" si="228"/>
        <v>98999.67</v>
      </c>
      <c r="I1184" s="122">
        <f t="shared" si="229"/>
        <v>113500</v>
      </c>
      <c r="J1184" s="331">
        <f t="shared" si="230"/>
        <v>14500.330000000002</v>
      </c>
      <c r="K1184" s="292">
        <f>'09-RESUMEN'!$F$43/1375</f>
        <v>81431.961035221175</v>
      </c>
      <c r="L1184" s="122">
        <f>('ESTADO RESULTADOS'!$C$36+'ESTADO RESULTADOS'!$C$71)/1375</f>
        <v>24762.287272727273</v>
      </c>
      <c r="M1184" s="122">
        <v>0</v>
      </c>
      <c r="N1184" s="122">
        <f t="shared" si="234"/>
        <v>205193.91830794842</v>
      </c>
      <c r="O1184" s="122">
        <f t="shared" si="235"/>
        <v>68397.97276931614</v>
      </c>
      <c r="P1184" s="336">
        <f t="shared" si="231"/>
        <v>-91693.918307948421</v>
      </c>
      <c r="Q1184" s="336">
        <f t="shared" si="232"/>
        <v>35398.082769316141</v>
      </c>
      <c r="R1184" s="303">
        <f t="shared" si="233"/>
        <v>1.0726727504035964</v>
      </c>
    </row>
    <row r="1185" spans="1:18" x14ac:dyDescent="0.3">
      <c r="A1185" s="2">
        <v>3485</v>
      </c>
      <c r="B1185" s="41" t="s">
        <v>962</v>
      </c>
      <c r="C1185" s="2">
        <v>12</v>
      </c>
      <c r="D1185" s="2" t="s">
        <v>12</v>
      </c>
      <c r="E1185" s="294">
        <v>43999.06</v>
      </c>
      <c r="F1185" s="296">
        <v>51666.666666666664</v>
      </c>
      <c r="G1185" s="352">
        <v>0</v>
      </c>
      <c r="H1185" s="296">
        <f t="shared" si="228"/>
        <v>0</v>
      </c>
      <c r="I1185" s="122">
        <f t="shared" si="229"/>
        <v>0</v>
      </c>
      <c r="J1185" s="331">
        <f t="shared" si="230"/>
        <v>0</v>
      </c>
      <c r="K1185" s="292">
        <f>'09-RESUMEN'!$F$43/1375</f>
        <v>81431.961035221175</v>
      </c>
      <c r="L1185" s="122">
        <f>('ESTADO RESULTADOS'!$C$36+'ESTADO RESULTADOS'!$C$71)/1375</f>
        <v>24762.287272727273</v>
      </c>
      <c r="M1185" s="122">
        <v>0</v>
      </c>
      <c r="N1185" s="122">
        <f>SUM(E1185+K1185+L1185+M1185)</f>
        <v>150193.30830794843</v>
      </c>
      <c r="O1185" s="122">
        <f>N1185</f>
        <v>150193.30830794843</v>
      </c>
      <c r="P1185" s="336">
        <f t="shared" si="231"/>
        <v>-150193.30830794843</v>
      </c>
      <c r="Q1185" s="336">
        <f t="shared" si="232"/>
        <v>106194.24830794844</v>
      </c>
      <c r="R1185" s="303">
        <f t="shared" si="233"/>
        <v>2.4135572057209504</v>
      </c>
    </row>
    <row r="1186" spans="1:18" x14ac:dyDescent="0.3">
      <c r="A1186" s="2">
        <v>3486</v>
      </c>
      <c r="B1186" s="41" t="s">
        <v>963</v>
      </c>
      <c r="C1186" s="2">
        <v>12</v>
      </c>
      <c r="D1186" s="2" t="s">
        <v>12</v>
      </c>
      <c r="E1186" s="294">
        <v>2499</v>
      </c>
      <c r="F1186" s="296">
        <v>3200</v>
      </c>
      <c r="G1186" s="352">
        <v>0</v>
      </c>
      <c r="H1186" s="296">
        <f t="shared" si="228"/>
        <v>0</v>
      </c>
      <c r="I1186" s="122">
        <f t="shared" si="229"/>
        <v>0</v>
      </c>
      <c r="J1186" s="331">
        <f t="shared" si="230"/>
        <v>0</v>
      </c>
      <c r="K1186" s="292">
        <f>'09-RESUMEN'!$F$43/1375</f>
        <v>81431.961035221175</v>
      </c>
      <c r="L1186" s="122">
        <f>('ESTADO RESULTADOS'!$C$36+'ESTADO RESULTADOS'!$C$71)/1375</f>
        <v>24762.287272727273</v>
      </c>
      <c r="M1186" s="122">
        <v>0</v>
      </c>
      <c r="N1186" s="122">
        <f>SUM(E1186+K1186+L1186+M1186)</f>
        <v>108693.24830794845</v>
      </c>
      <c r="O1186" s="122">
        <f>N1186</f>
        <v>108693.24830794845</v>
      </c>
      <c r="P1186" s="336">
        <f t="shared" si="231"/>
        <v>-108693.24830794845</v>
      </c>
      <c r="Q1186" s="336">
        <f t="shared" si="232"/>
        <v>106194.24830794845</v>
      </c>
      <c r="R1186" s="303">
        <f t="shared" si="233"/>
        <v>42.494697202060202</v>
      </c>
    </row>
    <row r="1187" spans="1:18" x14ac:dyDescent="0.3">
      <c r="A1187" s="2">
        <v>3487</v>
      </c>
      <c r="B1187" s="41" t="s">
        <v>964</v>
      </c>
      <c r="C1187" s="2">
        <v>12</v>
      </c>
      <c r="D1187" s="2" t="s">
        <v>12</v>
      </c>
      <c r="E1187" s="294">
        <v>20999.93</v>
      </c>
      <c r="F1187" s="296">
        <v>25083.333333333332</v>
      </c>
      <c r="G1187" s="352">
        <v>1</v>
      </c>
      <c r="H1187" s="296">
        <f t="shared" si="228"/>
        <v>20999.93</v>
      </c>
      <c r="I1187" s="122">
        <f t="shared" si="229"/>
        <v>25083.333333333332</v>
      </c>
      <c r="J1187" s="331">
        <f t="shared" si="230"/>
        <v>4083.4033333333318</v>
      </c>
      <c r="K1187" s="292">
        <f>'09-RESUMEN'!$F$43/1375</f>
        <v>81431.961035221175</v>
      </c>
      <c r="L1187" s="122">
        <f>('ESTADO RESULTADOS'!$C$36+'ESTADO RESULTADOS'!$C$71)/1375</f>
        <v>24762.287272727273</v>
      </c>
      <c r="M1187" s="122">
        <v>0</v>
      </c>
      <c r="N1187" s="122">
        <f t="shared" ref="N1187:N1196" si="236">SUM(H1187+K1187+L1187+M1187)</f>
        <v>127194.17830794844</v>
      </c>
      <c r="O1187" s="122">
        <f t="shared" ref="O1187:O1196" si="237">N1187/G1187</f>
        <v>127194.17830794844</v>
      </c>
      <c r="P1187" s="336">
        <f t="shared" si="231"/>
        <v>-102110.84497461512</v>
      </c>
      <c r="Q1187" s="336">
        <f t="shared" si="232"/>
        <v>106194.24830794844</v>
      </c>
      <c r="R1187" s="303">
        <f t="shared" si="233"/>
        <v>5.0568858233312417</v>
      </c>
    </row>
    <row r="1188" spans="1:18" x14ac:dyDescent="0.3">
      <c r="A1188" s="2">
        <v>3488</v>
      </c>
      <c r="B1188" s="41" t="s">
        <v>965</v>
      </c>
      <c r="C1188" s="2">
        <v>12</v>
      </c>
      <c r="D1188" s="2" t="s">
        <v>12</v>
      </c>
      <c r="E1188" s="294">
        <v>5950</v>
      </c>
      <c r="F1188" s="296">
        <v>7300</v>
      </c>
      <c r="G1188" s="352">
        <v>6</v>
      </c>
      <c r="H1188" s="296">
        <f t="shared" si="228"/>
        <v>35700</v>
      </c>
      <c r="I1188" s="122">
        <f t="shared" si="229"/>
        <v>43800</v>
      </c>
      <c r="J1188" s="331">
        <f t="shared" si="230"/>
        <v>8100</v>
      </c>
      <c r="K1188" s="292">
        <f>'09-RESUMEN'!$F$43/1375</f>
        <v>81431.961035221175</v>
      </c>
      <c r="L1188" s="122">
        <f>('ESTADO RESULTADOS'!$C$36+'ESTADO RESULTADOS'!$C$71)/1375</f>
        <v>24762.287272727273</v>
      </c>
      <c r="M1188" s="122">
        <v>0</v>
      </c>
      <c r="N1188" s="122">
        <f t="shared" si="236"/>
        <v>141894.24830794844</v>
      </c>
      <c r="O1188" s="122">
        <f t="shared" si="237"/>
        <v>23649.041384658074</v>
      </c>
      <c r="P1188" s="336">
        <f t="shared" si="231"/>
        <v>-98094.248307948437</v>
      </c>
      <c r="Q1188" s="336">
        <f t="shared" si="232"/>
        <v>17699.041384658074</v>
      </c>
      <c r="R1188" s="303">
        <f t="shared" si="233"/>
        <v>2.9746288041442139</v>
      </c>
    </row>
    <row r="1189" spans="1:18" x14ac:dyDescent="0.3">
      <c r="A1189" s="2">
        <v>3489</v>
      </c>
      <c r="B1189" s="41" t="s">
        <v>966</v>
      </c>
      <c r="C1189" s="2">
        <v>12</v>
      </c>
      <c r="D1189" s="2" t="s">
        <v>12</v>
      </c>
      <c r="E1189" s="294">
        <v>2618</v>
      </c>
      <c r="F1189" s="296">
        <v>6000</v>
      </c>
      <c r="G1189" s="352">
        <v>4</v>
      </c>
      <c r="H1189" s="296">
        <f t="shared" si="228"/>
        <v>10472</v>
      </c>
      <c r="I1189" s="122">
        <f t="shared" si="229"/>
        <v>24000</v>
      </c>
      <c r="J1189" s="331">
        <f t="shared" si="230"/>
        <v>13528</v>
      </c>
      <c r="K1189" s="292">
        <f>'09-RESUMEN'!$F$43/1375</f>
        <v>81431.961035221175</v>
      </c>
      <c r="L1189" s="122">
        <f>('ESTADO RESULTADOS'!$C$36+'ESTADO RESULTADOS'!$C$71)/1375</f>
        <v>24762.287272727273</v>
      </c>
      <c r="M1189" s="122">
        <v>0</v>
      </c>
      <c r="N1189" s="122">
        <f t="shared" si="236"/>
        <v>116666.24830794845</v>
      </c>
      <c r="O1189" s="122">
        <f t="shared" si="237"/>
        <v>29166.562076987113</v>
      </c>
      <c r="P1189" s="336">
        <f t="shared" si="231"/>
        <v>-92666.248307948452</v>
      </c>
      <c r="Q1189" s="336">
        <f t="shared" si="232"/>
        <v>26548.562076987113</v>
      </c>
      <c r="R1189" s="303">
        <f t="shared" si="233"/>
        <v>10.140780014128003</v>
      </c>
    </row>
    <row r="1190" spans="1:18" x14ac:dyDescent="0.3">
      <c r="A1190" s="2">
        <v>3490</v>
      </c>
      <c r="B1190" s="41" t="s">
        <v>967</v>
      </c>
      <c r="C1190" s="2">
        <v>5</v>
      </c>
      <c r="D1190" s="2" t="s">
        <v>12</v>
      </c>
      <c r="E1190" s="294">
        <v>39690</v>
      </c>
      <c r="F1190" s="296">
        <v>48000</v>
      </c>
      <c r="G1190" s="352">
        <v>112</v>
      </c>
      <c r="H1190" s="296">
        <f t="shared" si="228"/>
        <v>4445280</v>
      </c>
      <c r="I1190" s="122">
        <f t="shared" si="229"/>
        <v>5376000</v>
      </c>
      <c r="J1190" s="331">
        <f t="shared" si="230"/>
        <v>930720</v>
      </c>
      <c r="K1190" s="292">
        <f>'09-RESUMEN'!$F$43/1375</f>
        <v>81431.961035221175</v>
      </c>
      <c r="L1190" s="122">
        <f>('ESTADO RESULTADOS'!$C$36+'ESTADO RESULTADOS'!$C$71)/1375</f>
        <v>24762.287272727273</v>
      </c>
      <c r="M1190" s="122">
        <v>0</v>
      </c>
      <c r="N1190" s="122">
        <f t="shared" si="236"/>
        <v>4551474.248307948</v>
      </c>
      <c r="O1190" s="122">
        <f t="shared" si="237"/>
        <v>40638.162931320963</v>
      </c>
      <c r="P1190" s="336">
        <f t="shared" si="231"/>
        <v>824525.751692052</v>
      </c>
      <c r="Q1190" s="336">
        <f t="shared" si="232"/>
        <v>948.16293132096325</v>
      </c>
      <c r="R1190" s="303">
        <f t="shared" si="233"/>
        <v>2.3889214696925253E-2</v>
      </c>
    </row>
    <row r="1191" spans="1:18" x14ac:dyDescent="0.3">
      <c r="A1191" s="2">
        <v>3491</v>
      </c>
      <c r="B1191" s="41" t="s">
        <v>968</v>
      </c>
      <c r="C1191" s="2">
        <v>5</v>
      </c>
      <c r="D1191" s="2" t="s">
        <v>419</v>
      </c>
      <c r="E1191" s="294">
        <v>156627</v>
      </c>
      <c r="F1191" s="296">
        <v>175000</v>
      </c>
      <c r="G1191" s="352">
        <v>19</v>
      </c>
      <c r="H1191" s="296">
        <f t="shared" si="228"/>
        <v>2975913</v>
      </c>
      <c r="I1191" s="122">
        <f t="shared" si="229"/>
        <v>3325000</v>
      </c>
      <c r="J1191" s="331">
        <f t="shared" si="230"/>
        <v>349087</v>
      </c>
      <c r="K1191" s="292">
        <f>'09-RESUMEN'!$F$43/1375</f>
        <v>81431.961035221175</v>
      </c>
      <c r="L1191" s="122">
        <f>('ESTADO RESULTADOS'!$C$36+'ESTADO RESULTADOS'!$C$71)/1375</f>
        <v>24762.287272727273</v>
      </c>
      <c r="M1191" s="122">
        <v>0</v>
      </c>
      <c r="N1191" s="122">
        <f t="shared" si="236"/>
        <v>3082107.2483079485</v>
      </c>
      <c r="O1191" s="122">
        <f t="shared" si="237"/>
        <v>162216.17096357624</v>
      </c>
      <c r="P1191" s="336">
        <f t="shared" si="231"/>
        <v>242892.75169205153</v>
      </c>
      <c r="Q1191" s="336">
        <f t="shared" si="232"/>
        <v>5589.1709635762381</v>
      </c>
      <c r="R1191" s="303">
        <f t="shared" si="233"/>
        <v>3.5684594377573715E-2</v>
      </c>
    </row>
    <row r="1192" spans="1:18" x14ac:dyDescent="0.3">
      <c r="A1192" s="2">
        <v>3492</v>
      </c>
      <c r="B1192" s="41" t="s">
        <v>969</v>
      </c>
      <c r="C1192" s="2">
        <v>8</v>
      </c>
      <c r="D1192" s="2" t="s">
        <v>23</v>
      </c>
      <c r="E1192" s="294">
        <v>23100</v>
      </c>
      <c r="F1192" s="296">
        <v>27500</v>
      </c>
      <c r="G1192" s="352">
        <v>51</v>
      </c>
      <c r="H1192" s="296">
        <f t="shared" si="228"/>
        <v>1178100</v>
      </c>
      <c r="I1192" s="122">
        <f t="shared" si="229"/>
        <v>1402500</v>
      </c>
      <c r="J1192" s="331">
        <f t="shared" si="230"/>
        <v>224400</v>
      </c>
      <c r="K1192" s="292">
        <f>'09-RESUMEN'!$F$43/1375</f>
        <v>81431.961035221175</v>
      </c>
      <c r="L1192" s="122">
        <f>('ESTADO RESULTADOS'!$C$36+'ESTADO RESULTADOS'!$C$71)/1375</f>
        <v>24762.287272727273</v>
      </c>
      <c r="M1192" s="122">
        <v>0</v>
      </c>
      <c r="N1192" s="122">
        <f t="shared" si="236"/>
        <v>1284294.2483079485</v>
      </c>
      <c r="O1192" s="122">
        <f t="shared" si="237"/>
        <v>25182.240162900951</v>
      </c>
      <c r="P1192" s="336">
        <f t="shared" si="231"/>
        <v>118205.75169205153</v>
      </c>
      <c r="Q1192" s="336">
        <f t="shared" si="232"/>
        <v>2082.240162900951</v>
      </c>
      <c r="R1192" s="303">
        <f t="shared" si="233"/>
        <v>9.0140266792248958E-2</v>
      </c>
    </row>
    <row r="1193" spans="1:18" x14ac:dyDescent="0.3">
      <c r="A1193" s="2">
        <v>3493</v>
      </c>
      <c r="B1193" s="41" t="s">
        <v>970</v>
      </c>
      <c r="C1193" s="2">
        <v>6</v>
      </c>
      <c r="D1193" s="2" t="s">
        <v>23</v>
      </c>
      <c r="E1193" s="294">
        <v>45700</v>
      </c>
      <c r="F1193" s="296">
        <v>49066.666666666664</v>
      </c>
      <c r="G1193" s="352">
        <v>7</v>
      </c>
      <c r="H1193" s="296">
        <f t="shared" si="228"/>
        <v>319900</v>
      </c>
      <c r="I1193" s="122">
        <f t="shared" si="229"/>
        <v>343466.66666666663</v>
      </c>
      <c r="J1193" s="331">
        <f t="shared" si="230"/>
        <v>23566.666666666628</v>
      </c>
      <c r="K1193" s="292">
        <f>'09-RESUMEN'!$F$43/1375</f>
        <v>81431.961035221175</v>
      </c>
      <c r="L1193" s="122">
        <f>('ESTADO RESULTADOS'!$C$36+'ESTADO RESULTADOS'!$C$71)/1375</f>
        <v>24762.287272727273</v>
      </c>
      <c r="M1193" s="122">
        <v>0</v>
      </c>
      <c r="N1193" s="122">
        <f t="shared" si="236"/>
        <v>426094.24830794847</v>
      </c>
      <c r="O1193" s="122">
        <f t="shared" si="237"/>
        <v>60870.606901135492</v>
      </c>
      <c r="P1193" s="336">
        <f t="shared" si="231"/>
        <v>-82627.581641281839</v>
      </c>
      <c r="Q1193" s="336">
        <f t="shared" si="232"/>
        <v>15170.606901135492</v>
      </c>
      <c r="R1193" s="303">
        <f t="shared" si="233"/>
        <v>0.33196076370099548</v>
      </c>
    </row>
    <row r="1194" spans="1:18" x14ac:dyDescent="0.3">
      <c r="A1194" s="2">
        <v>3494</v>
      </c>
      <c r="B1194" s="41" t="s">
        <v>971</v>
      </c>
      <c r="C1194" s="2">
        <v>9</v>
      </c>
      <c r="D1194" s="2" t="s">
        <v>419</v>
      </c>
      <c r="E1194" s="294">
        <v>28000</v>
      </c>
      <c r="F1194" s="296">
        <v>34000</v>
      </c>
      <c r="G1194" s="352">
        <v>3</v>
      </c>
      <c r="H1194" s="296">
        <f t="shared" si="228"/>
        <v>84000</v>
      </c>
      <c r="I1194" s="122">
        <f t="shared" si="229"/>
        <v>102000</v>
      </c>
      <c r="J1194" s="331">
        <f t="shared" si="230"/>
        <v>18000</v>
      </c>
      <c r="K1194" s="292">
        <f>'09-RESUMEN'!$F$43/1375</f>
        <v>81431.961035221175</v>
      </c>
      <c r="L1194" s="122">
        <f>('ESTADO RESULTADOS'!$C$36+'ESTADO RESULTADOS'!$C$71)/1375</f>
        <v>24762.287272727273</v>
      </c>
      <c r="M1194" s="122">
        <v>0</v>
      </c>
      <c r="N1194" s="122">
        <f t="shared" si="236"/>
        <v>190194.24830794844</v>
      </c>
      <c r="O1194" s="122">
        <f t="shared" si="237"/>
        <v>63398.082769316148</v>
      </c>
      <c r="P1194" s="336">
        <f t="shared" si="231"/>
        <v>-88194.248307948437</v>
      </c>
      <c r="Q1194" s="336">
        <f t="shared" si="232"/>
        <v>35398.082769316148</v>
      </c>
      <c r="R1194" s="303">
        <f t="shared" si="233"/>
        <v>1.2642172417612909</v>
      </c>
    </row>
    <row r="1195" spans="1:18" x14ac:dyDescent="0.3">
      <c r="A1195" s="2">
        <v>3495</v>
      </c>
      <c r="B1195" s="41" t="s">
        <v>972</v>
      </c>
      <c r="C1195" s="2">
        <v>12</v>
      </c>
      <c r="D1195" s="2" t="s">
        <v>12</v>
      </c>
      <c r="E1195" s="294">
        <v>3600</v>
      </c>
      <c r="F1195" s="296">
        <v>4200</v>
      </c>
      <c r="G1195" s="352">
        <v>1</v>
      </c>
      <c r="H1195" s="296">
        <f t="shared" si="228"/>
        <v>3600</v>
      </c>
      <c r="I1195" s="122">
        <f t="shared" si="229"/>
        <v>4200</v>
      </c>
      <c r="J1195" s="331">
        <f t="shared" si="230"/>
        <v>600</v>
      </c>
      <c r="K1195" s="292">
        <f>'09-RESUMEN'!$F$43/1375</f>
        <v>81431.961035221175</v>
      </c>
      <c r="L1195" s="122">
        <f>('ESTADO RESULTADOS'!$C$36+'ESTADO RESULTADOS'!$C$71)/1375</f>
        <v>24762.287272727273</v>
      </c>
      <c r="M1195" s="122">
        <v>0</v>
      </c>
      <c r="N1195" s="122">
        <f t="shared" si="236"/>
        <v>109794.24830794845</v>
      </c>
      <c r="O1195" s="122">
        <f t="shared" si="237"/>
        <v>109794.24830794845</v>
      </c>
      <c r="P1195" s="336">
        <f t="shared" si="231"/>
        <v>-105594.24830794845</v>
      </c>
      <c r="Q1195" s="336">
        <f t="shared" si="232"/>
        <v>106194.24830794845</v>
      </c>
      <c r="R1195" s="303">
        <f t="shared" si="233"/>
        <v>29.49840230776346</v>
      </c>
    </row>
    <row r="1196" spans="1:18" x14ac:dyDescent="0.3">
      <c r="A1196" s="2">
        <v>3496</v>
      </c>
      <c r="B1196" s="41" t="s">
        <v>973</v>
      </c>
      <c r="C1196" s="2">
        <v>13</v>
      </c>
      <c r="D1196" s="2" t="s">
        <v>12</v>
      </c>
      <c r="E1196" s="294">
        <v>243395.46</v>
      </c>
      <c r="F1196" s="296">
        <v>268200</v>
      </c>
      <c r="G1196" s="352">
        <v>2</v>
      </c>
      <c r="H1196" s="296">
        <f t="shared" si="228"/>
        <v>486790.92</v>
      </c>
      <c r="I1196" s="122">
        <f t="shared" si="229"/>
        <v>536400</v>
      </c>
      <c r="J1196" s="331">
        <f t="shared" si="230"/>
        <v>49609.080000000016</v>
      </c>
      <c r="K1196" s="292">
        <f>'09-RESUMEN'!$F$43/1375</f>
        <v>81431.961035221175</v>
      </c>
      <c r="L1196" s="122">
        <f>('ESTADO RESULTADOS'!$C$36+'ESTADO RESULTADOS'!$C$71)/1375</f>
        <v>24762.287272727273</v>
      </c>
      <c r="M1196" s="122">
        <v>0</v>
      </c>
      <c r="N1196" s="122">
        <f t="shared" si="236"/>
        <v>592985.16830794839</v>
      </c>
      <c r="O1196" s="122">
        <f t="shared" si="237"/>
        <v>296492.5841539742</v>
      </c>
      <c r="P1196" s="336">
        <f t="shared" si="231"/>
        <v>-56585.168307948392</v>
      </c>
      <c r="Q1196" s="336">
        <f t="shared" si="232"/>
        <v>53097.124153974204</v>
      </c>
      <c r="R1196" s="303">
        <f t="shared" si="233"/>
        <v>0.21815166213032161</v>
      </c>
    </row>
    <row r="1197" spans="1:18" x14ac:dyDescent="0.3">
      <c r="A1197" s="2">
        <v>3497</v>
      </c>
      <c r="B1197" s="41" t="s">
        <v>974</v>
      </c>
      <c r="C1197" s="2">
        <v>14</v>
      </c>
      <c r="D1197" s="2" t="s">
        <v>795</v>
      </c>
      <c r="E1197" s="294">
        <v>14486</v>
      </c>
      <c r="F1197" s="296">
        <v>18600</v>
      </c>
      <c r="G1197" s="352">
        <v>0</v>
      </c>
      <c r="H1197" s="296">
        <f t="shared" si="228"/>
        <v>0</v>
      </c>
      <c r="I1197" s="122">
        <f t="shared" si="229"/>
        <v>0</v>
      </c>
      <c r="J1197" s="331">
        <f t="shared" si="230"/>
        <v>0</v>
      </c>
      <c r="K1197" s="292">
        <f>'09-RESUMEN'!$F$43/1375</f>
        <v>81431.961035221175</v>
      </c>
      <c r="L1197" s="122">
        <f>('ESTADO RESULTADOS'!$C$36+'ESTADO RESULTADOS'!$C$71)/1375</f>
        <v>24762.287272727273</v>
      </c>
      <c r="M1197" s="122">
        <v>0</v>
      </c>
      <c r="N1197" s="122">
        <f>SUM(E1197+K1197+L1197+M1197)</f>
        <v>120680.24830794845</v>
      </c>
      <c r="O1197" s="122">
        <f>N1197</f>
        <v>120680.24830794845</v>
      </c>
      <c r="P1197" s="336">
        <f t="shared" si="231"/>
        <v>-120680.24830794845</v>
      </c>
      <c r="Q1197" s="336">
        <f t="shared" si="232"/>
        <v>106194.24830794845</v>
      </c>
      <c r="R1197" s="303">
        <f t="shared" si="233"/>
        <v>7.330819295039932</v>
      </c>
    </row>
    <row r="1198" spans="1:18" x14ac:dyDescent="0.3">
      <c r="A1198" s="2">
        <v>3498</v>
      </c>
      <c r="B1198" s="41" t="s">
        <v>975</v>
      </c>
      <c r="C1198" s="2">
        <v>14</v>
      </c>
      <c r="D1198" s="2" t="s">
        <v>12</v>
      </c>
      <c r="E1198" s="294">
        <v>70000</v>
      </c>
      <c r="F1198" s="296">
        <v>81000</v>
      </c>
      <c r="G1198" s="352">
        <v>3</v>
      </c>
      <c r="H1198" s="296">
        <f t="shared" si="228"/>
        <v>210000</v>
      </c>
      <c r="I1198" s="122">
        <f t="shared" si="229"/>
        <v>243000</v>
      </c>
      <c r="J1198" s="331">
        <f t="shared" si="230"/>
        <v>33000</v>
      </c>
      <c r="K1198" s="292">
        <f>'09-RESUMEN'!$F$43/1375</f>
        <v>81431.961035221175</v>
      </c>
      <c r="L1198" s="122">
        <f>('ESTADO RESULTADOS'!$C$36+'ESTADO RESULTADOS'!$C$71)/1375</f>
        <v>24762.287272727273</v>
      </c>
      <c r="M1198" s="122">
        <v>0</v>
      </c>
      <c r="N1198" s="122">
        <f>SUM(H1198+K1198+L1198+M1198)</f>
        <v>316194.24830794847</v>
      </c>
      <c r="O1198" s="122">
        <f>N1198/G1198</f>
        <v>105398.08276931616</v>
      </c>
      <c r="P1198" s="336">
        <f t="shared" si="231"/>
        <v>-73194.248307948466</v>
      </c>
      <c r="Q1198" s="336">
        <f t="shared" si="232"/>
        <v>35398.082769316155</v>
      </c>
      <c r="R1198" s="303">
        <f t="shared" si="233"/>
        <v>0.5056868967045165</v>
      </c>
    </row>
    <row r="1199" spans="1:18" x14ac:dyDescent="0.3">
      <c r="A1199" s="2">
        <v>3499</v>
      </c>
      <c r="B1199" s="41" t="s">
        <v>976</v>
      </c>
      <c r="C1199" s="2">
        <v>14</v>
      </c>
      <c r="D1199" s="2" t="s">
        <v>12</v>
      </c>
      <c r="E1199" s="294">
        <v>49287</v>
      </c>
      <c r="F1199" s="296">
        <v>225000</v>
      </c>
      <c r="G1199" s="352">
        <v>0</v>
      </c>
      <c r="H1199" s="296">
        <f t="shared" si="228"/>
        <v>0</v>
      </c>
      <c r="I1199" s="122">
        <f t="shared" si="229"/>
        <v>0</v>
      </c>
      <c r="J1199" s="331">
        <f t="shared" si="230"/>
        <v>0</v>
      </c>
      <c r="K1199" s="292">
        <f>'09-RESUMEN'!$F$43/1375</f>
        <v>81431.961035221175</v>
      </c>
      <c r="L1199" s="122">
        <f>('ESTADO RESULTADOS'!$C$36+'ESTADO RESULTADOS'!$C$71)/1375</f>
        <v>24762.287272727273</v>
      </c>
      <c r="M1199" s="122">
        <v>0</v>
      </c>
      <c r="N1199" s="122">
        <f>SUM(E1199+K1199+L1199+M1199)</f>
        <v>155481.24830794844</v>
      </c>
      <c r="O1199" s="122">
        <f>N1199</f>
        <v>155481.24830794844</v>
      </c>
      <c r="P1199" s="336">
        <f t="shared" si="231"/>
        <v>-155481.24830794844</v>
      </c>
      <c r="Q1199" s="336">
        <f t="shared" si="232"/>
        <v>106194.24830794844</v>
      </c>
      <c r="R1199" s="303">
        <f t="shared" si="233"/>
        <v>2.1546097004879265</v>
      </c>
    </row>
    <row r="1200" spans="1:18" x14ac:dyDescent="0.3">
      <c r="A1200" s="2">
        <v>3500</v>
      </c>
      <c r="B1200" s="41" t="s">
        <v>1878</v>
      </c>
      <c r="C1200" s="2">
        <v>14</v>
      </c>
      <c r="D1200" s="2" t="s">
        <v>12</v>
      </c>
      <c r="E1200" s="294">
        <v>19962</v>
      </c>
      <c r="F1200" s="296">
        <v>45000</v>
      </c>
      <c r="G1200" s="352">
        <v>0</v>
      </c>
      <c r="H1200" s="296">
        <f t="shared" si="228"/>
        <v>0</v>
      </c>
      <c r="I1200" s="122">
        <f t="shared" si="229"/>
        <v>0</v>
      </c>
      <c r="J1200" s="331">
        <f t="shared" si="230"/>
        <v>0</v>
      </c>
      <c r="K1200" s="292">
        <f>'09-RESUMEN'!$F$43/1375</f>
        <v>81431.961035221175</v>
      </c>
      <c r="L1200" s="122">
        <f>('ESTADO RESULTADOS'!$C$36+'ESTADO RESULTADOS'!$C$71)/1375</f>
        <v>24762.287272727273</v>
      </c>
      <c r="M1200" s="122">
        <v>0</v>
      </c>
      <c r="N1200" s="122">
        <f>SUM(E1200+K1200+L1200+M1200)</f>
        <v>126156.24830794845</v>
      </c>
      <c r="O1200" s="122">
        <f>N1200</f>
        <v>126156.24830794845</v>
      </c>
      <c r="P1200" s="336">
        <f t="shared" si="231"/>
        <v>-126156.24830794845</v>
      </c>
      <c r="Q1200" s="336">
        <f t="shared" si="232"/>
        <v>106194.24830794845</v>
      </c>
      <c r="R1200" s="303">
        <f t="shared" si="233"/>
        <v>5.3198200735371435</v>
      </c>
    </row>
    <row r="1201" spans="1:18" x14ac:dyDescent="0.3">
      <c r="A1201" s="2">
        <v>3501</v>
      </c>
      <c r="B1201" s="41" t="s">
        <v>977</v>
      </c>
      <c r="C1201" s="2">
        <v>14</v>
      </c>
      <c r="D1201" s="2" t="s">
        <v>12</v>
      </c>
      <c r="E1201" s="294">
        <v>39456</v>
      </c>
      <c r="F1201" s="296">
        <v>45000</v>
      </c>
      <c r="G1201" s="352">
        <v>2</v>
      </c>
      <c r="H1201" s="296">
        <f t="shared" si="228"/>
        <v>78912</v>
      </c>
      <c r="I1201" s="122">
        <f t="shared" si="229"/>
        <v>90000</v>
      </c>
      <c r="J1201" s="331">
        <f t="shared" si="230"/>
        <v>11088</v>
      </c>
      <c r="K1201" s="292">
        <f>'09-RESUMEN'!$F$43/1375</f>
        <v>81431.961035221175</v>
      </c>
      <c r="L1201" s="122">
        <f>('ESTADO RESULTADOS'!$C$36+'ESTADO RESULTADOS'!$C$71)/1375</f>
        <v>24762.287272727273</v>
      </c>
      <c r="M1201" s="122">
        <v>0</v>
      </c>
      <c r="N1201" s="122">
        <f>SUM(H1201+K1201+L1201+M1201)</f>
        <v>185106.24830794844</v>
      </c>
      <c r="O1201" s="122">
        <f>N1201/G1201</f>
        <v>92553.124153974219</v>
      </c>
      <c r="P1201" s="336">
        <f t="shared" si="231"/>
        <v>-95106.248307948437</v>
      </c>
      <c r="Q1201" s="336">
        <f t="shared" si="232"/>
        <v>53097.124153974219</v>
      </c>
      <c r="R1201" s="303">
        <f t="shared" si="233"/>
        <v>1.3457300322884789</v>
      </c>
    </row>
    <row r="1202" spans="1:18" x14ac:dyDescent="0.3">
      <c r="A1202" s="2">
        <v>3502</v>
      </c>
      <c r="B1202" s="41" t="s">
        <v>978</v>
      </c>
      <c r="C1202" s="2">
        <v>14</v>
      </c>
      <c r="D1202" s="2" t="s">
        <v>12</v>
      </c>
      <c r="E1202" s="294">
        <v>22826</v>
      </c>
      <c r="F1202" s="296">
        <v>32500</v>
      </c>
      <c r="G1202" s="352">
        <v>7</v>
      </c>
      <c r="H1202" s="296">
        <f t="shared" si="228"/>
        <v>159782</v>
      </c>
      <c r="I1202" s="122">
        <f t="shared" si="229"/>
        <v>227500</v>
      </c>
      <c r="J1202" s="331">
        <f t="shared" si="230"/>
        <v>67718</v>
      </c>
      <c r="K1202" s="292">
        <f>'09-RESUMEN'!$F$43/1375</f>
        <v>81431.961035221175</v>
      </c>
      <c r="L1202" s="122">
        <f>('ESTADO RESULTADOS'!$C$36+'ESTADO RESULTADOS'!$C$71)/1375</f>
        <v>24762.287272727273</v>
      </c>
      <c r="M1202" s="122">
        <v>0</v>
      </c>
      <c r="N1202" s="122">
        <f>SUM(H1202+K1202+L1202+M1202)</f>
        <v>265976.24830794847</v>
      </c>
      <c r="O1202" s="122">
        <f>N1202/G1202</f>
        <v>37996.606901135492</v>
      </c>
      <c r="P1202" s="336">
        <f t="shared" si="231"/>
        <v>-38476.248307948466</v>
      </c>
      <c r="Q1202" s="336">
        <f t="shared" si="232"/>
        <v>15170.606901135492</v>
      </c>
      <c r="R1202" s="303">
        <f t="shared" si="233"/>
        <v>0.66461959612439725</v>
      </c>
    </row>
    <row r="1203" spans="1:18" x14ac:dyDescent="0.3">
      <c r="A1203" s="2">
        <v>3503</v>
      </c>
      <c r="B1203" s="41" t="s">
        <v>1879</v>
      </c>
      <c r="C1203" s="2">
        <v>14</v>
      </c>
      <c r="D1203" s="2" t="s">
        <v>12</v>
      </c>
      <c r="E1203" s="294">
        <v>30061</v>
      </c>
      <c r="F1203" s="296">
        <v>45000</v>
      </c>
      <c r="G1203" s="352">
        <v>0</v>
      </c>
      <c r="H1203" s="296">
        <f t="shared" si="228"/>
        <v>0</v>
      </c>
      <c r="I1203" s="122">
        <f t="shared" si="229"/>
        <v>0</v>
      </c>
      <c r="J1203" s="331">
        <f t="shared" si="230"/>
        <v>0</v>
      </c>
      <c r="K1203" s="292">
        <f>'09-RESUMEN'!$F$43/1375</f>
        <v>81431.961035221175</v>
      </c>
      <c r="L1203" s="122">
        <f>('ESTADO RESULTADOS'!$C$36+'ESTADO RESULTADOS'!$C$71)/1375</f>
        <v>24762.287272727273</v>
      </c>
      <c r="M1203" s="122">
        <v>0</v>
      </c>
      <c r="N1203" s="122">
        <f>SUM(E1203+K1203+L1203+M1203)</f>
        <v>136255.24830794844</v>
      </c>
      <c r="O1203" s="122">
        <f>N1203</f>
        <v>136255.24830794844</v>
      </c>
      <c r="P1203" s="336">
        <f t="shared" si="231"/>
        <v>-136255.24830794844</v>
      </c>
      <c r="Q1203" s="336">
        <f t="shared" si="232"/>
        <v>106194.24830794844</v>
      </c>
      <c r="R1203" s="303">
        <f t="shared" si="233"/>
        <v>3.5326252722114515</v>
      </c>
    </row>
    <row r="1204" spans="1:18" x14ac:dyDescent="0.3">
      <c r="A1204" s="2">
        <v>3504</v>
      </c>
      <c r="B1204" s="41" t="s">
        <v>979</v>
      </c>
      <c r="C1204" s="2">
        <v>14</v>
      </c>
      <c r="D1204" s="2" t="s">
        <v>12</v>
      </c>
      <c r="E1204" s="294">
        <v>62262</v>
      </c>
      <c r="F1204" s="296">
        <v>95000</v>
      </c>
      <c r="G1204" s="352">
        <v>2</v>
      </c>
      <c r="H1204" s="296">
        <f t="shared" si="228"/>
        <v>124524</v>
      </c>
      <c r="I1204" s="122">
        <f t="shared" si="229"/>
        <v>190000</v>
      </c>
      <c r="J1204" s="331">
        <f t="shared" si="230"/>
        <v>65476</v>
      </c>
      <c r="K1204" s="292">
        <f>'09-RESUMEN'!$F$43/1375</f>
        <v>81431.961035221175</v>
      </c>
      <c r="L1204" s="122">
        <f>('ESTADO RESULTADOS'!$C$36+'ESTADO RESULTADOS'!$C$71)/1375</f>
        <v>24762.287272727273</v>
      </c>
      <c r="M1204" s="122">
        <v>0</v>
      </c>
      <c r="N1204" s="122">
        <f>SUM(H1204+K1204+L1204+M1204)</f>
        <v>230718.24830794844</v>
      </c>
      <c r="O1204" s="122">
        <f>N1204/G1204</f>
        <v>115359.12415397422</v>
      </c>
      <c r="P1204" s="336">
        <f t="shared" si="231"/>
        <v>-40718.248307948437</v>
      </c>
      <c r="Q1204" s="336">
        <f t="shared" si="232"/>
        <v>53097.124153974219</v>
      </c>
      <c r="R1204" s="303">
        <f t="shared" si="233"/>
        <v>0.8528014544019501</v>
      </c>
    </row>
    <row r="1205" spans="1:18" x14ac:dyDescent="0.3">
      <c r="A1205" s="2">
        <v>3505</v>
      </c>
      <c r="B1205" s="41" t="s">
        <v>980</v>
      </c>
      <c r="C1205" s="2">
        <v>14</v>
      </c>
      <c r="D1205" s="2" t="s">
        <v>12</v>
      </c>
      <c r="E1205" s="294">
        <v>19314</v>
      </c>
      <c r="F1205" s="296">
        <v>29500</v>
      </c>
      <c r="G1205" s="352">
        <v>1</v>
      </c>
      <c r="H1205" s="296">
        <f t="shared" si="228"/>
        <v>19314</v>
      </c>
      <c r="I1205" s="122">
        <f t="shared" si="229"/>
        <v>29500</v>
      </c>
      <c r="J1205" s="331">
        <f t="shared" si="230"/>
        <v>10186</v>
      </c>
      <c r="K1205" s="292">
        <f>'09-RESUMEN'!$F$43/1375</f>
        <v>81431.961035221175</v>
      </c>
      <c r="L1205" s="122">
        <f>('ESTADO RESULTADOS'!$C$36+'ESTADO RESULTADOS'!$C$71)/1375</f>
        <v>24762.287272727273</v>
      </c>
      <c r="M1205" s="122">
        <v>0</v>
      </c>
      <c r="N1205" s="122">
        <f>SUM(H1205+K1205+L1205+M1205)</f>
        <v>125508.24830794845</v>
      </c>
      <c r="O1205" s="122">
        <f>N1205/G1205</f>
        <v>125508.24830794845</v>
      </c>
      <c r="P1205" s="336">
        <f t="shared" si="231"/>
        <v>-96008.248307948452</v>
      </c>
      <c r="Q1205" s="336">
        <f t="shared" si="232"/>
        <v>106194.24830794845</v>
      </c>
      <c r="R1205" s="303">
        <f t="shared" si="233"/>
        <v>5.4983042512140647</v>
      </c>
    </row>
    <row r="1206" spans="1:18" x14ac:dyDescent="0.3">
      <c r="A1206" s="2">
        <v>3506</v>
      </c>
      <c r="B1206" s="41" t="s">
        <v>1880</v>
      </c>
      <c r="C1206" s="2">
        <v>14</v>
      </c>
      <c r="D1206" s="2" t="s">
        <v>12</v>
      </c>
      <c r="E1206" s="294">
        <v>25828</v>
      </c>
      <c r="F1206" s="296">
        <v>32500</v>
      </c>
      <c r="G1206" s="352">
        <v>1</v>
      </c>
      <c r="H1206" s="296">
        <f t="shared" si="228"/>
        <v>25828</v>
      </c>
      <c r="I1206" s="122">
        <f t="shared" si="229"/>
        <v>32500</v>
      </c>
      <c r="J1206" s="331">
        <f t="shared" si="230"/>
        <v>6672</v>
      </c>
      <c r="K1206" s="292">
        <f>'09-RESUMEN'!$F$43/1375</f>
        <v>81431.961035221175</v>
      </c>
      <c r="L1206" s="122">
        <f>('ESTADO RESULTADOS'!$C$36+'ESTADO RESULTADOS'!$C$71)/1375</f>
        <v>24762.287272727273</v>
      </c>
      <c r="M1206" s="122">
        <v>0</v>
      </c>
      <c r="N1206" s="122">
        <f>SUM(H1206+K1206+L1206+M1206)</f>
        <v>132022.24830794844</v>
      </c>
      <c r="O1206" s="122">
        <f>N1206/G1206</f>
        <v>132022.24830794844</v>
      </c>
      <c r="P1206" s="336">
        <f t="shared" si="231"/>
        <v>-99522.248307948437</v>
      </c>
      <c r="Q1206" s="336">
        <f t="shared" si="232"/>
        <v>106194.24830794844</v>
      </c>
      <c r="R1206" s="303">
        <f t="shared" si="233"/>
        <v>4.1115939409922735</v>
      </c>
    </row>
    <row r="1207" spans="1:18" x14ac:dyDescent="0.3">
      <c r="A1207" s="2">
        <v>3507</v>
      </c>
      <c r="B1207" s="41" t="s">
        <v>1881</v>
      </c>
      <c r="C1207" s="2">
        <v>14</v>
      </c>
      <c r="D1207" s="2" t="s">
        <v>12</v>
      </c>
      <c r="E1207" s="294">
        <v>75000</v>
      </c>
      <c r="F1207" s="296">
        <v>97000</v>
      </c>
      <c r="G1207" s="352">
        <v>3</v>
      </c>
      <c r="H1207" s="296">
        <f t="shared" si="228"/>
        <v>225000</v>
      </c>
      <c r="I1207" s="122">
        <f t="shared" si="229"/>
        <v>291000</v>
      </c>
      <c r="J1207" s="331">
        <f t="shared" si="230"/>
        <v>66000</v>
      </c>
      <c r="K1207" s="292">
        <f>'09-RESUMEN'!$F$43/1375</f>
        <v>81431.961035221175</v>
      </c>
      <c r="L1207" s="122">
        <f>('ESTADO RESULTADOS'!$C$36+'ESTADO RESULTADOS'!$C$71)/1375</f>
        <v>24762.287272727273</v>
      </c>
      <c r="M1207" s="122">
        <v>0</v>
      </c>
      <c r="N1207" s="122">
        <f>SUM(H1207+K1207+L1207+M1207)</f>
        <v>331194.24830794847</v>
      </c>
      <c r="O1207" s="122">
        <f>N1207/G1207</f>
        <v>110398.08276931616</v>
      </c>
      <c r="P1207" s="336">
        <f t="shared" si="231"/>
        <v>-40194.248307948466</v>
      </c>
      <c r="Q1207" s="336">
        <f t="shared" si="232"/>
        <v>35398.082769316155</v>
      </c>
      <c r="R1207" s="303">
        <f t="shared" si="233"/>
        <v>0.47197443692421542</v>
      </c>
    </row>
    <row r="1208" spans="1:18" x14ac:dyDescent="0.3">
      <c r="A1208" s="2">
        <v>3508</v>
      </c>
      <c r="B1208" s="41" t="s">
        <v>981</v>
      </c>
      <c r="C1208" s="2">
        <v>14</v>
      </c>
      <c r="D1208" s="2" t="s">
        <v>12</v>
      </c>
      <c r="E1208" s="294">
        <v>23038</v>
      </c>
      <c r="F1208" s="296">
        <v>35000</v>
      </c>
      <c r="G1208" s="352">
        <v>0</v>
      </c>
      <c r="H1208" s="296">
        <f t="shared" si="228"/>
        <v>0</v>
      </c>
      <c r="I1208" s="122">
        <f t="shared" si="229"/>
        <v>0</v>
      </c>
      <c r="J1208" s="331">
        <f t="shared" si="230"/>
        <v>0</v>
      </c>
      <c r="K1208" s="292">
        <f>'09-RESUMEN'!$F$43/1375</f>
        <v>81431.961035221175</v>
      </c>
      <c r="L1208" s="122">
        <f>('ESTADO RESULTADOS'!$C$36+'ESTADO RESULTADOS'!$C$71)/1375</f>
        <v>24762.287272727273</v>
      </c>
      <c r="M1208" s="122">
        <v>0</v>
      </c>
      <c r="N1208" s="122">
        <f>SUM(E1208+K1208+L1208+M1208)</f>
        <v>129232.24830794845</v>
      </c>
      <c r="O1208" s="122">
        <f>N1208</f>
        <v>129232.24830794845</v>
      </c>
      <c r="P1208" s="336">
        <f t="shared" si="231"/>
        <v>-129232.24830794845</v>
      </c>
      <c r="Q1208" s="336">
        <f t="shared" si="232"/>
        <v>106194.24830794845</v>
      </c>
      <c r="R1208" s="303">
        <f t="shared" si="233"/>
        <v>4.6095254930093086</v>
      </c>
    </row>
    <row r="1209" spans="1:18" x14ac:dyDescent="0.3">
      <c r="A1209" s="2">
        <v>3509</v>
      </c>
      <c r="B1209" s="41" t="s">
        <v>982</v>
      </c>
      <c r="C1209" s="2">
        <v>14</v>
      </c>
      <c r="D1209" s="2" t="s">
        <v>12</v>
      </c>
      <c r="E1209" s="294">
        <v>6982</v>
      </c>
      <c r="F1209" s="296">
        <v>8500</v>
      </c>
      <c r="G1209" s="352">
        <v>7</v>
      </c>
      <c r="H1209" s="296">
        <f t="shared" si="228"/>
        <v>48874</v>
      </c>
      <c r="I1209" s="122">
        <f t="shared" si="229"/>
        <v>59500</v>
      </c>
      <c r="J1209" s="331">
        <f t="shared" si="230"/>
        <v>10626</v>
      </c>
      <c r="K1209" s="292">
        <f>'09-RESUMEN'!$F$43/1375</f>
        <v>81431.961035221175</v>
      </c>
      <c r="L1209" s="122">
        <f>('ESTADO RESULTADOS'!$C$36+'ESTADO RESULTADOS'!$C$71)/1375</f>
        <v>24762.287272727273</v>
      </c>
      <c r="M1209" s="122">
        <v>0</v>
      </c>
      <c r="N1209" s="122">
        <f t="shared" ref="N1209:N1214" si="238">SUM(H1209+K1209+L1209+M1209)</f>
        <v>155068.24830794844</v>
      </c>
      <c r="O1209" s="122">
        <f t="shared" ref="O1209:O1214" si="239">N1209/G1209</f>
        <v>22152.606901135492</v>
      </c>
      <c r="P1209" s="336">
        <f t="shared" si="231"/>
        <v>-95568.248307948437</v>
      </c>
      <c r="Q1209" s="336">
        <f t="shared" si="232"/>
        <v>15170.606901135492</v>
      </c>
      <c r="R1209" s="303">
        <f t="shared" si="233"/>
        <v>2.1728168005063724</v>
      </c>
    </row>
    <row r="1210" spans="1:18" x14ac:dyDescent="0.3">
      <c r="A1210" s="2">
        <v>3510</v>
      </c>
      <c r="B1210" s="41" t="s">
        <v>983</v>
      </c>
      <c r="C1210" s="2">
        <v>14</v>
      </c>
      <c r="D1210" s="2" t="s">
        <v>12</v>
      </c>
      <c r="E1210" s="294">
        <v>5806</v>
      </c>
      <c r="F1210" s="296">
        <v>8500</v>
      </c>
      <c r="G1210" s="352">
        <v>6</v>
      </c>
      <c r="H1210" s="296">
        <f t="shared" si="228"/>
        <v>34836</v>
      </c>
      <c r="I1210" s="122">
        <f t="shared" si="229"/>
        <v>51000</v>
      </c>
      <c r="J1210" s="331">
        <f t="shared" si="230"/>
        <v>16164</v>
      </c>
      <c r="K1210" s="292">
        <f>'09-RESUMEN'!$F$43/1375</f>
        <v>81431.961035221175</v>
      </c>
      <c r="L1210" s="122">
        <f>('ESTADO RESULTADOS'!$C$36+'ESTADO RESULTADOS'!$C$71)/1375</f>
        <v>24762.287272727273</v>
      </c>
      <c r="M1210" s="122">
        <v>0</v>
      </c>
      <c r="N1210" s="122">
        <f t="shared" si="238"/>
        <v>141030.24830794844</v>
      </c>
      <c r="O1210" s="122">
        <f t="shared" si="239"/>
        <v>23505.041384658074</v>
      </c>
      <c r="P1210" s="336">
        <f t="shared" si="231"/>
        <v>-90030.248307948437</v>
      </c>
      <c r="Q1210" s="336">
        <f t="shared" si="232"/>
        <v>17699.041384658074</v>
      </c>
      <c r="R1210" s="303">
        <f t="shared" si="233"/>
        <v>3.0484053366617418</v>
      </c>
    </row>
    <row r="1211" spans="1:18" x14ac:dyDescent="0.3">
      <c r="A1211" s="2">
        <v>3511</v>
      </c>
      <c r="B1211" s="41" t="s">
        <v>984</v>
      </c>
      <c r="C1211" s="2">
        <v>14</v>
      </c>
      <c r="D1211" s="2" t="s">
        <v>12</v>
      </c>
      <c r="E1211" s="294">
        <v>45535</v>
      </c>
      <c r="F1211" s="296">
        <v>55200</v>
      </c>
      <c r="G1211" s="352">
        <v>2</v>
      </c>
      <c r="H1211" s="296">
        <f t="shared" si="228"/>
        <v>91070</v>
      </c>
      <c r="I1211" s="122">
        <f t="shared" si="229"/>
        <v>110400</v>
      </c>
      <c r="J1211" s="331">
        <f t="shared" si="230"/>
        <v>19330</v>
      </c>
      <c r="K1211" s="292">
        <f>'09-RESUMEN'!$F$43/1375</f>
        <v>81431.961035221175</v>
      </c>
      <c r="L1211" s="122">
        <f>('ESTADO RESULTADOS'!$C$36+'ESTADO RESULTADOS'!$C$71)/1375</f>
        <v>24762.287272727273</v>
      </c>
      <c r="M1211" s="122">
        <v>0</v>
      </c>
      <c r="N1211" s="122">
        <f t="shared" si="238"/>
        <v>197264.24830794844</v>
      </c>
      <c r="O1211" s="122">
        <f t="shared" si="239"/>
        <v>98632.124153974219</v>
      </c>
      <c r="P1211" s="336">
        <f t="shared" si="231"/>
        <v>-86864.248307948437</v>
      </c>
      <c r="Q1211" s="336">
        <f t="shared" si="232"/>
        <v>53097.124153974219</v>
      </c>
      <c r="R1211" s="303">
        <f t="shared" si="233"/>
        <v>1.1660727825622976</v>
      </c>
    </row>
    <row r="1212" spans="1:18" x14ac:dyDescent="0.3">
      <c r="A1212" s="2">
        <v>3512</v>
      </c>
      <c r="B1212" s="41" t="s">
        <v>985</v>
      </c>
      <c r="C1212" s="2">
        <v>14</v>
      </c>
      <c r="D1212" s="2" t="s">
        <v>12</v>
      </c>
      <c r="E1212" s="294">
        <v>6428</v>
      </c>
      <c r="F1212" s="296">
        <v>8500</v>
      </c>
      <c r="G1212" s="352">
        <v>10</v>
      </c>
      <c r="H1212" s="296">
        <f t="shared" si="228"/>
        <v>64280</v>
      </c>
      <c r="I1212" s="122">
        <f t="shared" si="229"/>
        <v>85000</v>
      </c>
      <c r="J1212" s="331">
        <f t="shared" si="230"/>
        <v>20720</v>
      </c>
      <c r="K1212" s="292">
        <f>'09-RESUMEN'!$F$43/1375</f>
        <v>81431.961035221175</v>
      </c>
      <c r="L1212" s="122">
        <f>('ESTADO RESULTADOS'!$C$36+'ESTADO RESULTADOS'!$C$71)/1375</f>
        <v>24762.287272727273</v>
      </c>
      <c r="M1212" s="122">
        <v>0</v>
      </c>
      <c r="N1212" s="122">
        <f t="shared" si="238"/>
        <v>170474.24830794844</v>
      </c>
      <c r="O1212" s="122">
        <f t="shared" si="239"/>
        <v>17047.424830794844</v>
      </c>
      <c r="P1212" s="336">
        <f t="shared" si="231"/>
        <v>-85474.248307948437</v>
      </c>
      <c r="Q1212" s="336">
        <f t="shared" si="232"/>
        <v>10619.424830794844</v>
      </c>
      <c r="R1212" s="303">
        <f t="shared" si="233"/>
        <v>1.6520573787795338</v>
      </c>
    </row>
    <row r="1213" spans="1:18" x14ac:dyDescent="0.3">
      <c r="A1213" s="2">
        <v>3513</v>
      </c>
      <c r="B1213" s="41" t="s">
        <v>986</v>
      </c>
      <c r="C1213" s="2">
        <v>14</v>
      </c>
      <c r="D1213" s="2" t="s">
        <v>12</v>
      </c>
      <c r="E1213" s="294">
        <v>25110</v>
      </c>
      <c r="F1213" s="296">
        <v>32500</v>
      </c>
      <c r="G1213" s="352">
        <v>2</v>
      </c>
      <c r="H1213" s="296">
        <f t="shared" si="228"/>
        <v>50220</v>
      </c>
      <c r="I1213" s="122">
        <f t="shared" si="229"/>
        <v>65000</v>
      </c>
      <c r="J1213" s="331">
        <f t="shared" si="230"/>
        <v>14780</v>
      </c>
      <c r="K1213" s="292">
        <f>'09-RESUMEN'!$F$43/1375</f>
        <v>81431.961035221175</v>
      </c>
      <c r="L1213" s="122">
        <f>('ESTADO RESULTADOS'!$C$36+'ESTADO RESULTADOS'!$C$71)/1375</f>
        <v>24762.287272727273</v>
      </c>
      <c r="M1213" s="122">
        <v>0</v>
      </c>
      <c r="N1213" s="122">
        <f t="shared" si="238"/>
        <v>156414.24830794844</v>
      </c>
      <c r="O1213" s="122">
        <f t="shared" si="239"/>
        <v>78207.124153974219</v>
      </c>
      <c r="P1213" s="336">
        <f t="shared" si="231"/>
        <v>-91414.248307948437</v>
      </c>
      <c r="Q1213" s="336">
        <f t="shared" si="232"/>
        <v>53097.124153974219</v>
      </c>
      <c r="R1213" s="303">
        <f t="shared" si="233"/>
        <v>2.1145808105923622</v>
      </c>
    </row>
    <row r="1214" spans="1:18" x14ac:dyDescent="0.3">
      <c r="A1214" s="2">
        <v>3514</v>
      </c>
      <c r="B1214" s="41" t="s">
        <v>987</v>
      </c>
      <c r="C1214" s="2">
        <v>14</v>
      </c>
      <c r="D1214" s="2" t="s">
        <v>12</v>
      </c>
      <c r="E1214" s="294">
        <v>52092</v>
      </c>
      <c r="F1214" s="296">
        <v>63000</v>
      </c>
      <c r="G1214" s="352">
        <v>3</v>
      </c>
      <c r="H1214" s="296">
        <f t="shared" si="228"/>
        <v>156276</v>
      </c>
      <c r="I1214" s="122">
        <f t="shared" si="229"/>
        <v>189000</v>
      </c>
      <c r="J1214" s="331">
        <f t="shared" si="230"/>
        <v>32724</v>
      </c>
      <c r="K1214" s="292">
        <f>'09-RESUMEN'!$F$43/1375</f>
        <v>81431.961035221175</v>
      </c>
      <c r="L1214" s="122">
        <f>('ESTADO RESULTADOS'!$C$36+'ESTADO RESULTADOS'!$C$71)/1375</f>
        <v>24762.287272727273</v>
      </c>
      <c r="M1214" s="122">
        <v>0</v>
      </c>
      <c r="N1214" s="122">
        <f t="shared" si="238"/>
        <v>262470.24830794847</v>
      </c>
      <c r="O1214" s="122">
        <f t="shared" si="239"/>
        <v>87490.082769316155</v>
      </c>
      <c r="P1214" s="336">
        <f t="shared" si="231"/>
        <v>-73470.248307948466</v>
      </c>
      <c r="Q1214" s="336">
        <f t="shared" si="232"/>
        <v>35398.082769316155</v>
      </c>
      <c r="R1214" s="303">
        <f t="shared" si="233"/>
        <v>0.67953011535967434</v>
      </c>
    </row>
    <row r="1215" spans="1:18" x14ac:dyDescent="0.3">
      <c r="A1215" s="2">
        <v>3515</v>
      </c>
      <c r="B1215" s="41" t="s">
        <v>1882</v>
      </c>
      <c r="C1215" s="2">
        <v>14</v>
      </c>
      <c r="D1215" s="2" t="s">
        <v>12</v>
      </c>
      <c r="E1215" s="294">
        <v>12615</v>
      </c>
      <c r="F1215" s="296">
        <v>14200</v>
      </c>
      <c r="G1215" s="352">
        <v>0</v>
      </c>
      <c r="H1215" s="296">
        <f t="shared" si="228"/>
        <v>0</v>
      </c>
      <c r="I1215" s="122">
        <f t="shared" si="229"/>
        <v>0</v>
      </c>
      <c r="J1215" s="331">
        <f t="shared" si="230"/>
        <v>0</v>
      </c>
      <c r="K1215" s="292">
        <f>'09-RESUMEN'!$F$43/1375</f>
        <v>81431.961035221175</v>
      </c>
      <c r="L1215" s="122">
        <f>('ESTADO RESULTADOS'!$C$36+'ESTADO RESULTADOS'!$C$71)/1375</f>
        <v>24762.287272727273</v>
      </c>
      <c r="M1215" s="122">
        <v>0</v>
      </c>
      <c r="N1215" s="122">
        <f>SUM(E1215+K1215+L1215+M1215)</f>
        <v>118809.24830794845</v>
      </c>
      <c r="O1215" s="122">
        <f>N1215</f>
        <v>118809.24830794845</v>
      </c>
      <c r="P1215" s="336">
        <f t="shared" si="231"/>
        <v>-118809.24830794845</v>
      </c>
      <c r="Q1215" s="336">
        <f t="shared" si="232"/>
        <v>106194.24830794845</v>
      </c>
      <c r="R1215" s="303">
        <f t="shared" si="233"/>
        <v>8.4180934053070509</v>
      </c>
    </row>
    <row r="1216" spans="1:18" x14ac:dyDescent="0.3">
      <c r="A1216" s="2">
        <v>3516</v>
      </c>
      <c r="B1216" s="41" t="s">
        <v>988</v>
      </c>
      <c r="C1216" s="2">
        <v>14</v>
      </c>
      <c r="D1216" s="2" t="s">
        <v>12</v>
      </c>
      <c r="E1216" s="294">
        <v>11157</v>
      </c>
      <c r="F1216" s="296">
        <v>15000</v>
      </c>
      <c r="G1216" s="352">
        <v>0</v>
      </c>
      <c r="H1216" s="296">
        <f t="shared" si="228"/>
        <v>0</v>
      </c>
      <c r="I1216" s="122">
        <f t="shared" si="229"/>
        <v>0</v>
      </c>
      <c r="J1216" s="331">
        <f t="shared" si="230"/>
        <v>0</v>
      </c>
      <c r="K1216" s="292">
        <f>'09-RESUMEN'!$F$43/1375</f>
        <v>81431.961035221175</v>
      </c>
      <c r="L1216" s="122">
        <f>('ESTADO RESULTADOS'!$C$36+'ESTADO RESULTADOS'!$C$71)/1375</f>
        <v>24762.287272727273</v>
      </c>
      <c r="M1216" s="122">
        <v>0</v>
      </c>
      <c r="N1216" s="122">
        <f>SUM(E1216+K1216+L1216+M1216)</f>
        <v>117351.24830794845</v>
      </c>
      <c r="O1216" s="122">
        <f>N1216</f>
        <v>117351.24830794845</v>
      </c>
      <c r="P1216" s="336">
        <f t="shared" si="231"/>
        <v>-117351.24830794845</v>
      </c>
      <c r="Q1216" s="336">
        <f t="shared" si="232"/>
        <v>106194.24830794845</v>
      </c>
      <c r="R1216" s="303">
        <f t="shared" si="233"/>
        <v>9.5181722961323345</v>
      </c>
    </row>
    <row r="1217" spans="1:18" x14ac:dyDescent="0.3">
      <c r="A1217" s="2">
        <v>3517</v>
      </c>
      <c r="B1217" s="41" t="s">
        <v>989</v>
      </c>
      <c r="C1217" s="2">
        <v>14</v>
      </c>
      <c r="D1217" s="2" t="s">
        <v>12</v>
      </c>
      <c r="E1217" s="294">
        <v>46237</v>
      </c>
      <c r="F1217" s="296">
        <v>52000</v>
      </c>
      <c r="G1217" s="352">
        <v>2</v>
      </c>
      <c r="H1217" s="296">
        <f t="shared" si="228"/>
        <v>92474</v>
      </c>
      <c r="I1217" s="122">
        <f t="shared" si="229"/>
        <v>104000</v>
      </c>
      <c r="J1217" s="331">
        <f t="shared" si="230"/>
        <v>11526</v>
      </c>
      <c r="K1217" s="292">
        <f>'09-RESUMEN'!$F$43/1375</f>
        <v>81431.961035221175</v>
      </c>
      <c r="L1217" s="122">
        <f>('ESTADO RESULTADOS'!$C$36+'ESTADO RESULTADOS'!$C$71)/1375</f>
        <v>24762.287272727273</v>
      </c>
      <c r="M1217" s="122">
        <v>0</v>
      </c>
      <c r="N1217" s="122">
        <f>SUM(H1217+K1217+L1217+M1217)</f>
        <v>198668.24830794844</v>
      </c>
      <c r="O1217" s="122">
        <f>N1217/G1217</f>
        <v>99334.124153974219</v>
      </c>
      <c r="P1217" s="336">
        <f t="shared" si="231"/>
        <v>-94668.248307948437</v>
      </c>
      <c r="Q1217" s="336">
        <f t="shared" si="232"/>
        <v>53097.124153974219</v>
      </c>
      <c r="R1217" s="303">
        <f t="shared" si="233"/>
        <v>1.14836871237265</v>
      </c>
    </row>
    <row r="1218" spans="1:18" x14ac:dyDescent="0.3">
      <c r="A1218" s="2">
        <v>3518</v>
      </c>
      <c r="B1218" s="41" t="s">
        <v>990</v>
      </c>
      <c r="C1218" s="2">
        <v>14</v>
      </c>
      <c r="D1218" s="2" t="s">
        <v>12</v>
      </c>
      <c r="E1218" s="294">
        <v>11455</v>
      </c>
      <c r="F1218" s="296">
        <v>14500</v>
      </c>
      <c r="G1218" s="352">
        <v>0</v>
      </c>
      <c r="H1218" s="296">
        <f t="shared" si="228"/>
        <v>0</v>
      </c>
      <c r="I1218" s="122">
        <f t="shared" si="229"/>
        <v>0</v>
      </c>
      <c r="J1218" s="331">
        <f t="shared" si="230"/>
        <v>0</v>
      </c>
      <c r="K1218" s="292">
        <f>'09-RESUMEN'!$F$43/1375</f>
        <v>81431.961035221175</v>
      </c>
      <c r="L1218" s="122">
        <f>('ESTADO RESULTADOS'!$C$36+'ESTADO RESULTADOS'!$C$71)/1375</f>
        <v>24762.287272727273</v>
      </c>
      <c r="M1218" s="122">
        <v>0</v>
      </c>
      <c r="N1218" s="122">
        <f>SUM(E1218+K1218+L1218+M1218)</f>
        <v>117649.24830794845</v>
      </c>
      <c r="O1218" s="122">
        <f>N1218</f>
        <v>117649.24830794845</v>
      </c>
      <c r="P1218" s="336">
        <f t="shared" si="231"/>
        <v>-117649.24830794845</v>
      </c>
      <c r="Q1218" s="336">
        <f t="shared" si="232"/>
        <v>106194.24830794845</v>
      </c>
      <c r="R1218" s="303">
        <f t="shared" si="233"/>
        <v>9.2705585602748535</v>
      </c>
    </row>
    <row r="1219" spans="1:18" x14ac:dyDescent="0.3">
      <c r="A1219" s="2">
        <v>3519</v>
      </c>
      <c r="B1219" s="41" t="s">
        <v>991</v>
      </c>
      <c r="C1219" s="2">
        <v>14</v>
      </c>
      <c r="D1219" s="2" t="s">
        <v>12</v>
      </c>
      <c r="E1219" s="294">
        <v>18480</v>
      </c>
      <c r="F1219" s="296">
        <v>22500</v>
      </c>
      <c r="G1219" s="352">
        <v>5</v>
      </c>
      <c r="H1219" s="296">
        <f t="shared" si="228"/>
        <v>92400</v>
      </c>
      <c r="I1219" s="122">
        <f t="shared" si="229"/>
        <v>112500</v>
      </c>
      <c r="J1219" s="331">
        <f t="shared" si="230"/>
        <v>20100</v>
      </c>
      <c r="K1219" s="292">
        <f>'09-RESUMEN'!$F$43/1375</f>
        <v>81431.961035221175</v>
      </c>
      <c r="L1219" s="122">
        <f>('ESTADO RESULTADOS'!$C$36+'ESTADO RESULTADOS'!$C$71)/1375</f>
        <v>24762.287272727273</v>
      </c>
      <c r="M1219" s="122">
        <v>0</v>
      </c>
      <c r="N1219" s="122">
        <f t="shared" ref="N1219:N1225" si="240">SUM(H1219+K1219+L1219+M1219)</f>
        <v>198594.24830794844</v>
      </c>
      <c r="O1219" s="122">
        <f t="shared" ref="O1219:O1225" si="241">N1219/G1219</f>
        <v>39718.849661589687</v>
      </c>
      <c r="P1219" s="336">
        <f t="shared" si="231"/>
        <v>-86094.248307948437</v>
      </c>
      <c r="Q1219" s="336">
        <f t="shared" si="232"/>
        <v>21238.849661589687</v>
      </c>
      <c r="R1219" s="303">
        <f t="shared" si="233"/>
        <v>1.1492884016011735</v>
      </c>
    </row>
    <row r="1220" spans="1:18" x14ac:dyDescent="0.3">
      <c r="A1220" s="2">
        <v>3520</v>
      </c>
      <c r="B1220" s="41" t="s">
        <v>992</v>
      </c>
      <c r="C1220" s="2">
        <v>14</v>
      </c>
      <c r="D1220" s="2" t="s">
        <v>12</v>
      </c>
      <c r="E1220" s="294">
        <v>2743</v>
      </c>
      <c r="F1220" s="296">
        <v>4033.3333333333335</v>
      </c>
      <c r="G1220" s="352">
        <v>31</v>
      </c>
      <c r="H1220" s="296">
        <f t="shared" ref="H1220:H1283" si="242">E1220*G1220</f>
        <v>85033</v>
      </c>
      <c r="I1220" s="122">
        <f t="shared" ref="I1220:I1283" si="243">F1220*G1220</f>
        <v>125033.33333333334</v>
      </c>
      <c r="J1220" s="331">
        <f t="shared" ref="J1220:J1283" si="244">I1220-H1220</f>
        <v>40000.333333333343</v>
      </c>
      <c r="K1220" s="292">
        <f>'09-RESUMEN'!$F$43/1375</f>
        <v>81431.961035221175</v>
      </c>
      <c r="L1220" s="122">
        <f>('ESTADO RESULTADOS'!$C$36+'ESTADO RESULTADOS'!$C$71)/1375</f>
        <v>24762.287272727273</v>
      </c>
      <c r="M1220" s="122">
        <v>0</v>
      </c>
      <c r="N1220" s="122">
        <f t="shared" si="240"/>
        <v>191227.24830794844</v>
      </c>
      <c r="O1220" s="122">
        <f t="shared" si="241"/>
        <v>6168.620913159627</v>
      </c>
      <c r="P1220" s="336">
        <f t="shared" si="231"/>
        <v>-66193.914974615094</v>
      </c>
      <c r="Q1220" s="336">
        <f t="shared" si="232"/>
        <v>3425.620913159627</v>
      </c>
      <c r="R1220" s="303">
        <f t="shared" si="233"/>
        <v>1.2488592465036918</v>
      </c>
    </row>
    <row r="1221" spans="1:18" x14ac:dyDescent="0.3">
      <c r="A1221" s="2">
        <v>3522</v>
      </c>
      <c r="B1221" s="41" t="s">
        <v>993</v>
      </c>
      <c r="C1221" s="2">
        <v>14</v>
      </c>
      <c r="D1221" s="2" t="s">
        <v>12</v>
      </c>
      <c r="E1221" s="294">
        <v>15750</v>
      </c>
      <c r="F1221" s="296">
        <v>19966.666666666668</v>
      </c>
      <c r="G1221" s="352">
        <v>8</v>
      </c>
      <c r="H1221" s="296">
        <f t="shared" si="242"/>
        <v>126000</v>
      </c>
      <c r="I1221" s="122">
        <f t="shared" si="243"/>
        <v>159733.33333333334</v>
      </c>
      <c r="J1221" s="331">
        <f t="shared" si="244"/>
        <v>33733.333333333343</v>
      </c>
      <c r="K1221" s="292">
        <f>'09-RESUMEN'!$F$43/1375</f>
        <v>81431.961035221175</v>
      </c>
      <c r="L1221" s="122">
        <f>('ESTADO RESULTADOS'!$C$36+'ESTADO RESULTADOS'!$C$71)/1375</f>
        <v>24762.287272727273</v>
      </c>
      <c r="M1221" s="122">
        <v>0</v>
      </c>
      <c r="N1221" s="122">
        <f t="shared" si="240"/>
        <v>232194.24830794844</v>
      </c>
      <c r="O1221" s="122">
        <f t="shared" si="241"/>
        <v>29024.281038493555</v>
      </c>
      <c r="P1221" s="336">
        <f t="shared" ref="P1221:P1284" si="245">I1221-N1221</f>
        <v>-72460.914974615094</v>
      </c>
      <c r="Q1221" s="336">
        <f t="shared" ref="Q1221:Q1284" si="246">O1221-E1221</f>
        <v>13274.281038493555</v>
      </c>
      <c r="R1221" s="303">
        <f t="shared" ref="R1221:R1284" si="247">Q1221/E1221</f>
        <v>0.84281149450752724</v>
      </c>
    </row>
    <row r="1222" spans="1:18" x14ac:dyDescent="0.3">
      <c r="A1222" s="2">
        <v>3523</v>
      </c>
      <c r="B1222" s="41" t="s">
        <v>994</v>
      </c>
      <c r="C1222" s="2">
        <v>6</v>
      </c>
      <c r="D1222" s="2" t="s">
        <v>12</v>
      </c>
      <c r="E1222" s="294">
        <v>110030.7692</v>
      </c>
      <c r="F1222" s="296">
        <v>128333</v>
      </c>
      <c r="G1222" s="352">
        <v>73</v>
      </c>
      <c r="H1222" s="296">
        <f t="shared" si="242"/>
        <v>8032246.1515999995</v>
      </c>
      <c r="I1222" s="122">
        <f t="shared" si="243"/>
        <v>9368309</v>
      </c>
      <c r="J1222" s="331">
        <f t="shared" si="244"/>
        <v>1336062.8484000005</v>
      </c>
      <c r="K1222" s="292">
        <f>'09-RESUMEN'!$F$43/1375</f>
        <v>81431.961035221175</v>
      </c>
      <c r="L1222" s="122">
        <f>('ESTADO RESULTADOS'!$C$36+'ESTADO RESULTADOS'!$C$71)/1375</f>
        <v>24762.287272727273</v>
      </c>
      <c r="M1222" s="122">
        <v>0</v>
      </c>
      <c r="N1222" s="122">
        <f t="shared" si="240"/>
        <v>8138440.3999079475</v>
      </c>
      <c r="O1222" s="122">
        <f t="shared" si="241"/>
        <v>111485.48493024586</v>
      </c>
      <c r="P1222" s="336">
        <f t="shared" si="245"/>
        <v>1229868.6000920525</v>
      </c>
      <c r="Q1222" s="336">
        <f t="shared" si="246"/>
        <v>1454.7157302458654</v>
      </c>
      <c r="R1222" s="303">
        <f t="shared" si="247"/>
        <v>1.3220990281379089E-2</v>
      </c>
    </row>
    <row r="1223" spans="1:18" x14ac:dyDescent="0.3">
      <c r="A1223" s="2">
        <v>3524</v>
      </c>
      <c r="B1223" s="41" t="s">
        <v>995</v>
      </c>
      <c r="C1223" s="2">
        <v>4</v>
      </c>
      <c r="D1223" s="2" t="s">
        <v>12</v>
      </c>
      <c r="E1223" s="294">
        <v>16500</v>
      </c>
      <c r="F1223" s="296">
        <v>20500</v>
      </c>
      <c r="G1223" s="352">
        <v>14</v>
      </c>
      <c r="H1223" s="296">
        <f t="shared" si="242"/>
        <v>231000</v>
      </c>
      <c r="I1223" s="122">
        <f t="shared" si="243"/>
        <v>287000</v>
      </c>
      <c r="J1223" s="331">
        <f t="shared" si="244"/>
        <v>56000</v>
      </c>
      <c r="K1223" s="292">
        <f>'09-RESUMEN'!$F$43/1375</f>
        <v>81431.961035221175</v>
      </c>
      <c r="L1223" s="122">
        <f>('ESTADO RESULTADOS'!$C$36+'ESTADO RESULTADOS'!$C$71)/1375</f>
        <v>24762.287272727273</v>
      </c>
      <c r="M1223" s="122">
        <v>0</v>
      </c>
      <c r="N1223" s="122">
        <f t="shared" si="240"/>
        <v>337194.24830794847</v>
      </c>
      <c r="O1223" s="122">
        <f t="shared" si="241"/>
        <v>24085.303450567746</v>
      </c>
      <c r="P1223" s="336">
        <f t="shared" si="245"/>
        <v>-50194.248307948466</v>
      </c>
      <c r="Q1223" s="336">
        <f t="shared" si="246"/>
        <v>7585.303450567746</v>
      </c>
      <c r="R1223" s="303">
        <f t="shared" si="247"/>
        <v>0.45971536064046947</v>
      </c>
    </row>
    <row r="1224" spans="1:18" x14ac:dyDescent="0.3">
      <c r="A1224" s="2">
        <v>3525</v>
      </c>
      <c r="B1224" s="41" t="s">
        <v>996</v>
      </c>
      <c r="C1224" s="2">
        <v>6</v>
      </c>
      <c r="D1224" s="2" t="s">
        <v>16</v>
      </c>
      <c r="E1224" s="294">
        <v>104000</v>
      </c>
      <c r="F1224" s="296">
        <v>125000</v>
      </c>
      <c r="G1224" s="352">
        <v>9</v>
      </c>
      <c r="H1224" s="296">
        <f t="shared" si="242"/>
        <v>936000</v>
      </c>
      <c r="I1224" s="122">
        <f t="shared" si="243"/>
        <v>1125000</v>
      </c>
      <c r="J1224" s="331">
        <f t="shared" si="244"/>
        <v>189000</v>
      </c>
      <c r="K1224" s="292">
        <f>'09-RESUMEN'!$F$43/1375</f>
        <v>81431.961035221175</v>
      </c>
      <c r="L1224" s="122">
        <f>('ESTADO RESULTADOS'!$C$36+'ESTADO RESULTADOS'!$C$71)/1375</f>
        <v>24762.287272727273</v>
      </c>
      <c r="M1224" s="122">
        <v>0</v>
      </c>
      <c r="N1224" s="122">
        <f t="shared" si="240"/>
        <v>1042194.2483079483</v>
      </c>
      <c r="O1224" s="122">
        <f t="shared" si="241"/>
        <v>115799.36092310537</v>
      </c>
      <c r="P1224" s="336">
        <f t="shared" si="245"/>
        <v>82805.75169205165</v>
      </c>
      <c r="Q1224" s="336">
        <f t="shared" si="246"/>
        <v>11799.360923105371</v>
      </c>
      <c r="R1224" s="303">
        <f t="shared" si="247"/>
        <v>0.1134553934913978</v>
      </c>
    </row>
    <row r="1225" spans="1:18" x14ac:dyDescent="0.3">
      <c r="A1225" s="2">
        <v>3526</v>
      </c>
      <c r="B1225" s="41" t="s">
        <v>997</v>
      </c>
      <c r="C1225" s="2">
        <v>5</v>
      </c>
      <c r="D1225" s="2" t="s">
        <v>16</v>
      </c>
      <c r="E1225" s="294">
        <v>167800</v>
      </c>
      <c r="F1225" s="296">
        <v>189333</v>
      </c>
      <c r="G1225" s="352">
        <v>1</v>
      </c>
      <c r="H1225" s="296">
        <f t="shared" si="242"/>
        <v>167800</v>
      </c>
      <c r="I1225" s="122">
        <f t="shared" si="243"/>
        <v>189333</v>
      </c>
      <c r="J1225" s="331">
        <f t="shared" si="244"/>
        <v>21533</v>
      </c>
      <c r="K1225" s="292">
        <f>'09-RESUMEN'!$F$43/1375</f>
        <v>81431.961035221175</v>
      </c>
      <c r="L1225" s="122">
        <f>('ESTADO RESULTADOS'!$C$36+'ESTADO RESULTADOS'!$C$71)/1375</f>
        <v>24762.287272727273</v>
      </c>
      <c r="M1225" s="122">
        <v>0</v>
      </c>
      <c r="N1225" s="122">
        <f t="shared" si="240"/>
        <v>273994.24830794847</v>
      </c>
      <c r="O1225" s="122">
        <f t="shared" si="241"/>
        <v>273994.24830794847</v>
      </c>
      <c r="P1225" s="336">
        <f t="shared" si="245"/>
        <v>-84661.248307948466</v>
      </c>
      <c r="Q1225" s="336">
        <f t="shared" si="246"/>
        <v>106194.24830794847</v>
      </c>
      <c r="R1225" s="303">
        <f t="shared" si="247"/>
        <v>0.63286202805690384</v>
      </c>
    </row>
    <row r="1226" spans="1:18" x14ac:dyDescent="0.3">
      <c r="A1226" s="2">
        <v>3527</v>
      </c>
      <c r="B1226" s="41" t="s">
        <v>998</v>
      </c>
      <c r="C1226" s="2">
        <v>5</v>
      </c>
      <c r="D1226" s="2" t="s">
        <v>176</v>
      </c>
      <c r="E1226" s="294">
        <v>49500</v>
      </c>
      <c r="F1226" s="296">
        <v>56200</v>
      </c>
      <c r="G1226" s="352">
        <v>0</v>
      </c>
      <c r="H1226" s="296">
        <f t="shared" si="242"/>
        <v>0</v>
      </c>
      <c r="I1226" s="122">
        <f t="shared" si="243"/>
        <v>0</v>
      </c>
      <c r="J1226" s="331">
        <f t="shared" si="244"/>
        <v>0</v>
      </c>
      <c r="K1226" s="292">
        <f>'09-RESUMEN'!$F$43/1375</f>
        <v>81431.961035221175</v>
      </c>
      <c r="L1226" s="122">
        <f>('ESTADO RESULTADOS'!$C$36+'ESTADO RESULTADOS'!$C$71)/1375</f>
        <v>24762.287272727273</v>
      </c>
      <c r="M1226" s="122">
        <v>0</v>
      </c>
      <c r="N1226" s="122">
        <f>SUM(E1226+K1226+L1226+M1226)</f>
        <v>155694.24830794844</v>
      </c>
      <c r="O1226" s="122">
        <f>N1226</f>
        <v>155694.24830794844</v>
      </c>
      <c r="P1226" s="336">
        <f t="shared" si="245"/>
        <v>-155694.24830794844</v>
      </c>
      <c r="Q1226" s="336">
        <f t="shared" si="246"/>
        <v>106194.24830794844</v>
      </c>
      <c r="R1226" s="303">
        <f t="shared" si="247"/>
        <v>2.1453383496555238</v>
      </c>
    </row>
    <row r="1227" spans="1:18" x14ac:dyDescent="0.3">
      <c r="A1227" s="2">
        <v>3528</v>
      </c>
      <c r="B1227" s="41" t="s">
        <v>999</v>
      </c>
      <c r="C1227" s="2">
        <v>5</v>
      </c>
      <c r="D1227" s="2" t="s">
        <v>16</v>
      </c>
      <c r="E1227" s="294">
        <v>191000</v>
      </c>
      <c r="F1227" s="296">
        <v>214000</v>
      </c>
      <c r="G1227" s="352">
        <v>1</v>
      </c>
      <c r="H1227" s="296">
        <f t="shared" si="242"/>
        <v>191000</v>
      </c>
      <c r="I1227" s="122">
        <f t="shared" si="243"/>
        <v>214000</v>
      </c>
      <c r="J1227" s="331">
        <f t="shared" si="244"/>
        <v>23000</v>
      </c>
      <c r="K1227" s="292">
        <f>'09-RESUMEN'!$F$43/1375</f>
        <v>81431.961035221175</v>
      </c>
      <c r="L1227" s="122">
        <f>('ESTADO RESULTADOS'!$C$36+'ESTADO RESULTADOS'!$C$71)/1375</f>
        <v>24762.287272727273</v>
      </c>
      <c r="M1227" s="122">
        <v>0</v>
      </c>
      <c r="N1227" s="122">
        <f>SUM(H1227+K1227+L1227+M1227)</f>
        <v>297194.24830794847</v>
      </c>
      <c r="O1227" s="122">
        <f>N1227/G1227</f>
        <v>297194.24830794847</v>
      </c>
      <c r="P1227" s="336">
        <f t="shared" si="245"/>
        <v>-83194.248307948466</v>
      </c>
      <c r="Q1227" s="336">
        <f t="shared" si="246"/>
        <v>106194.24830794847</v>
      </c>
      <c r="R1227" s="303">
        <f t="shared" si="247"/>
        <v>0.55599082883742657</v>
      </c>
    </row>
    <row r="1228" spans="1:18" x14ac:dyDescent="0.3">
      <c r="A1228" s="2">
        <v>3529</v>
      </c>
      <c r="B1228" s="41" t="s">
        <v>1000</v>
      </c>
      <c r="C1228" s="2">
        <v>14</v>
      </c>
      <c r="D1228" s="2" t="s">
        <v>12</v>
      </c>
      <c r="E1228" s="294">
        <v>15500</v>
      </c>
      <c r="F1228" s="296">
        <v>18800</v>
      </c>
      <c r="G1228" s="352">
        <v>2</v>
      </c>
      <c r="H1228" s="296">
        <f t="shared" si="242"/>
        <v>31000</v>
      </c>
      <c r="I1228" s="122">
        <f t="shared" si="243"/>
        <v>37600</v>
      </c>
      <c r="J1228" s="331">
        <f t="shared" si="244"/>
        <v>6600</v>
      </c>
      <c r="K1228" s="292">
        <f>'09-RESUMEN'!$F$43/1375</f>
        <v>81431.961035221175</v>
      </c>
      <c r="L1228" s="122">
        <f>('ESTADO RESULTADOS'!$C$36+'ESTADO RESULTADOS'!$C$71)/1375</f>
        <v>24762.287272727273</v>
      </c>
      <c r="M1228" s="122">
        <v>0</v>
      </c>
      <c r="N1228" s="122">
        <f>SUM(H1228+K1228+L1228+M1228)</f>
        <v>137194.24830794844</v>
      </c>
      <c r="O1228" s="122">
        <f>N1228/G1228</f>
        <v>68597.124153974219</v>
      </c>
      <c r="P1228" s="336">
        <f t="shared" si="245"/>
        <v>-99594.248307948437</v>
      </c>
      <c r="Q1228" s="336">
        <f t="shared" si="246"/>
        <v>53097.124153974219</v>
      </c>
      <c r="R1228" s="303">
        <f t="shared" si="247"/>
        <v>3.4256209131596269</v>
      </c>
    </row>
    <row r="1229" spans="1:18" x14ac:dyDescent="0.3">
      <c r="A1229" s="2">
        <v>3530</v>
      </c>
      <c r="B1229" s="41" t="s">
        <v>1883</v>
      </c>
      <c r="C1229" s="2">
        <v>7</v>
      </c>
      <c r="D1229" s="2" t="s">
        <v>12</v>
      </c>
      <c r="E1229" s="294">
        <v>16800</v>
      </c>
      <c r="F1229" s="296">
        <v>22166.666666666668</v>
      </c>
      <c r="G1229" s="352">
        <v>14</v>
      </c>
      <c r="H1229" s="296">
        <f t="shared" si="242"/>
        <v>235200</v>
      </c>
      <c r="I1229" s="122">
        <f t="shared" si="243"/>
        <v>310333.33333333337</v>
      </c>
      <c r="J1229" s="331">
        <f t="shared" si="244"/>
        <v>75133.333333333372</v>
      </c>
      <c r="K1229" s="292">
        <f>'09-RESUMEN'!$F$43/1375</f>
        <v>81431.961035221175</v>
      </c>
      <c r="L1229" s="122">
        <f>('ESTADO RESULTADOS'!$C$36+'ESTADO RESULTADOS'!$C$71)/1375</f>
        <v>24762.287272727273</v>
      </c>
      <c r="M1229" s="122">
        <v>0</v>
      </c>
      <c r="N1229" s="122">
        <f>SUM(H1229+K1229+L1229+M1229)</f>
        <v>341394.24830794847</v>
      </c>
      <c r="O1229" s="122">
        <f>N1229/G1229</f>
        <v>24385.303450567746</v>
      </c>
      <c r="P1229" s="336">
        <f t="shared" si="245"/>
        <v>-31060.914974615094</v>
      </c>
      <c r="Q1229" s="336">
        <f t="shared" si="246"/>
        <v>7585.303450567746</v>
      </c>
      <c r="R1229" s="303">
        <f t="shared" si="247"/>
        <v>0.45150615777188963</v>
      </c>
    </row>
    <row r="1230" spans="1:18" x14ac:dyDescent="0.3">
      <c r="A1230" s="2">
        <v>3531</v>
      </c>
      <c r="B1230" s="41" t="s">
        <v>1001</v>
      </c>
      <c r="C1230" s="2">
        <v>14</v>
      </c>
      <c r="D1230" s="2" t="s">
        <v>12</v>
      </c>
      <c r="E1230" s="294">
        <v>8046.4</v>
      </c>
      <c r="F1230" s="296">
        <v>10500</v>
      </c>
      <c r="G1230" s="352">
        <v>9</v>
      </c>
      <c r="H1230" s="296">
        <f t="shared" si="242"/>
        <v>72417.599999999991</v>
      </c>
      <c r="I1230" s="122">
        <f t="shared" si="243"/>
        <v>94500</v>
      </c>
      <c r="J1230" s="331">
        <f t="shared" si="244"/>
        <v>22082.400000000009</v>
      </c>
      <c r="K1230" s="292">
        <f>'09-RESUMEN'!$F$43/1375</f>
        <v>81431.961035221175</v>
      </c>
      <c r="L1230" s="122">
        <f>('ESTADO RESULTADOS'!$C$36+'ESTADO RESULTADOS'!$C$71)/1375</f>
        <v>24762.287272727273</v>
      </c>
      <c r="M1230" s="122">
        <v>0</v>
      </c>
      <c r="N1230" s="122">
        <f>SUM(H1230+K1230+L1230+M1230)</f>
        <v>178611.84830794841</v>
      </c>
      <c r="O1230" s="122">
        <f>N1230/G1230</f>
        <v>19845.760923105379</v>
      </c>
      <c r="P1230" s="336">
        <f t="shared" si="245"/>
        <v>-84111.848307948414</v>
      </c>
      <c r="Q1230" s="336">
        <f t="shared" si="246"/>
        <v>11799.36092310538</v>
      </c>
      <c r="R1230" s="303">
        <f t="shared" si="247"/>
        <v>1.4664149089164571</v>
      </c>
    </row>
    <row r="1231" spans="1:18" x14ac:dyDescent="0.3">
      <c r="A1231" s="2">
        <v>3532</v>
      </c>
      <c r="B1231" s="41" t="s">
        <v>1002</v>
      </c>
      <c r="C1231" s="2">
        <v>14</v>
      </c>
      <c r="D1231" s="2" t="s">
        <v>12</v>
      </c>
      <c r="E1231" s="294">
        <v>11931</v>
      </c>
      <c r="F1231" s="296">
        <v>14500</v>
      </c>
      <c r="G1231" s="352">
        <v>0</v>
      </c>
      <c r="H1231" s="296">
        <f t="shared" si="242"/>
        <v>0</v>
      </c>
      <c r="I1231" s="122">
        <f t="shared" si="243"/>
        <v>0</v>
      </c>
      <c r="J1231" s="331">
        <f t="shared" si="244"/>
        <v>0</v>
      </c>
      <c r="K1231" s="292">
        <f>'09-RESUMEN'!$F$43/1375</f>
        <v>81431.961035221175</v>
      </c>
      <c r="L1231" s="122">
        <f>('ESTADO RESULTADOS'!$C$36+'ESTADO RESULTADOS'!$C$71)/1375</f>
        <v>24762.287272727273</v>
      </c>
      <c r="M1231" s="122">
        <v>0</v>
      </c>
      <c r="N1231" s="122">
        <f>SUM(E1231+K1231+L1231+M1231)</f>
        <v>118125.24830794845</v>
      </c>
      <c r="O1231" s="122">
        <f>N1231</f>
        <v>118125.24830794845</v>
      </c>
      <c r="P1231" s="336">
        <f t="shared" si="245"/>
        <v>-118125.24830794845</v>
      </c>
      <c r="Q1231" s="336">
        <f t="shared" si="246"/>
        <v>106194.24830794845</v>
      </c>
      <c r="R1231" s="303">
        <f t="shared" si="247"/>
        <v>8.9006997156942802</v>
      </c>
    </row>
    <row r="1232" spans="1:18" x14ac:dyDescent="0.3">
      <c r="A1232" s="2">
        <v>3533</v>
      </c>
      <c r="B1232" s="41" t="s">
        <v>1003</v>
      </c>
      <c r="C1232" s="2">
        <v>14</v>
      </c>
      <c r="D1232" s="2" t="s">
        <v>12</v>
      </c>
      <c r="E1232" s="294">
        <v>13598</v>
      </c>
      <c r="F1232" s="296">
        <v>17000</v>
      </c>
      <c r="G1232" s="352">
        <v>2</v>
      </c>
      <c r="H1232" s="296">
        <f t="shared" si="242"/>
        <v>27196</v>
      </c>
      <c r="I1232" s="122">
        <f t="shared" si="243"/>
        <v>34000</v>
      </c>
      <c r="J1232" s="331">
        <f t="shared" si="244"/>
        <v>6804</v>
      </c>
      <c r="K1232" s="292">
        <f>'09-RESUMEN'!$F$43/1375</f>
        <v>81431.961035221175</v>
      </c>
      <c r="L1232" s="122">
        <f>('ESTADO RESULTADOS'!$C$36+'ESTADO RESULTADOS'!$C$71)/1375</f>
        <v>24762.287272727273</v>
      </c>
      <c r="M1232" s="122">
        <v>0</v>
      </c>
      <c r="N1232" s="122">
        <f>SUM(H1232+K1232+L1232+M1232)</f>
        <v>133390.24830794844</v>
      </c>
      <c r="O1232" s="122">
        <f>N1232/G1232</f>
        <v>66695.124153974219</v>
      </c>
      <c r="P1232" s="336">
        <f t="shared" si="245"/>
        <v>-99390.248307948437</v>
      </c>
      <c r="Q1232" s="336">
        <f t="shared" si="246"/>
        <v>53097.124153974219</v>
      </c>
      <c r="R1232" s="303">
        <f t="shared" si="247"/>
        <v>3.904774536988838</v>
      </c>
    </row>
    <row r="1233" spans="1:18" x14ac:dyDescent="0.3">
      <c r="A1233" s="2">
        <v>3534</v>
      </c>
      <c r="B1233" s="41" t="s">
        <v>1004</v>
      </c>
      <c r="C1233" s="2">
        <v>14</v>
      </c>
      <c r="D1233" s="2" t="s">
        <v>81</v>
      </c>
      <c r="E1233" s="294">
        <v>16942</v>
      </c>
      <c r="F1233" s="296">
        <v>22000</v>
      </c>
      <c r="G1233" s="352">
        <v>3</v>
      </c>
      <c r="H1233" s="296">
        <f t="shared" si="242"/>
        <v>50826</v>
      </c>
      <c r="I1233" s="122">
        <f t="shared" si="243"/>
        <v>66000</v>
      </c>
      <c r="J1233" s="331">
        <f t="shared" si="244"/>
        <v>15174</v>
      </c>
      <c r="K1233" s="292">
        <f>'09-RESUMEN'!$F$43/1375</f>
        <v>81431.961035221175</v>
      </c>
      <c r="L1233" s="122">
        <f>('ESTADO RESULTADOS'!$C$36+'ESTADO RESULTADOS'!$C$71)/1375</f>
        <v>24762.287272727273</v>
      </c>
      <c r="M1233" s="122">
        <v>0</v>
      </c>
      <c r="N1233" s="122">
        <f>SUM(H1233+K1233+L1233+M1233)</f>
        <v>157020.24830794844</v>
      </c>
      <c r="O1233" s="122">
        <f>N1233/G1233</f>
        <v>52340.082769316148</v>
      </c>
      <c r="P1233" s="336">
        <f t="shared" si="245"/>
        <v>-91020.248307948437</v>
      </c>
      <c r="Q1233" s="336">
        <f t="shared" si="246"/>
        <v>35398.082769316148</v>
      </c>
      <c r="R1233" s="303">
        <f t="shared" si="247"/>
        <v>2.0893685969375606</v>
      </c>
    </row>
    <row r="1234" spans="1:18" x14ac:dyDescent="0.3">
      <c r="A1234" s="2">
        <v>3535</v>
      </c>
      <c r="B1234" s="41" t="s">
        <v>1005</v>
      </c>
      <c r="C1234" s="2">
        <v>14</v>
      </c>
      <c r="D1234" s="2" t="s">
        <v>12</v>
      </c>
      <c r="E1234" s="294">
        <v>16556.666000000001</v>
      </c>
      <c r="F1234" s="296">
        <v>20000</v>
      </c>
      <c r="G1234" s="352">
        <v>0</v>
      </c>
      <c r="H1234" s="296">
        <f t="shared" si="242"/>
        <v>0</v>
      </c>
      <c r="I1234" s="122">
        <f t="shared" si="243"/>
        <v>0</v>
      </c>
      <c r="J1234" s="331">
        <f t="shared" si="244"/>
        <v>0</v>
      </c>
      <c r="K1234" s="292">
        <f>'09-RESUMEN'!$F$43/1375</f>
        <v>81431.961035221175</v>
      </c>
      <c r="L1234" s="122">
        <f>('ESTADO RESULTADOS'!$C$36+'ESTADO RESULTADOS'!$C$71)/1375</f>
        <v>24762.287272727273</v>
      </c>
      <c r="M1234" s="122">
        <v>0</v>
      </c>
      <c r="N1234" s="122">
        <f>SUM(E1234+K1234+L1234+M1234)</f>
        <v>122750.91430794845</v>
      </c>
      <c r="O1234" s="122">
        <f>N1234</f>
        <v>122750.91430794845</v>
      </c>
      <c r="P1234" s="336">
        <f t="shared" si="245"/>
        <v>-122750.91430794845</v>
      </c>
      <c r="Q1234" s="336">
        <f t="shared" si="246"/>
        <v>106194.24830794845</v>
      </c>
      <c r="R1234" s="303">
        <f t="shared" si="247"/>
        <v>6.4139874723539414</v>
      </c>
    </row>
    <row r="1235" spans="1:18" x14ac:dyDescent="0.3">
      <c r="A1235" s="2">
        <v>3537</v>
      </c>
      <c r="B1235" s="41" t="s">
        <v>1006</v>
      </c>
      <c r="C1235" s="2">
        <v>7</v>
      </c>
      <c r="D1235" s="2" t="s">
        <v>160</v>
      </c>
      <c r="E1235" s="294">
        <v>1480</v>
      </c>
      <c r="F1235" s="296">
        <v>1900</v>
      </c>
      <c r="G1235" s="352">
        <v>29</v>
      </c>
      <c r="H1235" s="296">
        <f t="shared" si="242"/>
        <v>42920</v>
      </c>
      <c r="I1235" s="122">
        <f t="shared" si="243"/>
        <v>55100</v>
      </c>
      <c r="J1235" s="331">
        <f t="shared" si="244"/>
        <v>12180</v>
      </c>
      <c r="K1235" s="292">
        <f>'09-RESUMEN'!$F$43/1375</f>
        <v>81431.961035221175</v>
      </c>
      <c r="L1235" s="122">
        <f>('ESTADO RESULTADOS'!$C$36+'ESTADO RESULTADOS'!$C$71)/1375</f>
        <v>24762.287272727273</v>
      </c>
      <c r="M1235" s="122">
        <v>0</v>
      </c>
      <c r="N1235" s="122">
        <f>SUM(H1235+K1235+L1235+M1235)</f>
        <v>149114.24830794844</v>
      </c>
      <c r="O1235" s="122">
        <f>N1235/G1235</f>
        <v>5141.8706313085668</v>
      </c>
      <c r="P1235" s="336">
        <f t="shared" si="245"/>
        <v>-94014.248307948437</v>
      </c>
      <c r="Q1235" s="336">
        <f t="shared" si="246"/>
        <v>3661.8706313085668</v>
      </c>
      <c r="R1235" s="303">
        <f t="shared" si="247"/>
        <v>2.4742369130463291</v>
      </c>
    </row>
    <row r="1236" spans="1:18" x14ac:dyDescent="0.3">
      <c r="A1236" s="2">
        <v>3538</v>
      </c>
      <c r="B1236" s="41" t="s">
        <v>1007</v>
      </c>
      <c r="C1236" s="2">
        <v>7</v>
      </c>
      <c r="D1236" s="2" t="s">
        <v>961</v>
      </c>
      <c r="E1236" s="294">
        <v>2230</v>
      </c>
      <c r="F1236" s="296">
        <v>2633.3333333333335</v>
      </c>
      <c r="G1236" s="352">
        <v>21</v>
      </c>
      <c r="H1236" s="296">
        <f t="shared" si="242"/>
        <v>46830</v>
      </c>
      <c r="I1236" s="122">
        <f t="shared" si="243"/>
        <v>55300</v>
      </c>
      <c r="J1236" s="331">
        <f t="shared" si="244"/>
        <v>8470</v>
      </c>
      <c r="K1236" s="292">
        <f>'09-RESUMEN'!$F$43/1375</f>
        <v>81431.961035221175</v>
      </c>
      <c r="L1236" s="122">
        <f>('ESTADO RESULTADOS'!$C$36+'ESTADO RESULTADOS'!$C$71)/1375</f>
        <v>24762.287272727273</v>
      </c>
      <c r="M1236" s="122">
        <v>0</v>
      </c>
      <c r="N1236" s="122">
        <f>SUM(H1236+K1236+L1236+M1236)</f>
        <v>153024.24830794844</v>
      </c>
      <c r="O1236" s="122">
        <f>N1236/G1236</f>
        <v>7286.868967045164</v>
      </c>
      <c r="P1236" s="336">
        <f t="shared" si="245"/>
        <v>-97724.248307948437</v>
      </c>
      <c r="Q1236" s="336">
        <f t="shared" si="246"/>
        <v>5056.868967045164</v>
      </c>
      <c r="R1236" s="303">
        <f t="shared" si="247"/>
        <v>2.2676542453117325</v>
      </c>
    </row>
    <row r="1237" spans="1:18" x14ac:dyDescent="0.3">
      <c r="A1237" s="2">
        <v>3539</v>
      </c>
      <c r="B1237" s="41" t="s">
        <v>1884</v>
      </c>
      <c r="C1237" s="2">
        <v>7</v>
      </c>
      <c r="D1237" s="2" t="s">
        <v>12</v>
      </c>
      <c r="E1237" s="294">
        <v>6080</v>
      </c>
      <c r="F1237" s="296">
        <v>6766.666666666667</v>
      </c>
      <c r="G1237" s="352">
        <v>12</v>
      </c>
      <c r="H1237" s="296">
        <f t="shared" si="242"/>
        <v>72960</v>
      </c>
      <c r="I1237" s="122">
        <f t="shared" si="243"/>
        <v>81200</v>
      </c>
      <c r="J1237" s="331">
        <f t="shared" si="244"/>
        <v>8240</v>
      </c>
      <c r="K1237" s="292">
        <f>'09-RESUMEN'!$F$43/1375</f>
        <v>81431.961035221175</v>
      </c>
      <c r="L1237" s="122">
        <f>('ESTADO RESULTADOS'!$C$36+'ESTADO RESULTADOS'!$C$71)/1375</f>
        <v>24762.287272727273</v>
      </c>
      <c r="M1237" s="122">
        <v>0</v>
      </c>
      <c r="N1237" s="122">
        <f>SUM(H1237+K1237+L1237+M1237)</f>
        <v>179154.24830794844</v>
      </c>
      <c r="O1237" s="122">
        <f>N1237/G1237</f>
        <v>14929.520692329037</v>
      </c>
      <c r="P1237" s="336">
        <f t="shared" si="245"/>
        <v>-97954.248307948437</v>
      </c>
      <c r="Q1237" s="336">
        <f t="shared" si="246"/>
        <v>8849.520692329037</v>
      </c>
      <c r="R1237" s="303">
        <f t="shared" si="247"/>
        <v>1.4555132717646442</v>
      </c>
    </row>
    <row r="1238" spans="1:18" x14ac:dyDescent="0.3">
      <c r="A1238" s="2">
        <v>3540</v>
      </c>
      <c r="B1238" s="41" t="s">
        <v>1885</v>
      </c>
      <c r="C1238" s="2">
        <v>7</v>
      </c>
      <c r="D1238" s="2" t="s">
        <v>12</v>
      </c>
      <c r="E1238" s="294">
        <v>1190</v>
      </c>
      <c r="F1238" s="296">
        <v>2016.6666666666667</v>
      </c>
      <c r="G1238" s="352">
        <v>19</v>
      </c>
      <c r="H1238" s="296">
        <f t="shared" si="242"/>
        <v>22610</v>
      </c>
      <c r="I1238" s="122">
        <f t="shared" si="243"/>
        <v>38316.666666666672</v>
      </c>
      <c r="J1238" s="331">
        <f t="shared" si="244"/>
        <v>15706.666666666672</v>
      </c>
      <c r="K1238" s="292">
        <f>'09-RESUMEN'!$F$43/1375</f>
        <v>81431.961035221175</v>
      </c>
      <c r="L1238" s="122">
        <f>('ESTADO RESULTADOS'!$C$36+'ESTADO RESULTADOS'!$C$71)/1375</f>
        <v>24762.287272727273</v>
      </c>
      <c r="M1238" s="122">
        <v>0</v>
      </c>
      <c r="N1238" s="122">
        <f>SUM(H1238+K1238+L1238+M1238)</f>
        <v>128804.24830794845</v>
      </c>
      <c r="O1238" s="122">
        <f>N1238/G1238</f>
        <v>6779.1709635762345</v>
      </c>
      <c r="P1238" s="336">
        <f t="shared" si="245"/>
        <v>-90487.58164128178</v>
      </c>
      <c r="Q1238" s="336">
        <f t="shared" si="246"/>
        <v>5589.1709635762345</v>
      </c>
      <c r="R1238" s="303">
        <f t="shared" si="247"/>
        <v>4.6967823223329699</v>
      </c>
    </row>
    <row r="1239" spans="1:18" x14ac:dyDescent="0.3">
      <c r="A1239" s="2">
        <v>3541</v>
      </c>
      <c r="B1239" s="41" t="s">
        <v>1886</v>
      </c>
      <c r="C1239" s="2">
        <v>7</v>
      </c>
      <c r="D1239" s="2" t="s">
        <v>160</v>
      </c>
      <c r="E1239" s="294">
        <v>1000</v>
      </c>
      <c r="F1239" s="296">
        <v>2366.6666666666665</v>
      </c>
      <c r="G1239" s="352">
        <v>31</v>
      </c>
      <c r="H1239" s="296">
        <f t="shared" si="242"/>
        <v>31000</v>
      </c>
      <c r="I1239" s="122">
        <f t="shared" si="243"/>
        <v>73366.666666666657</v>
      </c>
      <c r="J1239" s="331">
        <f t="shared" si="244"/>
        <v>42366.666666666657</v>
      </c>
      <c r="K1239" s="292">
        <f>'09-RESUMEN'!$F$43/1375</f>
        <v>81431.961035221175</v>
      </c>
      <c r="L1239" s="122">
        <f>('ESTADO RESULTADOS'!$C$36+'ESTADO RESULTADOS'!$C$71)/1375</f>
        <v>24762.287272727273</v>
      </c>
      <c r="M1239" s="122">
        <v>0</v>
      </c>
      <c r="N1239" s="122">
        <f>SUM(H1239+K1239+L1239+M1239)</f>
        <v>137194.24830794844</v>
      </c>
      <c r="O1239" s="122">
        <f>N1239/G1239</f>
        <v>4425.620913159627</v>
      </c>
      <c r="P1239" s="336">
        <f t="shared" si="245"/>
        <v>-63827.58164128178</v>
      </c>
      <c r="Q1239" s="336">
        <f t="shared" si="246"/>
        <v>3425.620913159627</v>
      </c>
      <c r="R1239" s="303">
        <f t="shared" si="247"/>
        <v>3.4256209131596269</v>
      </c>
    </row>
    <row r="1240" spans="1:18" x14ac:dyDescent="0.3">
      <c r="A1240" s="2">
        <v>3542</v>
      </c>
      <c r="B1240" s="41" t="s">
        <v>1887</v>
      </c>
      <c r="C1240" s="2">
        <v>7</v>
      </c>
      <c r="D1240" s="2" t="s">
        <v>160</v>
      </c>
      <c r="E1240" s="294">
        <v>2230</v>
      </c>
      <c r="F1240" s="296">
        <v>3200</v>
      </c>
      <c r="G1240" s="352">
        <v>0</v>
      </c>
      <c r="H1240" s="296">
        <f t="shared" si="242"/>
        <v>0</v>
      </c>
      <c r="I1240" s="122">
        <f t="shared" si="243"/>
        <v>0</v>
      </c>
      <c r="J1240" s="331">
        <f t="shared" si="244"/>
        <v>0</v>
      </c>
      <c r="K1240" s="292">
        <f>'09-RESUMEN'!$F$43/1375</f>
        <v>81431.961035221175</v>
      </c>
      <c r="L1240" s="122">
        <f>('ESTADO RESULTADOS'!$C$36+'ESTADO RESULTADOS'!$C$71)/1375</f>
        <v>24762.287272727273</v>
      </c>
      <c r="M1240" s="122">
        <v>0</v>
      </c>
      <c r="N1240" s="122">
        <f>SUM(E1240+K1240+L1240+M1240)</f>
        <v>108424.24830794845</v>
      </c>
      <c r="O1240" s="122">
        <f>N1240</f>
        <v>108424.24830794845</v>
      </c>
      <c r="P1240" s="336">
        <f t="shared" si="245"/>
        <v>-108424.24830794845</v>
      </c>
      <c r="Q1240" s="336">
        <f t="shared" si="246"/>
        <v>106194.24830794845</v>
      </c>
      <c r="R1240" s="303">
        <f t="shared" si="247"/>
        <v>47.620739151546388</v>
      </c>
    </row>
    <row r="1241" spans="1:18" x14ac:dyDescent="0.3">
      <c r="A1241" s="2">
        <v>3543</v>
      </c>
      <c r="B1241" s="41" t="s">
        <v>1008</v>
      </c>
      <c r="C1241" s="2">
        <v>7</v>
      </c>
      <c r="D1241" s="2" t="s">
        <v>160</v>
      </c>
      <c r="E1241" s="294">
        <v>1480</v>
      </c>
      <c r="F1241" s="296">
        <v>2266.6666666666665</v>
      </c>
      <c r="G1241" s="352">
        <v>3</v>
      </c>
      <c r="H1241" s="296">
        <f t="shared" si="242"/>
        <v>4440</v>
      </c>
      <c r="I1241" s="122">
        <f t="shared" si="243"/>
        <v>6800</v>
      </c>
      <c r="J1241" s="331">
        <f t="shared" si="244"/>
        <v>2360</v>
      </c>
      <c r="K1241" s="292">
        <f>'09-RESUMEN'!$F$43/1375</f>
        <v>81431.961035221175</v>
      </c>
      <c r="L1241" s="122">
        <f>('ESTADO RESULTADOS'!$C$36+'ESTADO RESULTADOS'!$C$71)/1375</f>
        <v>24762.287272727273</v>
      </c>
      <c r="M1241" s="122">
        <v>0</v>
      </c>
      <c r="N1241" s="122">
        <f>SUM(H1241+K1241+L1241+M1241)</f>
        <v>110634.24830794845</v>
      </c>
      <c r="O1241" s="122">
        <f>N1241/G1241</f>
        <v>36878.082769316148</v>
      </c>
      <c r="P1241" s="336">
        <f t="shared" si="245"/>
        <v>-103834.24830794845</v>
      </c>
      <c r="Q1241" s="336">
        <f t="shared" si="246"/>
        <v>35398.082769316148</v>
      </c>
      <c r="R1241" s="303">
        <f t="shared" si="247"/>
        <v>23.917623492781182</v>
      </c>
    </row>
    <row r="1242" spans="1:18" x14ac:dyDescent="0.3">
      <c r="A1242" s="2">
        <v>3544</v>
      </c>
      <c r="B1242" s="41" t="s">
        <v>1888</v>
      </c>
      <c r="C1242" s="2">
        <v>16</v>
      </c>
      <c r="D1242" s="2" t="s">
        <v>12</v>
      </c>
      <c r="E1242" s="294">
        <v>17255</v>
      </c>
      <c r="F1242" s="296">
        <v>19000</v>
      </c>
      <c r="G1242" s="352">
        <v>0</v>
      </c>
      <c r="H1242" s="296">
        <f t="shared" si="242"/>
        <v>0</v>
      </c>
      <c r="I1242" s="122">
        <f t="shared" si="243"/>
        <v>0</v>
      </c>
      <c r="J1242" s="331">
        <f t="shared" si="244"/>
        <v>0</v>
      </c>
      <c r="K1242" s="292">
        <f>'09-RESUMEN'!$F$43/1375</f>
        <v>81431.961035221175</v>
      </c>
      <c r="L1242" s="122">
        <f>('ESTADO RESULTADOS'!$C$36+'ESTADO RESULTADOS'!$C$71)/1375</f>
        <v>24762.287272727273</v>
      </c>
      <c r="M1242" s="122">
        <v>0</v>
      </c>
      <c r="N1242" s="122">
        <f>SUM(E1242+K1242+L1242+M1242)</f>
        <v>123449.24830794845</v>
      </c>
      <c r="O1242" s="122">
        <f>N1242</f>
        <v>123449.24830794845</v>
      </c>
      <c r="P1242" s="336">
        <f t="shared" si="245"/>
        <v>-123449.24830794845</v>
      </c>
      <c r="Q1242" s="336">
        <f t="shared" si="246"/>
        <v>106194.24830794845</v>
      </c>
      <c r="R1242" s="303">
        <f t="shared" si="247"/>
        <v>6.1544044223673398</v>
      </c>
    </row>
    <row r="1243" spans="1:18" x14ac:dyDescent="0.3">
      <c r="A1243" s="2">
        <v>3545</v>
      </c>
      <c r="B1243" s="41" t="s">
        <v>1009</v>
      </c>
      <c r="C1243" s="2">
        <v>4</v>
      </c>
      <c r="D1243" s="2" t="s">
        <v>160</v>
      </c>
      <c r="E1243" s="294">
        <v>17000</v>
      </c>
      <c r="F1243" s="296">
        <v>19800</v>
      </c>
      <c r="G1243" s="352">
        <v>12</v>
      </c>
      <c r="H1243" s="296">
        <f t="shared" si="242"/>
        <v>204000</v>
      </c>
      <c r="I1243" s="122">
        <f t="shared" si="243"/>
        <v>237600</v>
      </c>
      <c r="J1243" s="331">
        <f t="shared" si="244"/>
        <v>33600</v>
      </c>
      <c r="K1243" s="292">
        <f>'09-RESUMEN'!$F$43/1375</f>
        <v>81431.961035221175</v>
      </c>
      <c r="L1243" s="122">
        <f>('ESTADO RESULTADOS'!$C$36+'ESTADO RESULTADOS'!$C$71)/1375</f>
        <v>24762.287272727273</v>
      </c>
      <c r="M1243" s="122">
        <v>0</v>
      </c>
      <c r="N1243" s="122">
        <f t="shared" ref="N1243:N1249" si="248">SUM(H1243+K1243+L1243+M1243)</f>
        <v>310194.24830794847</v>
      </c>
      <c r="O1243" s="122">
        <f t="shared" ref="O1243:O1249" si="249">N1243/G1243</f>
        <v>25849.520692329039</v>
      </c>
      <c r="P1243" s="336">
        <f t="shared" si="245"/>
        <v>-72594.248307948466</v>
      </c>
      <c r="Q1243" s="336">
        <f t="shared" si="246"/>
        <v>8849.5206923290389</v>
      </c>
      <c r="R1243" s="303">
        <f t="shared" si="247"/>
        <v>0.52056004072523754</v>
      </c>
    </row>
    <row r="1244" spans="1:18" x14ac:dyDescent="0.3">
      <c r="A1244" s="2">
        <v>3546</v>
      </c>
      <c r="B1244" s="41" t="s">
        <v>1010</v>
      </c>
      <c r="C1244" s="2">
        <v>6</v>
      </c>
      <c r="D1244" s="2" t="s">
        <v>176</v>
      </c>
      <c r="E1244" s="294">
        <v>19300</v>
      </c>
      <c r="F1244" s="296">
        <v>23800</v>
      </c>
      <c r="G1244" s="352">
        <v>3</v>
      </c>
      <c r="H1244" s="296">
        <f t="shared" si="242"/>
        <v>57900</v>
      </c>
      <c r="I1244" s="122">
        <f t="shared" si="243"/>
        <v>71400</v>
      </c>
      <c r="J1244" s="331">
        <f t="shared" si="244"/>
        <v>13500</v>
      </c>
      <c r="K1244" s="292">
        <f>'09-RESUMEN'!$F$43/1375</f>
        <v>81431.961035221175</v>
      </c>
      <c r="L1244" s="122">
        <f>('ESTADO RESULTADOS'!$C$36+'ESTADO RESULTADOS'!$C$71)/1375</f>
        <v>24762.287272727273</v>
      </c>
      <c r="M1244" s="122">
        <v>0</v>
      </c>
      <c r="N1244" s="122">
        <f t="shared" si="248"/>
        <v>164094.24830794844</v>
      </c>
      <c r="O1244" s="122">
        <f t="shared" si="249"/>
        <v>54698.082769316148</v>
      </c>
      <c r="P1244" s="336">
        <f t="shared" si="245"/>
        <v>-92694.248307948437</v>
      </c>
      <c r="Q1244" s="336">
        <f t="shared" si="246"/>
        <v>35398.082769316148</v>
      </c>
      <c r="R1244" s="303">
        <f t="shared" si="247"/>
        <v>1.8340975528143082</v>
      </c>
    </row>
    <row r="1245" spans="1:18" x14ac:dyDescent="0.3">
      <c r="A1245" s="2">
        <v>3547</v>
      </c>
      <c r="B1245" s="41" t="s">
        <v>1011</v>
      </c>
      <c r="C1245" s="2">
        <v>14</v>
      </c>
      <c r="D1245" s="2" t="s">
        <v>12</v>
      </c>
      <c r="E1245" s="294">
        <v>11123.8</v>
      </c>
      <c r="F1245" s="296">
        <v>14150</v>
      </c>
      <c r="G1245" s="352">
        <v>15</v>
      </c>
      <c r="H1245" s="296">
        <f t="shared" si="242"/>
        <v>166857</v>
      </c>
      <c r="I1245" s="122">
        <f t="shared" si="243"/>
        <v>212250</v>
      </c>
      <c r="J1245" s="331">
        <f t="shared" si="244"/>
        <v>45393</v>
      </c>
      <c r="K1245" s="292">
        <f>'09-RESUMEN'!$F$43/1375</f>
        <v>81431.961035221175</v>
      </c>
      <c r="L1245" s="122">
        <f>('ESTADO RESULTADOS'!$C$36+'ESTADO RESULTADOS'!$C$71)/1375</f>
        <v>24762.287272727273</v>
      </c>
      <c r="M1245" s="122">
        <v>0</v>
      </c>
      <c r="N1245" s="122">
        <f t="shared" si="248"/>
        <v>273051.24830794847</v>
      </c>
      <c r="O1245" s="122">
        <f t="shared" si="249"/>
        <v>18203.41655386323</v>
      </c>
      <c r="P1245" s="336">
        <f t="shared" si="245"/>
        <v>-60801.248307948466</v>
      </c>
      <c r="Q1245" s="336">
        <f t="shared" si="246"/>
        <v>7079.6165538632304</v>
      </c>
      <c r="R1245" s="303">
        <f t="shared" si="247"/>
        <v>0.63643867687869526</v>
      </c>
    </row>
    <row r="1246" spans="1:18" x14ac:dyDescent="0.3">
      <c r="A1246" s="2">
        <v>3548</v>
      </c>
      <c r="B1246" s="41" t="s">
        <v>1012</v>
      </c>
      <c r="C1246" s="2">
        <v>14</v>
      </c>
      <c r="D1246" s="2" t="s">
        <v>81</v>
      </c>
      <c r="E1246" s="294">
        <v>26093</v>
      </c>
      <c r="F1246" s="296">
        <v>32000</v>
      </c>
      <c r="G1246" s="352">
        <v>4</v>
      </c>
      <c r="H1246" s="296">
        <f t="shared" si="242"/>
        <v>104372</v>
      </c>
      <c r="I1246" s="122">
        <f t="shared" si="243"/>
        <v>128000</v>
      </c>
      <c r="J1246" s="331">
        <f t="shared" si="244"/>
        <v>23628</v>
      </c>
      <c r="K1246" s="292">
        <f>'09-RESUMEN'!$F$43/1375</f>
        <v>81431.961035221175</v>
      </c>
      <c r="L1246" s="122">
        <f>('ESTADO RESULTADOS'!$C$36+'ESTADO RESULTADOS'!$C$71)/1375</f>
        <v>24762.287272727273</v>
      </c>
      <c r="M1246" s="122">
        <v>0</v>
      </c>
      <c r="N1246" s="122">
        <f t="shared" si="248"/>
        <v>210566.24830794844</v>
      </c>
      <c r="O1246" s="122">
        <f t="shared" si="249"/>
        <v>52641.562076987109</v>
      </c>
      <c r="P1246" s="336">
        <f t="shared" si="245"/>
        <v>-82566.248307948437</v>
      </c>
      <c r="Q1246" s="336">
        <f t="shared" si="246"/>
        <v>26548.562076987109</v>
      </c>
      <c r="R1246" s="303">
        <f t="shared" si="247"/>
        <v>1.0174591682438627</v>
      </c>
    </row>
    <row r="1247" spans="1:18" x14ac:dyDescent="0.3">
      <c r="A1247" s="2">
        <v>3549</v>
      </c>
      <c r="B1247" s="41" t="s">
        <v>1013</v>
      </c>
      <c r="C1247" s="2">
        <v>14</v>
      </c>
      <c r="D1247" s="2" t="s">
        <v>160</v>
      </c>
      <c r="E1247" s="294">
        <v>6017</v>
      </c>
      <c r="F1247" s="296">
        <v>7000</v>
      </c>
      <c r="G1247" s="352">
        <v>36</v>
      </c>
      <c r="H1247" s="296">
        <f t="shared" si="242"/>
        <v>216612</v>
      </c>
      <c r="I1247" s="122">
        <f t="shared" si="243"/>
        <v>252000</v>
      </c>
      <c r="J1247" s="331">
        <f t="shared" si="244"/>
        <v>35388</v>
      </c>
      <c r="K1247" s="292">
        <f>'09-RESUMEN'!$F$43/1375</f>
        <v>81431.961035221175</v>
      </c>
      <c r="L1247" s="122">
        <f>('ESTADO RESULTADOS'!$C$36+'ESTADO RESULTADOS'!$C$71)/1375</f>
        <v>24762.287272727273</v>
      </c>
      <c r="M1247" s="122">
        <v>0</v>
      </c>
      <c r="N1247" s="122">
        <f t="shared" si="248"/>
        <v>322806.24830794847</v>
      </c>
      <c r="O1247" s="122">
        <f t="shared" si="249"/>
        <v>8966.8402307763463</v>
      </c>
      <c r="P1247" s="336">
        <f t="shared" si="245"/>
        <v>-70806.248307948466</v>
      </c>
      <c r="Q1247" s="336">
        <f t="shared" si="246"/>
        <v>2949.8402307763463</v>
      </c>
      <c r="R1247" s="303">
        <f t="shared" si="247"/>
        <v>0.49025099397978167</v>
      </c>
    </row>
    <row r="1248" spans="1:18" x14ac:dyDescent="0.3">
      <c r="A1248" s="2">
        <v>3550</v>
      </c>
      <c r="B1248" s="41" t="s">
        <v>1889</v>
      </c>
      <c r="C1248" s="2">
        <v>14</v>
      </c>
      <c r="D1248" s="2" t="s">
        <v>12</v>
      </c>
      <c r="E1248" s="294">
        <v>8051</v>
      </c>
      <c r="F1248" s="296">
        <v>9800</v>
      </c>
      <c r="G1248" s="352">
        <v>3</v>
      </c>
      <c r="H1248" s="296">
        <f t="shared" si="242"/>
        <v>24153</v>
      </c>
      <c r="I1248" s="122">
        <f t="shared" si="243"/>
        <v>29400</v>
      </c>
      <c r="J1248" s="331">
        <f t="shared" si="244"/>
        <v>5247</v>
      </c>
      <c r="K1248" s="292">
        <f>'09-RESUMEN'!$F$43/1375</f>
        <v>81431.961035221175</v>
      </c>
      <c r="L1248" s="122">
        <f>('ESTADO RESULTADOS'!$C$36+'ESTADO RESULTADOS'!$C$71)/1375</f>
        <v>24762.287272727273</v>
      </c>
      <c r="M1248" s="122">
        <v>0</v>
      </c>
      <c r="N1248" s="122">
        <f t="shared" si="248"/>
        <v>130347.24830794845</v>
      </c>
      <c r="O1248" s="122">
        <f t="shared" si="249"/>
        <v>43449.082769316148</v>
      </c>
      <c r="P1248" s="336">
        <f t="shared" si="245"/>
        <v>-100947.24830794845</v>
      </c>
      <c r="Q1248" s="336">
        <f t="shared" si="246"/>
        <v>35398.082769316148</v>
      </c>
      <c r="R1248" s="303">
        <f t="shared" si="247"/>
        <v>4.3967311848610295</v>
      </c>
    </row>
    <row r="1249" spans="1:18" x14ac:dyDescent="0.3">
      <c r="A1249" s="2">
        <v>3551</v>
      </c>
      <c r="B1249" s="41" t="s">
        <v>1014</v>
      </c>
      <c r="C1249" s="2">
        <v>14</v>
      </c>
      <c r="D1249" s="2" t="s">
        <v>649</v>
      </c>
      <c r="E1249" s="294">
        <v>4025.5</v>
      </c>
      <c r="F1249" s="296">
        <v>5000</v>
      </c>
      <c r="G1249" s="352">
        <v>37</v>
      </c>
      <c r="H1249" s="296">
        <f t="shared" si="242"/>
        <v>148943.5</v>
      </c>
      <c r="I1249" s="122">
        <f t="shared" si="243"/>
        <v>185000</v>
      </c>
      <c r="J1249" s="331">
        <f t="shared" si="244"/>
        <v>36056.5</v>
      </c>
      <c r="K1249" s="292">
        <f>'09-RESUMEN'!$F$43/1375</f>
        <v>81431.961035221175</v>
      </c>
      <c r="L1249" s="122">
        <f>('ESTADO RESULTADOS'!$C$36+'ESTADO RESULTADOS'!$C$71)/1375</f>
        <v>24762.287272727273</v>
      </c>
      <c r="M1249" s="122">
        <v>0</v>
      </c>
      <c r="N1249" s="122">
        <f t="shared" si="248"/>
        <v>255137.74830794844</v>
      </c>
      <c r="O1249" s="122">
        <f t="shared" si="249"/>
        <v>6895.6148191337415</v>
      </c>
      <c r="P1249" s="336">
        <f t="shared" si="245"/>
        <v>-70137.748307948437</v>
      </c>
      <c r="Q1249" s="336">
        <f t="shared" si="246"/>
        <v>2870.1148191337415</v>
      </c>
      <c r="R1249" s="303">
        <f t="shared" si="247"/>
        <v>0.71298343538286957</v>
      </c>
    </row>
    <row r="1250" spans="1:18" x14ac:dyDescent="0.3">
      <c r="A1250" s="2">
        <v>3552</v>
      </c>
      <c r="B1250" s="41" t="s">
        <v>1015</v>
      </c>
      <c r="C1250" s="2">
        <v>14</v>
      </c>
      <c r="D1250" s="2" t="s">
        <v>12</v>
      </c>
      <c r="E1250" s="294">
        <v>5499.9</v>
      </c>
      <c r="F1250" s="296">
        <v>6800</v>
      </c>
      <c r="G1250" s="352">
        <v>0</v>
      </c>
      <c r="H1250" s="296">
        <f t="shared" si="242"/>
        <v>0</v>
      </c>
      <c r="I1250" s="122">
        <f t="shared" si="243"/>
        <v>0</v>
      </c>
      <c r="J1250" s="331">
        <f t="shared" si="244"/>
        <v>0</v>
      </c>
      <c r="K1250" s="292">
        <f>'09-RESUMEN'!$F$43/1375</f>
        <v>81431.961035221175</v>
      </c>
      <c r="L1250" s="122">
        <f>('ESTADO RESULTADOS'!$C$36+'ESTADO RESULTADOS'!$C$71)/1375</f>
        <v>24762.287272727273</v>
      </c>
      <c r="M1250" s="122">
        <v>0</v>
      </c>
      <c r="N1250" s="122">
        <f>SUM(E1250+K1250+L1250+M1250)</f>
        <v>111694.14830794845</v>
      </c>
      <c r="O1250" s="122">
        <f>N1250</f>
        <v>111694.14830794845</v>
      </c>
      <c r="P1250" s="336">
        <f t="shared" si="245"/>
        <v>-111694.14830794845</v>
      </c>
      <c r="Q1250" s="336">
        <f t="shared" si="246"/>
        <v>106194.24830794845</v>
      </c>
      <c r="R1250" s="303">
        <f t="shared" si="247"/>
        <v>19.308396208648968</v>
      </c>
    </row>
    <row r="1251" spans="1:18" x14ac:dyDescent="0.3">
      <c r="A1251" s="2">
        <v>3553</v>
      </c>
      <c r="B1251" s="41" t="s">
        <v>1016</v>
      </c>
      <c r="C1251" s="2">
        <v>5</v>
      </c>
      <c r="D1251" s="2" t="s">
        <v>16</v>
      </c>
      <c r="E1251" s="294">
        <v>33333</v>
      </c>
      <c r="F1251" s="296">
        <v>38000</v>
      </c>
      <c r="G1251" s="352">
        <v>1</v>
      </c>
      <c r="H1251" s="296">
        <f t="shared" si="242"/>
        <v>33333</v>
      </c>
      <c r="I1251" s="122">
        <f t="shared" si="243"/>
        <v>38000</v>
      </c>
      <c r="J1251" s="331">
        <f t="shared" si="244"/>
        <v>4667</v>
      </c>
      <c r="K1251" s="292">
        <f>'09-RESUMEN'!$F$43/1375</f>
        <v>81431.961035221175</v>
      </c>
      <c r="L1251" s="122">
        <f>('ESTADO RESULTADOS'!$C$36+'ESTADO RESULTADOS'!$C$71)/1375</f>
        <v>24762.287272727273</v>
      </c>
      <c r="M1251" s="122">
        <v>0</v>
      </c>
      <c r="N1251" s="122">
        <f>SUM(H1251+K1251+L1251+M1251)</f>
        <v>139527.24830794844</v>
      </c>
      <c r="O1251" s="122">
        <f>N1251/G1251</f>
        <v>139527.24830794844</v>
      </c>
      <c r="P1251" s="336">
        <f t="shared" si="245"/>
        <v>-101527.24830794844</v>
      </c>
      <c r="Q1251" s="336">
        <f t="shared" si="246"/>
        <v>106194.24830794844</v>
      </c>
      <c r="R1251" s="303">
        <f t="shared" si="247"/>
        <v>3.1858593078315316</v>
      </c>
    </row>
    <row r="1252" spans="1:18" x14ac:dyDescent="0.3">
      <c r="A1252" s="2">
        <v>3554</v>
      </c>
      <c r="B1252" s="41" t="s">
        <v>1017</v>
      </c>
      <c r="C1252" s="2">
        <v>5</v>
      </c>
      <c r="D1252" s="2" t="s">
        <v>16</v>
      </c>
      <c r="E1252" s="294">
        <v>37230</v>
      </c>
      <c r="F1252" s="296">
        <v>42500</v>
      </c>
      <c r="G1252" s="352">
        <v>49</v>
      </c>
      <c r="H1252" s="296">
        <f t="shared" si="242"/>
        <v>1824270</v>
      </c>
      <c r="I1252" s="122">
        <f t="shared" si="243"/>
        <v>2082500</v>
      </c>
      <c r="J1252" s="331">
        <f t="shared" si="244"/>
        <v>258230</v>
      </c>
      <c r="K1252" s="292">
        <f>'09-RESUMEN'!$F$43/1375</f>
        <v>81431.961035221175</v>
      </c>
      <c r="L1252" s="122">
        <f>('ESTADO RESULTADOS'!$C$36+'ESTADO RESULTADOS'!$C$71)/1375</f>
        <v>24762.287272727273</v>
      </c>
      <c r="M1252" s="122">
        <v>0</v>
      </c>
      <c r="N1252" s="122">
        <f>SUM(H1252+K1252+L1252+M1252)</f>
        <v>1930464.2483079485</v>
      </c>
      <c r="O1252" s="122">
        <f>N1252/G1252</f>
        <v>39397.229557305072</v>
      </c>
      <c r="P1252" s="336">
        <f t="shared" si="245"/>
        <v>152035.75169205153</v>
      </c>
      <c r="Q1252" s="336">
        <f t="shared" si="246"/>
        <v>2167.2295573050724</v>
      </c>
      <c r="R1252" s="303">
        <f t="shared" si="247"/>
        <v>5.8211913975424988E-2</v>
      </c>
    </row>
    <row r="1253" spans="1:18" x14ac:dyDescent="0.3">
      <c r="A1253" s="2">
        <v>3555</v>
      </c>
      <c r="B1253" s="41" t="s">
        <v>1018</v>
      </c>
      <c r="C1253" s="2">
        <v>5</v>
      </c>
      <c r="D1253" s="2" t="s">
        <v>16</v>
      </c>
      <c r="E1253" s="294">
        <v>34685</v>
      </c>
      <c r="F1253" s="296">
        <v>40500</v>
      </c>
      <c r="G1253" s="352">
        <v>56</v>
      </c>
      <c r="H1253" s="296">
        <f t="shared" si="242"/>
        <v>1942360</v>
      </c>
      <c r="I1253" s="122">
        <f t="shared" si="243"/>
        <v>2268000</v>
      </c>
      <c r="J1253" s="331">
        <f t="shared" si="244"/>
        <v>325640</v>
      </c>
      <c r="K1253" s="292">
        <f>'09-RESUMEN'!$F$43/1375</f>
        <v>81431.961035221175</v>
      </c>
      <c r="L1253" s="122">
        <f>('ESTADO RESULTADOS'!$C$36+'ESTADO RESULTADOS'!$C$71)/1375</f>
        <v>24762.287272727273</v>
      </c>
      <c r="M1253" s="122">
        <v>0</v>
      </c>
      <c r="N1253" s="122">
        <f>SUM(H1253+K1253+L1253+M1253)</f>
        <v>2048554.2483079485</v>
      </c>
      <c r="O1253" s="122">
        <f>N1253/G1253</f>
        <v>36581.325862641934</v>
      </c>
      <c r="P1253" s="336">
        <f t="shared" si="245"/>
        <v>219445.75169205153</v>
      </c>
      <c r="Q1253" s="336">
        <f t="shared" si="246"/>
        <v>1896.3258626419338</v>
      </c>
      <c r="R1253" s="303">
        <f t="shared" si="247"/>
        <v>5.4672794079340746E-2</v>
      </c>
    </row>
    <row r="1254" spans="1:18" x14ac:dyDescent="0.3">
      <c r="A1254" s="2">
        <v>3556</v>
      </c>
      <c r="B1254" s="41" t="s">
        <v>1890</v>
      </c>
      <c r="C1254" s="2">
        <v>8</v>
      </c>
      <c r="D1254" s="2" t="s">
        <v>12</v>
      </c>
      <c r="E1254" s="294">
        <v>105327</v>
      </c>
      <c r="F1254" s="296">
        <v>121800</v>
      </c>
      <c r="G1254" s="352">
        <v>2</v>
      </c>
      <c r="H1254" s="296">
        <f t="shared" si="242"/>
        <v>210654</v>
      </c>
      <c r="I1254" s="122">
        <f t="shared" si="243"/>
        <v>243600</v>
      </c>
      <c r="J1254" s="331">
        <f t="shared" si="244"/>
        <v>32946</v>
      </c>
      <c r="K1254" s="292">
        <f>'09-RESUMEN'!$F$43/1375</f>
        <v>81431.961035221175</v>
      </c>
      <c r="L1254" s="122">
        <f>('ESTADO RESULTADOS'!$C$36+'ESTADO RESULTADOS'!$C$71)/1375</f>
        <v>24762.287272727273</v>
      </c>
      <c r="M1254" s="122">
        <v>0</v>
      </c>
      <c r="N1254" s="122">
        <f>SUM(H1254+K1254+L1254+M1254)</f>
        <v>316848.24830794847</v>
      </c>
      <c r="O1254" s="122">
        <f>N1254/G1254</f>
        <v>158424.12415397423</v>
      </c>
      <c r="P1254" s="336">
        <f t="shared" si="245"/>
        <v>-73248.248307948466</v>
      </c>
      <c r="Q1254" s="336">
        <f t="shared" si="246"/>
        <v>53097.124153974233</v>
      </c>
      <c r="R1254" s="303">
        <f t="shared" si="247"/>
        <v>0.50411693254316781</v>
      </c>
    </row>
    <row r="1255" spans="1:18" x14ac:dyDescent="0.3">
      <c r="A1255" s="2">
        <v>3557</v>
      </c>
      <c r="B1255" s="41" t="s">
        <v>1019</v>
      </c>
      <c r="C1255" s="2">
        <v>5</v>
      </c>
      <c r="D1255" s="2" t="s">
        <v>16</v>
      </c>
      <c r="E1255" s="294">
        <v>49000</v>
      </c>
      <c r="F1255" s="296">
        <v>58500</v>
      </c>
      <c r="G1255" s="352">
        <v>4</v>
      </c>
      <c r="H1255" s="296">
        <f t="shared" si="242"/>
        <v>196000</v>
      </c>
      <c r="I1255" s="122">
        <f t="shared" si="243"/>
        <v>234000</v>
      </c>
      <c r="J1255" s="331">
        <f t="shared" si="244"/>
        <v>38000</v>
      </c>
      <c r="K1255" s="292">
        <f>'09-RESUMEN'!$F$43/1375</f>
        <v>81431.961035221175</v>
      </c>
      <c r="L1255" s="122">
        <f>('ESTADO RESULTADOS'!$C$36+'ESTADO RESULTADOS'!$C$71)/1375</f>
        <v>24762.287272727273</v>
      </c>
      <c r="M1255" s="122">
        <v>0</v>
      </c>
      <c r="N1255" s="122">
        <f>SUM(H1255+K1255+L1255+M1255)</f>
        <v>302194.24830794847</v>
      </c>
      <c r="O1255" s="122">
        <f>N1255/G1255</f>
        <v>75548.562076987117</v>
      </c>
      <c r="P1255" s="336">
        <f t="shared" si="245"/>
        <v>-68194.248307948466</v>
      </c>
      <c r="Q1255" s="336">
        <f t="shared" si="246"/>
        <v>26548.562076987117</v>
      </c>
      <c r="R1255" s="303">
        <f t="shared" si="247"/>
        <v>0.54180738932626771</v>
      </c>
    </row>
    <row r="1256" spans="1:18" x14ac:dyDescent="0.3">
      <c r="A1256" s="2">
        <v>3558</v>
      </c>
      <c r="B1256" s="41" t="s">
        <v>1891</v>
      </c>
      <c r="C1256" s="2">
        <v>4</v>
      </c>
      <c r="D1256" s="2" t="s">
        <v>23</v>
      </c>
      <c r="E1256" s="294">
        <v>20000</v>
      </c>
      <c r="F1256" s="296">
        <v>24000</v>
      </c>
      <c r="G1256" s="352">
        <v>0</v>
      </c>
      <c r="H1256" s="296">
        <f t="shared" si="242"/>
        <v>0</v>
      </c>
      <c r="I1256" s="122">
        <f t="shared" si="243"/>
        <v>0</v>
      </c>
      <c r="J1256" s="331">
        <f t="shared" si="244"/>
        <v>0</v>
      </c>
      <c r="K1256" s="292">
        <f>'09-RESUMEN'!$F$43/1375</f>
        <v>81431.961035221175</v>
      </c>
      <c r="L1256" s="122">
        <f>('ESTADO RESULTADOS'!$C$36+'ESTADO RESULTADOS'!$C$71)/1375</f>
        <v>24762.287272727273</v>
      </c>
      <c r="M1256" s="122">
        <v>0</v>
      </c>
      <c r="N1256" s="122">
        <f>SUM(E1256+K1256+L1256+M1256)</f>
        <v>126194.24830794845</v>
      </c>
      <c r="O1256" s="122">
        <f>N1256</f>
        <v>126194.24830794845</v>
      </c>
      <c r="P1256" s="336">
        <f t="shared" si="245"/>
        <v>-126194.24830794845</v>
      </c>
      <c r="Q1256" s="336">
        <f t="shared" si="246"/>
        <v>106194.24830794845</v>
      </c>
      <c r="R1256" s="303">
        <f t="shared" si="247"/>
        <v>5.3097124153974224</v>
      </c>
    </row>
    <row r="1257" spans="1:18" x14ac:dyDescent="0.3">
      <c r="A1257" s="2">
        <v>3559</v>
      </c>
      <c r="B1257" s="41" t="s">
        <v>1892</v>
      </c>
      <c r="C1257" s="2">
        <v>12</v>
      </c>
      <c r="D1257" s="2" t="s">
        <v>12</v>
      </c>
      <c r="E1257" s="294">
        <v>11000.36</v>
      </c>
      <c r="F1257" s="296">
        <v>16000</v>
      </c>
      <c r="G1257" s="352">
        <v>9</v>
      </c>
      <c r="H1257" s="296">
        <f t="shared" si="242"/>
        <v>99003.24</v>
      </c>
      <c r="I1257" s="122">
        <f t="shared" si="243"/>
        <v>144000</v>
      </c>
      <c r="J1257" s="331">
        <f t="shared" si="244"/>
        <v>44996.759999999995</v>
      </c>
      <c r="K1257" s="292">
        <f>'09-RESUMEN'!$F$43/1375</f>
        <v>81431.961035221175</v>
      </c>
      <c r="L1257" s="122">
        <f>('ESTADO RESULTADOS'!$C$36+'ESTADO RESULTADOS'!$C$71)/1375</f>
        <v>24762.287272727273</v>
      </c>
      <c r="M1257" s="122">
        <v>0</v>
      </c>
      <c r="N1257" s="122">
        <f>SUM(H1257+K1257+L1257+M1257)</f>
        <v>205197.48830794843</v>
      </c>
      <c r="O1257" s="122">
        <f>N1257/G1257</f>
        <v>22799.720923105382</v>
      </c>
      <c r="P1257" s="336">
        <f t="shared" si="245"/>
        <v>-61197.488307948428</v>
      </c>
      <c r="Q1257" s="336">
        <f t="shared" si="246"/>
        <v>11799.360923105382</v>
      </c>
      <c r="R1257" s="303">
        <f t="shared" si="247"/>
        <v>1.0726340704400021</v>
      </c>
    </row>
    <row r="1258" spans="1:18" x14ac:dyDescent="0.3">
      <c r="A1258" s="2">
        <v>3560</v>
      </c>
      <c r="B1258" s="41" t="s">
        <v>1893</v>
      </c>
      <c r="C1258" s="2">
        <v>12</v>
      </c>
      <c r="D1258" s="2" t="s">
        <v>12</v>
      </c>
      <c r="E1258" s="294">
        <v>13999.16</v>
      </c>
      <c r="F1258" s="296">
        <v>17000</v>
      </c>
      <c r="G1258" s="352">
        <v>8</v>
      </c>
      <c r="H1258" s="296">
        <f t="shared" si="242"/>
        <v>111993.28</v>
      </c>
      <c r="I1258" s="122">
        <f t="shared" si="243"/>
        <v>136000</v>
      </c>
      <c r="J1258" s="331">
        <f t="shared" si="244"/>
        <v>24006.720000000001</v>
      </c>
      <c r="K1258" s="292">
        <f>'09-RESUMEN'!$F$43/1375</f>
        <v>81431.961035221175</v>
      </c>
      <c r="L1258" s="122">
        <f>('ESTADO RESULTADOS'!$C$36+'ESTADO RESULTADOS'!$C$71)/1375</f>
        <v>24762.287272727273</v>
      </c>
      <c r="M1258" s="122">
        <v>0</v>
      </c>
      <c r="N1258" s="122">
        <f>SUM(H1258+K1258+L1258+M1258)</f>
        <v>218187.52830794844</v>
      </c>
      <c r="O1258" s="122">
        <f>N1258/G1258</f>
        <v>27273.441038493555</v>
      </c>
      <c r="P1258" s="336">
        <f t="shared" si="245"/>
        <v>-82187.528307948436</v>
      </c>
      <c r="Q1258" s="336">
        <f t="shared" si="246"/>
        <v>13274.281038493555</v>
      </c>
      <c r="R1258" s="303">
        <f t="shared" si="247"/>
        <v>0.94821982451043885</v>
      </c>
    </row>
    <row r="1259" spans="1:18" x14ac:dyDescent="0.3">
      <c r="A1259" s="2">
        <v>3561</v>
      </c>
      <c r="B1259" s="41" t="s">
        <v>1020</v>
      </c>
      <c r="C1259" s="2">
        <v>12</v>
      </c>
      <c r="D1259" s="2" t="s">
        <v>12</v>
      </c>
      <c r="E1259" s="294">
        <v>12999.56</v>
      </c>
      <c r="F1259" s="296">
        <v>16000</v>
      </c>
      <c r="G1259" s="352">
        <v>2</v>
      </c>
      <c r="H1259" s="296">
        <f t="shared" si="242"/>
        <v>25999.119999999999</v>
      </c>
      <c r="I1259" s="122">
        <f t="shared" si="243"/>
        <v>32000</v>
      </c>
      <c r="J1259" s="331">
        <f t="shared" si="244"/>
        <v>6000.880000000001</v>
      </c>
      <c r="K1259" s="292">
        <f>'09-RESUMEN'!$F$43/1375</f>
        <v>81431.961035221175</v>
      </c>
      <c r="L1259" s="122">
        <f>('ESTADO RESULTADOS'!$C$36+'ESTADO RESULTADOS'!$C$71)/1375</f>
        <v>24762.287272727273</v>
      </c>
      <c r="M1259" s="122">
        <v>0</v>
      </c>
      <c r="N1259" s="122">
        <f>SUM(H1259+K1259+L1259+M1259)</f>
        <v>132193.36830794843</v>
      </c>
      <c r="O1259" s="122">
        <f>N1259/G1259</f>
        <v>66096.684153974216</v>
      </c>
      <c r="P1259" s="336">
        <f t="shared" si="245"/>
        <v>-100193.36830794843</v>
      </c>
      <c r="Q1259" s="336">
        <f t="shared" si="246"/>
        <v>53097.124153974219</v>
      </c>
      <c r="R1259" s="303">
        <f t="shared" si="247"/>
        <v>4.0845324114027104</v>
      </c>
    </row>
    <row r="1260" spans="1:18" x14ac:dyDescent="0.3">
      <c r="A1260" s="2">
        <v>3562</v>
      </c>
      <c r="B1260" s="41" t="s">
        <v>1894</v>
      </c>
      <c r="C1260" s="2">
        <v>5</v>
      </c>
      <c r="D1260" s="2" t="s">
        <v>419</v>
      </c>
      <c r="E1260" s="294">
        <v>104085.13499999999</v>
      </c>
      <c r="F1260" s="296">
        <v>122300</v>
      </c>
      <c r="G1260" s="352">
        <v>3</v>
      </c>
      <c r="H1260" s="296">
        <f t="shared" si="242"/>
        <v>312255.40499999997</v>
      </c>
      <c r="I1260" s="122">
        <f t="shared" si="243"/>
        <v>366900</v>
      </c>
      <c r="J1260" s="331">
        <f t="shared" si="244"/>
        <v>54644.59500000003</v>
      </c>
      <c r="K1260" s="292">
        <f>'09-RESUMEN'!$F$43/1375</f>
        <v>81431.961035221175</v>
      </c>
      <c r="L1260" s="122">
        <f>('ESTADO RESULTADOS'!$C$36+'ESTADO RESULTADOS'!$C$71)/1375</f>
        <v>24762.287272727273</v>
      </c>
      <c r="M1260" s="122">
        <v>0</v>
      </c>
      <c r="N1260" s="122">
        <f>SUM(H1260+K1260+L1260+M1260)</f>
        <v>418449.65330794844</v>
      </c>
      <c r="O1260" s="122">
        <f>N1260/G1260</f>
        <v>139483.21776931614</v>
      </c>
      <c r="P1260" s="336">
        <f t="shared" si="245"/>
        <v>-51549.653307948436</v>
      </c>
      <c r="Q1260" s="336">
        <f t="shared" si="246"/>
        <v>35398.082769316141</v>
      </c>
      <c r="R1260" s="303">
        <f t="shared" si="247"/>
        <v>0.34008778265326883</v>
      </c>
    </row>
    <row r="1261" spans="1:18" x14ac:dyDescent="0.3">
      <c r="A1261" s="2">
        <v>3563</v>
      </c>
      <c r="B1261" s="41" t="s">
        <v>1895</v>
      </c>
      <c r="C1261" s="2">
        <v>9</v>
      </c>
      <c r="D1261" s="2" t="s">
        <v>12</v>
      </c>
      <c r="E1261" s="294">
        <v>285000</v>
      </c>
      <c r="F1261" s="296">
        <v>315200</v>
      </c>
      <c r="G1261" s="352">
        <v>0</v>
      </c>
      <c r="H1261" s="296">
        <f t="shared" si="242"/>
        <v>0</v>
      </c>
      <c r="I1261" s="122">
        <f t="shared" si="243"/>
        <v>0</v>
      </c>
      <c r="J1261" s="331">
        <f t="shared" si="244"/>
        <v>0</v>
      </c>
      <c r="K1261" s="292">
        <f>'09-RESUMEN'!$F$43/1375</f>
        <v>81431.961035221175</v>
      </c>
      <c r="L1261" s="122">
        <f>('ESTADO RESULTADOS'!$C$36+'ESTADO RESULTADOS'!$C$71)/1375</f>
        <v>24762.287272727273</v>
      </c>
      <c r="M1261" s="122">
        <v>0</v>
      </c>
      <c r="N1261" s="122">
        <f>SUM(E1261+K1261+L1261+M1261)</f>
        <v>391194.24830794847</v>
      </c>
      <c r="O1261" s="122">
        <f>N1261</f>
        <v>391194.24830794847</v>
      </c>
      <c r="P1261" s="336">
        <f t="shared" si="245"/>
        <v>-391194.24830794847</v>
      </c>
      <c r="Q1261" s="336">
        <f t="shared" si="246"/>
        <v>106194.24830794847</v>
      </c>
      <c r="R1261" s="303">
        <f t="shared" si="247"/>
        <v>0.37261139757174899</v>
      </c>
    </row>
    <row r="1262" spans="1:18" x14ac:dyDescent="0.3">
      <c r="A1262" s="2">
        <v>3564</v>
      </c>
      <c r="B1262" s="41" t="s">
        <v>1021</v>
      </c>
      <c r="C1262" s="2">
        <v>9</v>
      </c>
      <c r="D1262" s="2" t="s">
        <v>338</v>
      </c>
      <c r="E1262" s="294">
        <v>10807.223</v>
      </c>
      <c r="F1262" s="296">
        <v>12500</v>
      </c>
      <c r="G1262" s="352">
        <v>14</v>
      </c>
      <c r="H1262" s="296">
        <f t="shared" si="242"/>
        <v>151301.122</v>
      </c>
      <c r="I1262" s="122">
        <f t="shared" si="243"/>
        <v>175000</v>
      </c>
      <c r="J1262" s="331">
        <f t="shared" si="244"/>
        <v>23698.877999999997</v>
      </c>
      <c r="K1262" s="292">
        <f>'09-RESUMEN'!$F$43/1375</f>
        <v>81431.961035221175</v>
      </c>
      <c r="L1262" s="122">
        <f>('ESTADO RESULTADOS'!$C$36+'ESTADO RESULTADOS'!$C$71)/1375</f>
        <v>24762.287272727273</v>
      </c>
      <c r="M1262" s="122">
        <v>0</v>
      </c>
      <c r="N1262" s="122">
        <f>SUM(H1262+K1262+L1262+M1262)</f>
        <v>257495.37030794844</v>
      </c>
      <c r="O1262" s="122">
        <f>N1262/G1262</f>
        <v>18392.526450567744</v>
      </c>
      <c r="P1262" s="336">
        <f t="shared" si="245"/>
        <v>-82495.37030794844</v>
      </c>
      <c r="Q1262" s="336">
        <f t="shared" si="246"/>
        <v>7585.3034505677442</v>
      </c>
      <c r="R1262" s="303">
        <f t="shared" si="247"/>
        <v>0.70187350169120633</v>
      </c>
    </row>
    <row r="1263" spans="1:18" x14ac:dyDescent="0.3">
      <c r="A1263" s="2">
        <v>3565</v>
      </c>
      <c r="B1263" s="41" t="s">
        <v>1022</v>
      </c>
      <c r="C1263" s="2">
        <v>5</v>
      </c>
      <c r="D1263" s="2" t="s">
        <v>419</v>
      </c>
      <c r="E1263" s="294">
        <v>150710</v>
      </c>
      <c r="F1263" s="296">
        <v>177000</v>
      </c>
      <c r="G1263" s="352">
        <v>20</v>
      </c>
      <c r="H1263" s="296">
        <f t="shared" si="242"/>
        <v>3014200</v>
      </c>
      <c r="I1263" s="122">
        <f t="shared" si="243"/>
        <v>3540000</v>
      </c>
      <c r="J1263" s="331">
        <f t="shared" si="244"/>
        <v>525800</v>
      </c>
      <c r="K1263" s="292">
        <f>'09-RESUMEN'!$F$43/1375</f>
        <v>81431.961035221175</v>
      </c>
      <c r="L1263" s="122">
        <f>('ESTADO RESULTADOS'!$C$36+'ESTADO RESULTADOS'!$C$71)/1375</f>
        <v>24762.287272727273</v>
      </c>
      <c r="M1263" s="122">
        <v>0</v>
      </c>
      <c r="N1263" s="122">
        <f>SUM(H1263+K1263+L1263+M1263)</f>
        <v>3120394.2483079485</v>
      </c>
      <c r="O1263" s="122">
        <f>N1263/G1263</f>
        <v>156019.71241539743</v>
      </c>
      <c r="P1263" s="336">
        <f t="shared" si="245"/>
        <v>419605.75169205153</v>
      </c>
      <c r="Q1263" s="336">
        <f t="shared" si="246"/>
        <v>5309.7124153974291</v>
      </c>
      <c r="R1263" s="303">
        <f t="shared" si="247"/>
        <v>3.5231321182386234E-2</v>
      </c>
    </row>
    <row r="1264" spans="1:18" x14ac:dyDescent="0.3">
      <c r="A1264" s="2">
        <v>3566</v>
      </c>
      <c r="B1264" s="41" t="s">
        <v>1896</v>
      </c>
      <c r="C1264" s="2">
        <v>2</v>
      </c>
      <c r="D1264" s="2" t="s">
        <v>243</v>
      </c>
      <c r="E1264" s="294">
        <v>76702.5</v>
      </c>
      <c r="F1264" s="296">
        <v>93833.333333333328</v>
      </c>
      <c r="G1264" s="352">
        <v>2</v>
      </c>
      <c r="H1264" s="296">
        <f t="shared" si="242"/>
        <v>153405</v>
      </c>
      <c r="I1264" s="122">
        <f t="shared" si="243"/>
        <v>187666.66666666666</v>
      </c>
      <c r="J1264" s="331">
        <f t="shared" si="244"/>
        <v>34261.666666666657</v>
      </c>
      <c r="K1264" s="292">
        <f>'09-RESUMEN'!$F$43/1375</f>
        <v>81431.961035221175</v>
      </c>
      <c r="L1264" s="122">
        <f>('ESTADO RESULTADOS'!$C$36+'ESTADO RESULTADOS'!$C$71)/1375</f>
        <v>24762.287272727273</v>
      </c>
      <c r="M1264" s="122">
        <v>0</v>
      </c>
      <c r="N1264" s="122">
        <f>SUM(H1264+K1264+L1264+M1264)</f>
        <v>259599.24830794844</v>
      </c>
      <c r="O1264" s="122">
        <f>N1264/G1264</f>
        <v>129799.62415397422</v>
      </c>
      <c r="P1264" s="336">
        <f t="shared" si="245"/>
        <v>-71932.58164128178</v>
      </c>
      <c r="Q1264" s="336">
        <f t="shared" si="246"/>
        <v>53097.124153974219</v>
      </c>
      <c r="R1264" s="303">
        <f t="shared" si="247"/>
        <v>0.69224763409242485</v>
      </c>
    </row>
    <row r="1265" spans="1:18" x14ac:dyDescent="0.3">
      <c r="A1265" s="2">
        <v>3567</v>
      </c>
      <c r="B1265" s="41" t="s">
        <v>1023</v>
      </c>
      <c r="C1265" s="2">
        <v>2</v>
      </c>
      <c r="D1265" s="2" t="s">
        <v>12</v>
      </c>
      <c r="E1265" s="294">
        <v>31043.25</v>
      </c>
      <c r="F1265" s="296">
        <v>35600</v>
      </c>
      <c r="G1265" s="352">
        <v>1</v>
      </c>
      <c r="H1265" s="296">
        <f t="shared" si="242"/>
        <v>31043.25</v>
      </c>
      <c r="I1265" s="122">
        <f t="shared" si="243"/>
        <v>35600</v>
      </c>
      <c r="J1265" s="331">
        <f t="shared" si="244"/>
        <v>4556.75</v>
      </c>
      <c r="K1265" s="292">
        <f>'09-RESUMEN'!$F$43/1375</f>
        <v>81431.961035221175</v>
      </c>
      <c r="L1265" s="122">
        <f>('ESTADO RESULTADOS'!$C$36+'ESTADO RESULTADOS'!$C$71)/1375</f>
        <v>24762.287272727273</v>
      </c>
      <c r="M1265" s="122">
        <v>0</v>
      </c>
      <c r="N1265" s="122">
        <f>SUM(H1265+K1265+L1265+M1265)</f>
        <v>137237.49830794844</v>
      </c>
      <c r="O1265" s="122">
        <f>N1265/G1265</f>
        <v>137237.49830794844</v>
      </c>
      <c r="P1265" s="336">
        <f t="shared" si="245"/>
        <v>-101637.49830794844</v>
      </c>
      <c r="Q1265" s="336">
        <f t="shared" si="246"/>
        <v>106194.24830794844</v>
      </c>
      <c r="R1265" s="303">
        <f t="shared" si="247"/>
        <v>3.4208482780620084</v>
      </c>
    </row>
    <row r="1266" spans="1:18" x14ac:dyDescent="0.3">
      <c r="A1266" s="2">
        <v>3568</v>
      </c>
      <c r="B1266" s="41" t="s">
        <v>1897</v>
      </c>
      <c r="C1266" s="2">
        <v>2</v>
      </c>
      <c r="D1266" s="2" t="s">
        <v>324</v>
      </c>
      <c r="E1266" s="294">
        <v>89386.5</v>
      </c>
      <c r="F1266" s="296">
        <v>72000</v>
      </c>
      <c r="G1266" s="352">
        <v>0</v>
      </c>
      <c r="H1266" s="296">
        <f t="shared" si="242"/>
        <v>0</v>
      </c>
      <c r="I1266" s="122">
        <f t="shared" si="243"/>
        <v>0</v>
      </c>
      <c r="J1266" s="331">
        <f t="shared" si="244"/>
        <v>0</v>
      </c>
      <c r="K1266" s="292">
        <f>'09-RESUMEN'!$F$43/1375</f>
        <v>81431.961035221175</v>
      </c>
      <c r="L1266" s="122">
        <f>('ESTADO RESULTADOS'!$C$36+'ESTADO RESULTADOS'!$C$71)/1375</f>
        <v>24762.287272727273</v>
      </c>
      <c r="M1266" s="122">
        <v>0</v>
      </c>
      <c r="N1266" s="122">
        <f>SUM(E1266+K1266+L1266+M1266)</f>
        <v>195580.74830794844</v>
      </c>
      <c r="O1266" s="122">
        <f>N1266</f>
        <v>195580.74830794844</v>
      </c>
      <c r="P1266" s="336">
        <f t="shared" si="245"/>
        <v>-195580.74830794844</v>
      </c>
      <c r="Q1266" s="336">
        <f t="shared" si="246"/>
        <v>106194.24830794844</v>
      </c>
      <c r="R1266" s="303">
        <f t="shared" si="247"/>
        <v>1.1880345276741839</v>
      </c>
    </row>
    <row r="1267" spans="1:18" x14ac:dyDescent="0.3">
      <c r="A1267" s="2">
        <v>3569</v>
      </c>
      <c r="B1267" s="41" t="s">
        <v>1898</v>
      </c>
      <c r="C1267" s="2">
        <v>14</v>
      </c>
      <c r="D1267" s="2" t="s">
        <v>12</v>
      </c>
      <c r="E1267" s="294">
        <v>911.7</v>
      </c>
      <c r="F1267" s="296">
        <v>1500</v>
      </c>
      <c r="G1267" s="352">
        <v>0</v>
      </c>
      <c r="H1267" s="296">
        <f t="shared" si="242"/>
        <v>0</v>
      </c>
      <c r="I1267" s="122">
        <f t="shared" si="243"/>
        <v>0</v>
      </c>
      <c r="J1267" s="331">
        <f t="shared" si="244"/>
        <v>0</v>
      </c>
      <c r="K1267" s="292">
        <f>'09-RESUMEN'!$F$43/1375</f>
        <v>81431.961035221175</v>
      </c>
      <c r="L1267" s="122">
        <f>('ESTADO RESULTADOS'!$C$36+'ESTADO RESULTADOS'!$C$71)/1375</f>
        <v>24762.287272727273</v>
      </c>
      <c r="M1267" s="122">
        <v>0</v>
      </c>
      <c r="N1267" s="122">
        <f>SUM(E1267+K1267+L1267+M1267)</f>
        <v>107105.94830794845</v>
      </c>
      <c r="O1267" s="122">
        <f>N1267</f>
        <v>107105.94830794845</v>
      </c>
      <c r="P1267" s="336">
        <f t="shared" si="245"/>
        <v>-107105.94830794845</v>
      </c>
      <c r="Q1267" s="336">
        <f t="shared" si="246"/>
        <v>106194.24830794845</v>
      </c>
      <c r="R1267" s="303">
        <f t="shared" si="247"/>
        <v>116.47937732581819</v>
      </c>
    </row>
    <row r="1268" spans="1:18" x14ac:dyDescent="0.3">
      <c r="A1268" s="2">
        <v>3570</v>
      </c>
      <c r="B1268" s="41" t="s">
        <v>1899</v>
      </c>
      <c r="C1268" s="2">
        <v>14</v>
      </c>
      <c r="D1268" s="2" t="s">
        <v>81</v>
      </c>
      <c r="E1268" s="294">
        <v>33881</v>
      </c>
      <c r="F1268" s="296">
        <v>42000</v>
      </c>
      <c r="G1268" s="352">
        <v>0</v>
      </c>
      <c r="H1268" s="296">
        <f t="shared" si="242"/>
        <v>0</v>
      </c>
      <c r="I1268" s="122">
        <f t="shared" si="243"/>
        <v>0</v>
      </c>
      <c r="J1268" s="331">
        <f t="shared" si="244"/>
        <v>0</v>
      </c>
      <c r="K1268" s="292">
        <f>'09-RESUMEN'!$F$43/1375</f>
        <v>81431.961035221175</v>
      </c>
      <c r="L1268" s="122">
        <f>('ESTADO RESULTADOS'!$C$36+'ESTADO RESULTADOS'!$C$71)/1375</f>
        <v>24762.287272727273</v>
      </c>
      <c r="M1268" s="122">
        <v>0</v>
      </c>
      <c r="N1268" s="122">
        <f>SUM(E1268+K1268+L1268+M1268)</f>
        <v>140075.24830794844</v>
      </c>
      <c r="O1268" s="122">
        <f>N1268</f>
        <v>140075.24830794844</v>
      </c>
      <c r="P1268" s="336">
        <f t="shared" si="245"/>
        <v>-140075.24830794844</v>
      </c>
      <c r="Q1268" s="336">
        <f t="shared" si="246"/>
        <v>106194.24830794844</v>
      </c>
      <c r="R1268" s="303">
        <f t="shared" si="247"/>
        <v>3.134330400754064</v>
      </c>
    </row>
    <row r="1269" spans="1:18" x14ac:dyDescent="0.3">
      <c r="A1269" s="2">
        <v>3571</v>
      </c>
      <c r="B1269" s="41" t="s">
        <v>1024</v>
      </c>
      <c r="C1269" s="2">
        <v>14</v>
      </c>
      <c r="D1269" s="2" t="s">
        <v>81</v>
      </c>
      <c r="E1269" s="294">
        <v>35022</v>
      </c>
      <c r="F1269" s="296">
        <v>42000</v>
      </c>
      <c r="G1269" s="352">
        <v>5</v>
      </c>
      <c r="H1269" s="296">
        <f t="shared" si="242"/>
        <v>175110</v>
      </c>
      <c r="I1269" s="122">
        <f t="shared" si="243"/>
        <v>210000</v>
      </c>
      <c r="J1269" s="331">
        <f t="shared" si="244"/>
        <v>34890</v>
      </c>
      <c r="K1269" s="292">
        <f>'09-RESUMEN'!$F$43/1375</f>
        <v>81431.961035221175</v>
      </c>
      <c r="L1269" s="122">
        <f>('ESTADO RESULTADOS'!$C$36+'ESTADO RESULTADOS'!$C$71)/1375</f>
        <v>24762.287272727273</v>
      </c>
      <c r="M1269" s="122">
        <v>0</v>
      </c>
      <c r="N1269" s="122">
        <f t="shared" ref="N1269:N1283" si="250">SUM(H1269+K1269+L1269+M1269)</f>
        <v>281304.24830794847</v>
      </c>
      <c r="O1269" s="122">
        <f t="shared" ref="O1269:O1283" si="251">N1269/G1269</f>
        <v>56260.849661589695</v>
      </c>
      <c r="P1269" s="336">
        <f t="shared" si="245"/>
        <v>-71304.248307948466</v>
      </c>
      <c r="Q1269" s="336">
        <f t="shared" si="246"/>
        <v>21238.849661589695</v>
      </c>
      <c r="R1269" s="303">
        <f t="shared" si="247"/>
        <v>0.60644308325023399</v>
      </c>
    </row>
    <row r="1270" spans="1:18" x14ac:dyDescent="0.3">
      <c r="A1270" s="2">
        <v>3572</v>
      </c>
      <c r="B1270" s="41" t="s">
        <v>1025</v>
      </c>
      <c r="C1270" s="2">
        <v>4</v>
      </c>
      <c r="D1270" s="2" t="s">
        <v>16</v>
      </c>
      <c r="E1270" s="294">
        <v>87200</v>
      </c>
      <c r="F1270" s="296">
        <v>107400</v>
      </c>
      <c r="G1270" s="352">
        <v>3</v>
      </c>
      <c r="H1270" s="296">
        <f t="shared" si="242"/>
        <v>261600</v>
      </c>
      <c r="I1270" s="122">
        <f t="shared" si="243"/>
        <v>322200</v>
      </c>
      <c r="J1270" s="331">
        <f t="shared" si="244"/>
        <v>60600</v>
      </c>
      <c r="K1270" s="292">
        <f>'09-RESUMEN'!$F$43/1375</f>
        <v>81431.961035221175</v>
      </c>
      <c r="L1270" s="122">
        <f>('ESTADO RESULTADOS'!$C$36+'ESTADO RESULTADOS'!$C$71)/1375</f>
        <v>24762.287272727273</v>
      </c>
      <c r="M1270" s="122">
        <v>0</v>
      </c>
      <c r="N1270" s="122">
        <f t="shared" si="250"/>
        <v>367794.24830794847</v>
      </c>
      <c r="O1270" s="122">
        <f t="shared" si="251"/>
        <v>122598.08276931616</v>
      </c>
      <c r="P1270" s="336">
        <f t="shared" si="245"/>
        <v>-45594.248307948466</v>
      </c>
      <c r="Q1270" s="336">
        <f t="shared" si="246"/>
        <v>35398.082769316155</v>
      </c>
      <c r="R1270" s="303">
        <f t="shared" si="247"/>
        <v>0.4059413161618825</v>
      </c>
    </row>
    <row r="1271" spans="1:18" x14ac:dyDescent="0.3">
      <c r="A1271" s="2">
        <v>3573</v>
      </c>
      <c r="B1271" s="41" t="s">
        <v>1026</v>
      </c>
      <c r="C1271" s="2">
        <v>4</v>
      </c>
      <c r="D1271" s="2" t="s">
        <v>176</v>
      </c>
      <c r="E1271" s="294">
        <v>26000</v>
      </c>
      <c r="F1271" s="296">
        <v>32000</v>
      </c>
      <c r="G1271" s="352">
        <v>5</v>
      </c>
      <c r="H1271" s="296">
        <f t="shared" si="242"/>
        <v>130000</v>
      </c>
      <c r="I1271" s="122">
        <f t="shared" si="243"/>
        <v>160000</v>
      </c>
      <c r="J1271" s="331">
        <f t="shared" si="244"/>
        <v>30000</v>
      </c>
      <c r="K1271" s="292">
        <f>'09-RESUMEN'!$F$43/1375</f>
        <v>81431.961035221175</v>
      </c>
      <c r="L1271" s="122">
        <f>('ESTADO RESULTADOS'!$C$36+'ESTADO RESULTADOS'!$C$71)/1375</f>
        <v>24762.287272727273</v>
      </c>
      <c r="M1271" s="122">
        <v>0</v>
      </c>
      <c r="N1271" s="122">
        <f t="shared" si="250"/>
        <v>236194.24830794844</v>
      </c>
      <c r="O1271" s="122">
        <f t="shared" si="251"/>
        <v>47238.849661589687</v>
      </c>
      <c r="P1271" s="336">
        <f t="shared" si="245"/>
        <v>-76194.248307948437</v>
      </c>
      <c r="Q1271" s="336">
        <f t="shared" si="246"/>
        <v>21238.849661589687</v>
      </c>
      <c r="R1271" s="303">
        <f t="shared" si="247"/>
        <v>0.81687883313806486</v>
      </c>
    </row>
    <row r="1272" spans="1:18" x14ac:dyDescent="0.3">
      <c r="A1272" s="2">
        <v>3574</v>
      </c>
      <c r="B1272" s="41" t="s">
        <v>1027</v>
      </c>
      <c r="C1272" s="2">
        <v>6</v>
      </c>
      <c r="D1272" s="2" t="s">
        <v>176</v>
      </c>
      <c r="E1272" s="294">
        <v>35538.461499999998</v>
      </c>
      <c r="F1272" s="296">
        <v>42000</v>
      </c>
      <c r="G1272" s="352">
        <v>18</v>
      </c>
      <c r="H1272" s="296">
        <f t="shared" si="242"/>
        <v>639692.30699999991</v>
      </c>
      <c r="I1272" s="122">
        <f t="shared" si="243"/>
        <v>756000</v>
      </c>
      <c r="J1272" s="331">
        <f t="shared" si="244"/>
        <v>116307.69300000009</v>
      </c>
      <c r="K1272" s="292">
        <f>'09-RESUMEN'!$F$43/1375</f>
        <v>81431.961035221175</v>
      </c>
      <c r="L1272" s="122">
        <f>('ESTADO RESULTADOS'!$C$36+'ESTADO RESULTADOS'!$C$71)/1375</f>
        <v>24762.287272727273</v>
      </c>
      <c r="M1272" s="122">
        <v>0</v>
      </c>
      <c r="N1272" s="122">
        <f t="shared" si="250"/>
        <v>745886.55530794838</v>
      </c>
      <c r="O1272" s="122">
        <f t="shared" si="251"/>
        <v>41438.14196155269</v>
      </c>
      <c r="P1272" s="336">
        <f t="shared" si="245"/>
        <v>10113.44469205162</v>
      </c>
      <c r="Q1272" s="336">
        <f t="shared" si="246"/>
        <v>5899.6804615526926</v>
      </c>
      <c r="R1272" s="303">
        <f t="shared" si="247"/>
        <v>0.16600832485538783</v>
      </c>
    </row>
    <row r="1273" spans="1:18" x14ac:dyDescent="0.3">
      <c r="A1273" s="2">
        <v>3576</v>
      </c>
      <c r="B1273" s="41" t="s">
        <v>1900</v>
      </c>
      <c r="C1273" s="2">
        <v>1</v>
      </c>
      <c r="D1273" s="2" t="s">
        <v>12</v>
      </c>
      <c r="E1273" s="294">
        <v>3800</v>
      </c>
      <c r="F1273" s="296">
        <v>4966.666666666667</v>
      </c>
      <c r="G1273" s="352">
        <v>33</v>
      </c>
      <c r="H1273" s="296">
        <f t="shared" si="242"/>
        <v>125400</v>
      </c>
      <c r="I1273" s="122">
        <f t="shared" si="243"/>
        <v>163900</v>
      </c>
      <c r="J1273" s="331">
        <f t="shared" si="244"/>
        <v>38500</v>
      </c>
      <c r="K1273" s="292">
        <f>'09-RESUMEN'!$F$43/1375</f>
        <v>81431.961035221175</v>
      </c>
      <c r="L1273" s="122">
        <f>('ESTADO RESULTADOS'!$C$36+'ESTADO RESULTADOS'!$C$71)/1375</f>
        <v>24762.287272727273</v>
      </c>
      <c r="M1273" s="122">
        <v>0</v>
      </c>
      <c r="N1273" s="122">
        <f t="shared" si="250"/>
        <v>231594.24830794844</v>
      </c>
      <c r="O1273" s="122">
        <f t="shared" si="251"/>
        <v>7018.007524483286</v>
      </c>
      <c r="P1273" s="336">
        <f t="shared" si="245"/>
        <v>-67694.248307948437</v>
      </c>
      <c r="Q1273" s="336">
        <f t="shared" si="246"/>
        <v>3218.007524483286</v>
      </c>
      <c r="R1273" s="303">
        <f t="shared" si="247"/>
        <v>0.8468440853903384</v>
      </c>
    </row>
    <row r="1274" spans="1:18" x14ac:dyDescent="0.3">
      <c r="A1274" s="2">
        <v>3577</v>
      </c>
      <c r="B1274" s="41" t="s">
        <v>1028</v>
      </c>
      <c r="C1274" s="2">
        <v>5</v>
      </c>
      <c r="D1274" s="2" t="s">
        <v>12</v>
      </c>
      <c r="E1274" s="294">
        <v>50000</v>
      </c>
      <c r="F1274" s="296">
        <v>62000</v>
      </c>
      <c r="G1274" s="352">
        <v>3</v>
      </c>
      <c r="H1274" s="296">
        <f t="shared" si="242"/>
        <v>150000</v>
      </c>
      <c r="I1274" s="122">
        <f t="shared" si="243"/>
        <v>186000</v>
      </c>
      <c r="J1274" s="331">
        <f t="shared" si="244"/>
        <v>36000</v>
      </c>
      <c r="K1274" s="292">
        <f>'09-RESUMEN'!$F$43/1375</f>
        <v>81431.961035221175</v>
      </c>
      <c r="L1274" s="122">
        <f>('ESTADO RESULTADOS'!$C$36+'ESTADO RESULTADOS'!$C$71)/1375</f>
        <v>24762.287272727273</v>
      </c>
      <c r="M1274" s="122">
        <v>0</v>
      </c>
      <c r="N1274" s="122">
        <f t="shared" si="250"/>
        <v>256194.24830794844</v>
      </c>
      <c r="O1274" s="122">
        <f t="shared" si="251"/>
        <v>85398.082769316141</v>
      </c>
      <c r="P1274" s="336">
        <f t="shared" si="245"/>
        <v>-70194.248307948437</v>
      </c>
      <c r="Q1274" s="336">
        <f t="shared" si="246"/>
        <v>35398.082769316141</v>
      </c>
      <c r="R1274" s="303">
        <f t="shared" si="247"/>
        <v>0.70796165538632283</v>
      </c>
    </row>
    <row r="1275" spans="1:18" x14ac:dyDescent="0.3">
      <c r="A1275" s="2">
        <v>3578</v>
      </c>
      <c r="B1275" s="41" t="s">
        <v>1029</v>
      </c>
      <c r="C1275" s="2">
        <v>4</v>
      </c>
      <c r="D1275" s="2" t="s">
        <v>176</v>
      </c>
      <c r="E1275" s="294">
        <v>15500</v>
      </c>
      <c r="F1275" s="296">
        <v>20500</v>
      </c>
      <c r="G1275" s="352">
        <v>12</v>
      </c>
      <c r="H1275" s="296">
        <f t="shared" si="242"/>
        <v>186000</v>
      </c>
      <c r="I1275" s="122">
        <f t="shared" si="243"/>
        <v>246000</v>
      </c>
      <c r="J1275" s="331">
        <f t="shared" si="244"/>
        <v>60000</v>
      </c>
      <c r="K1275" s="292">
        <f>'09-RESUMEN'!$F$43/1375</f>
        <v>81431.961035221175</v>
      </c>
      <c r="L1275" s="122">
        <f>('ESTADO RESULTADOS'!$C$36+'ESTADO RESULTADOS'!$C$71)/1375</f>
        <v>24762.287272727273</v>
      </c>
      <c r="M1275" s="122">
        <v>0</v>
      </c>
      <c r="N1275" s="122">
        <f t="shared" si="250"/>
        <v>292194.24830794847</v>
      </c>
      <c r="O1275" s="122">
        <f t="shared" si="251"/>
        <v>24349.520692329039</v>
      </c>
      <c r="P1275" s="336">
        <f t="shared" si="245"/>
        <v>-46194.248307948466</v>
      </c>
      <c r="Q1275" s="336">
        <f t="shared" si="246"/>
        <v>8849.5206923290389</v>
      </c>
      <c r="R1275" s="303">
        <f t="shared" si="247"/>
        <v>0.57093681885993797</v>
      </c>
    </row>
    <row r="1276" spans="1:18" x14ac:dyDescent="0.3">
      <c r="A1276" s="2">
        <v>3579</v>
      </c>
      <c r="B1276" s="41" t="s">
        <v>1030</v>
      </c>
      <c r="C1276" s="2">
        <v>14</v>
      </c>
      <c r="D1276" s="2" t="s">
        <v>12</v>
      </c>
      <c r="E1276" s="294">
        <v>104100</v>
      </c>
      <c r="F1276" s="296">
        <v>122000</v>
      </c>
      <c r="G1276" s="352">
        <v>1</v>
      </c>
      <c r="H1276" s="296">
        <f t="shared" si="242"/>
        <v>104100</v>
      </c>
      <c r="I1276" s="122">
        <f t="shared" si="243"/>
        <v>122000</v>
      </c>
      <c r="J1276" s="331">
        <f t="shared" si="244"/>
        <v>17900</v>
      </c>
      <c r="K1276" s="292">
        <f>'09-RESUMEN'!$F$43/1375</f>
        <v>81431.961035221175</v>
      </c>
      <c r="L1276" s="122">
        <f>('ESTADO RESULTADOS'!$C$36+'ESTADO RESULTADOS'!$C$71)/1375</f>
        <v>24762.287272727273</v>
      </c>
      <c r="M1276" s="122">
        <v>0</v>
      </c>
      <c r="N1276" s="122">
        <f t="shared" si="250"/>
        <v>210294.24830794844</v>
      </c>
      <c r="O1276" s="122">
        <f t="shared" si="251"/>
        <v>210294.24830794844</v>
      </c>
      <c r="P1276" s="336">
        <f t="shared" si="245"/>
        <v>-88294.248307948437</v>
      </c>
      <c r="Q1276" s="336">
        <f t="shared" si="246"/>
        <v>106194.24830794844</v>
      </c>
      <c r="R1276" s="303">
        <f t="shared" si="247"/>
        <v>1.0201176590581023</v>
      </c>
    </row>
    <row r="1277" spans="1:18" x14ac:dyDescent="0.3">
      <c r="A1277" s="2">
        <v>3581</v>
      </c>
      <c r="B1277" s="41" t="s">
        <v>1901</v>
      </c>
      <c r="C1277" s="2">
        <v>2</v>
      </c>
      <c r="D1277" s="2" t="s">
        <v>12</v>
      </c>
      <c r="E1277" s="294">
        <v>132000</v>
      </c>
      <c r="F1277" s="296">
        <v>150233.33333333334</v>
      </c>
      <c r="G1277" s="352">
        <v>4</v>
      </c>
      <c r="H1277" s="296">
        <f t="shared" si="242"/>
        <v>528000</v>
      </c>
      <c r="I1277" s="122">
        <f t="shared" si="243"/>
        <v>600933.33333333337</v>
      </c>
      <c r="J1277" s="331">
        <f t="shared" si="244"/>
        <v>72933.333333333372</v>
      </c>
      <c r="K1277" s="292">
        <f>'09-RESUMEN'!$F$43/1375</f>
        <v>81431.961035221175</v>
      </c>
      <c r="L1277" s="122">
        <f>('ESTADO RESULTADOS'!$C$36+'ESTADO RESULTADOS'!$C$71)/1375</f>
        <v>24762.287272727273</v>
      </c>
      <c r="M1277" s="122">
        <v>0</v>
      </c>
      <c r="N1277" s="122">
        <f t="shared" si="250"/>
        <v>634194.24830794835</v>
      </c>
      <c r="O1277" s="122">
        <f t="shared" si="251"/>
        <v>158548.56207698709</v>
      </c>
      <c r="P1277" s="336">
        <f t="shared" si="245"/>
        <v>-33260.914974614978</v>
      </c>
      <c r="Q1277" s="336">
        <f t="shared" si="246"/>
        <v>26548.562076987087</v>
      </c>
      <c r="R1277" s="303">
        <f t="shared" si="247"/>
        <v>0.20112547028020522</v>
      </c>
    </row>
    <row r="1278" spans="1:18" x14ac:dyDescent="0.3">
      <c r="A1278" s="2">
        <v>3582</v>
      </c>
      <c r="B1278" s="41" t="s">
        <v>1031</v>
      </c>
      <c r="C1278" s="2">
        <v>14</v>
      </c>
      <c r="D1278" s="2" t="s">
        <v>12</v>
      </c>
      <c r="E1278" s="294">
        <v>12773.6875</v>
      </c>
      <c r="F1278" s="296">
        <v>16200</v>
      </c>
      <c r="G1278" s="352">
        <v>1</v>
      </c>
      <c r="H1278" s="296">
        <f t="shared" si="242"/>
        <v>12773.6875</v>
      </c>
      <c r="I1278" s="122">
        <f t="shared" si="243"/>
        <v>16200</v>
      </c>
      <c r="J1278" s="331">
        <f t="shared" si="244"/>
        <v>3426.3125</v>
      </c>
      <c r="K1278" s="292">
        <f>'09-RESUMEN'!$F$43/1375</f>
        <v>81431.961035221175</v>
      </c>
      <c r="L1278" s="122">
        <f>('ESTADO RESULTADOS'!$C$36+'ESTADO RESULTADOS'!$C$71)/1375</f>
        <v>24762.287272727273</v>
      </c>
      <c r="M1278" s="122">
        <v>0</v>
      </c>
      <c r="N1278" s="122">
        <f t="shared" si="250"/>
        <v>118967.93580794845</v>
      </c>
      <c r="O1278" s="122">
        <f t="shared" si="251"/>
        <v>118967.93580794845</v>
      </c>
      <c r="P1278" s="336">
        <f t="shared" si="245"/>
        <v>-102767.93580794845</v>
      </c>
      <c r="Q1278" s="336">
        <f t="shared" si="246"/>
        <v>106194.24830794845</v>
      </c>
      <c r="R1278" s="303">
        <f t="shared" si="247"/>
        <v>8.3135154439897221</v>
      </c>
    </row>
    <row r="1279" spans="1:18" x14ac:dyDescent="0.3">
      <c r="A1279" s="2">
        <v>3583</v>
      </c>
      <c r="B1279" s="41" t="s">
        <v>1032</v>
      </c>
      <c r="C1279" s="2">
        <v>14</v>
      </c>
      <c r="D1279" s="2" t="s">
        <v>12</v>
      </c>
      <c r="E1279" s="294">
        <v>16212.857099999999</v>
      </c>
      <c r="F1279" s="296">
        <v>19800</v>
      </c>
      <c r="G1279" s="352">
        <v>6</v>
      </c>
      <c r="H1279" s="296">
        <f t="shared" si="242"/>
        <v>97277.142599999992</v>
      </c>
      <c r="I1279" s="122">
        <f t="shared" si="243"/>
        <v>118800</v>
      </c>
      <c r="J1279" s="331">
        <f t="shared" si="244"/>
        <v>21522.857400000008</v>
      </c>
      <c r="K1279" s="292">
        <f>'09-RESUMEN'!$F$43/1375</f>
        <v>81431.961035221175</v>
      </c>
      <c r="L1279" s="122">
        <f>('ESTADO RESULTADOS'!$C$36+'ESTADO RESULTADOS'!$C$71)/1375</f>
        <v>24762.287272727273</v>
      </c>
      <c r="M1279" s="122">
        <v>0</v>
      </c>
      <c r="N1279" s="122">
        <f t="shared" si="250"/>
        <v>203471.39090794843</v>
      </c>
      <c r="O1279" s="122">
        <f t="shared" si="251"/>
        <v>33911.898484658072</v>
      </c>
      <c r="P1279" s="336">
        <f t="shared" si="245"/>
        <v>-84671.390907948429</v>
      </c>
      <c r="Q1279" s="336">
        <f t="shared" si="246"/>
        <v>17699.04138465807</v>
      </c>
      <c r="R1279" s="303">
        <f t="shared" si="247"/>
        <v>1.0916670192977938</v>
      </c>
    </row>
    <row r="1280" spans="1:18" x14ac:dyDescent="0.3">
      <c r="A1280" s="2">
        <v>3584</v>
      </c>
      <c r="B1280" s="41" t="s">
        <v>1033</v>
      </c>
      <c r="C1280" s="2">
        <v>14</v>
      </c>
      <c r="D1280" s="2" t="s">
        <v>12</v>
      </c>
      <c r="E1280" s="294">
        <v>4947</v>
      </c>
      <c r="F1280" s="296">
        <v>6000</v>
      </c>
      <c r="G1280" s="352">
        <v>6</v>
      </c>
      <c r="H1280" s="296">
        <f t="shared" si="242"/>
        <v>29682</v>
      </c>
      <c r="I1280" s="122">
        <f t="shared" si="243"/>
        <v>36000</v>
      </c>
      <c r="J1280" s="331">
        <f t="shared" si="244"/>
        <v>6318</v>
      </c>
      <c r="K1280" s="292">
        <f>'09-RESUMEN'!$F$43/1375</f>
        <v>81431.961035221175</v>
      </c>
      <c r="L1280" s="122">
        <f>('ESTADO RESULTADOS'!$C$36+'ESTADO RESULTADOS'!$C$71)/1375</f>
        <v>24762.287272727273</v>
      </c>
      <c r="M1280" s="122">
        <v>0</v>
      </c>
      <c r="N1280" s="122">
        <f t="shared" si="250"/>
        <v>135876.24830794844</v>
      </c>
      <c r="O1280" s="122">
        <f t="shared" si="251"/>
        <v>22646.041384658074</v>
      </c>
      <c r="P1280" s="336">
        <f t="shared" si="245"/>
        <v>-99876.248307948437</v>
      </c>
      <c r="Q1280" s="336">
        <f t="shared" si="246"/>
        <v>17699.041384658074</v>
      </c>
      <c r="R1280" s="303">
        <f t="shared" si="247"/>
        <v>3.5777322386614259</v>
      </c>
    </row>
    <row r="1281" spans="1:18" x14ac:dyDescent="0.3">
      <c r="A1281" s="2">
        <v>3585</v>
      </c>
      <c r="B1281" s="41" t="s">
        <v>1034</v>
      </c>
      <c r="C1281" s="2">
        <v>14</v>
      </c>
      <c r="D1281" s="2" t="s">
        <v>12</v>
      </c>
      <c r="E1281" s="294">
        <v>7690.7142999999996</v>
      </c>
      <c r="F1281" s="296">
        <v>10500</v>
      </c>
      <c r="G1281" s="352">
        <v>2</v>
      </c>
      <c r="H1281" s="296">
        <f t="shared" si="242"/>
        <v>15381.428599999999</v>
      </c>
      <c r="I1281" s="122">
        <f t="shared" si="243"/>
        <v>21000</v>
      </c>
      <c r="J1281" s="331">
        <f t="shared" si="244"/>
        <v>5618.5714000000007</v>
      </c>
      <c r="K1281" s="292">
        <f>'09-RESUMEN'!$F$43/1375</f>
        <v>81431.961035221175</v>
      </c>
      <c r="L1281" s="122">
        <f>('ESTADO RESULTADOS'!$C$36+'ESTADO RESULTADOS'!$C$71)/1375</f>
        <v>24762.287272727273</v>
      </c>
      <c r="M1281" s="122">
        <v>0</v>
      </c>
      <c r="N1281" s="122">
        <f t="shared" si="250"/>
        <v>121575.67690794845</v>
      </c>
      <c r="O1281" s="122">
        <f t="shared" si="251"/>
        <v>60787.838453974226</v>
      </c>
      <c r="P1281" s="336">
        <f t="shared" si="245"/>
        <v>-100575.67690794845</v>
      </c>
      <c r="Q1281" s="336">
        <f t="shared" si="246"/>
        <v>53097.124153974226</v>
      </c>
      <c r="R1281" s="303">
        <f t="shared" si="247"/>
        <v>6.9040562531329801</v>
      </c>
    </row>
    <row r="1282" spans="1:18" x14ac:dyDescent="0.3">
      <c r="A1282" s="2">
        <v>3586</v>
      </c>
      <c r="B1282" s="41" t="s">
        <v>1035</v>
      </c>
      <c r="C1282" s="2">
        <v>14</v>
      </c>
      <c r="D1282" s="2" t="s">
        <v>12</v>
      </c>
      <c r="E1282" s="294">
        <v>12125</v>
      </c>
      <c r="F1282" s="296">
        <v>16200</v>
      </c>
      <c r="G1282" s="352">
        <v>4</v>
      </c>
      <c r="H1282" s="296">
        <f t="shared" si="242"/>
        <v>48500</v>
      </c>
      <c r="I1282" s="122">
        <f t="shared" si="243"/>
        <v>64800</v>
      </c>
      <c r="J1282" s="331">
        <f t="shared" si="244"/>
        <v>16300</v>
      </c>
      <c r="K1282" s="292">
        <f>'09-RESUMEN'!$F$43/1375</f>
        <v>81431.961035221175</v>
      </c>
      <c r="L1282" s="122">
        <f>('ESTADO RESULTADOS'!$C$36+'ESTADO RESULTADOS'!$C$71)/1375</f>
        <v>24762.287272727273</v>
      </c>
      <c r="M1282" s="122">
        <v>0</v>
      </c>
      <c r="N1282" s="122">
        <f t="shared" si="250"/>
        <v>154694.24830794844</v>
      </c>
      <c r="O1282" s="122">
        <f t="shared" si="251"/>
        <v>38673.562076987109</v>
      </c>
      <c r="P1282" s="336">
        <f t="shared" si="245"/>
        <v>-89894.248307948437</v>
      </c>
      <c r="Q1282" s="336">
        <f t="shared" si="246"/>
        <v>26548.562076987109</v>
      </c>
      <c r="R1282" s="303">
        <f t="shared" si="247"/>
        <v>2.1895721300607924</v>
      </c>
    </row>
    <row r="1283" spans="1:18" x14ac:dyDescent="0.3">
      <c r="A1283" s="2">
        <v>3587</v>
      </c>
      <c r="B1283" s="41" t="s">
        <v>1036</v>
      </c>
      <c r="C1283" s="2">
        <v>14</v>
      </c>
      <c r="D1283" s="2" t="s">
        <v>12</v>
      </c>
      <c r="E1283" s="294">
        <v>8245</v>
      </c>
      <c r="F1283" s="296">
        <v>10500</v>
      </c>
      <c r="G1283" s="352">
        <v>6</v>
      </c>
      <c r="H1283" s="296">
        <f t="shared" si="242"/>
        <v>49470</v>
      </c>
      <c r="I1283" s="122">
        <f t="shared" si="243"/>
        <v>63000</v>
      </c>
      <c r="J1283" s="331">
        <f t="shared" si="244"/>
        <v>13530</v>
      </c>
      <c r="K1283" s="292">
        <f>'09-RESUMEN'!$F$43/1375</f>
        <v>81431.961035221175</v>
      </c>
      <c r="L1283" s="122">
        <f>('ESTADO RESULTADOS'!$C$36+'ESTADO RESULTADOS'!$C$71)/1375</f>
        <v>24762.287272727273</v>
      </c>
      <c r="M1283" s="122">
        <v>0</v>
      </c>
      <c r="N1283" s="122">
        <f t="shared" si="250"/>
        <v>155664.24830794844</v>
      </c>
      <c r="O1283" s="122">
        <f t="shared" si="251"/>
        <v>25944.041384658074</v>
      </c>
      <c r="P1283" s="336">
        <f t="shared" si="245"/>
        <v>-92664.248307948437</v>
      </c>
      <c r="Q1283" s="336">
        <f t="shared" si="246"/>
        <v>17699.041384658074</v>
      </c>
      <c r="R1283" s="303">
        <f t="shared" si="247"/>
        <v>2.1466393431968553</v>
      </c>
    </row>
    <row r="1284" spans="1:18" x14ac:dyDescent="0.3">
      <c r="A1284" s="2">
        <v>3588</v>
      </c>
      <c r="B1284" s="41" t="s">
        <v>1037</v>
      </c>
      <c r="C1284" s="2">
        <v>14</v>
      </c>
      <c r="D1284" s="2" t="s">
        <v>12</v>
      </c>
      <c r="E1284" s="294">
        <v>790.55</v>
      </c>
      <c r="F1284" s="296">
        <v>1000</v>
      </c>
      <c r="G1284" s="352">
        <v>0</v>
      </c>
      <c r="H1284" s="296">
        <f t="shared" ref="H1284:H1347" si="252">E1284*G1284</f>
        <v>0</v>
      </c>
      <c r="I1284" s="122">
        <f t="shared" ref="I1284:I1347" si="253">F1284*G1284</f>
        <v>0</v>
      </c>
      <c r="J1284" s="331">
        <f t="shared" ref="J1284:J1347" si="254">I1284-H1284</f>
        <v>0</v>
      </c>
      <c r="K1284" s="292">
        <f>'09-RESUMEN'!$F$43/1375</f>
        <v>81431.961035221175</v>
      </c>
      <c r="L1284" s="122">
        <f>('ESTADO RESULTADOS'!$C$36+'ESTADO RESULTADOS'!$C$71)/1375</f>
        <v>24762.287272727273</v>
      </c>
      <c r="M1284" s="122">
        <v>0</v>
      </c>
      <c r="N1284" s="122">
        <f>SUM(E1284+K1284+L1284+M1284)</f>
        <v>106984.79830794845</v>
      </c>
      <c r="O1284" s="122">
        <f>N1284</f>
        <v>106984.79830794845</v>
      </c>
      <c r="P1284" s="336">
        <f t="shared" si="245"/>
        <v>-106984.79830794845</v>
      </c>
      <c r="Q1284" s="336">
        <f t="shared" si="246"/>
        <v>106194.24830794845</v>
      </c>
      <c r="R1284" s="303">
        <f t="shared" si="247"/>
        <v>134.32957853133698</v>
      </c>
    </row>
    <row r="1285" spans="1:18" x14ac:dyDescent="0.3">
      <c r="A1285" s="2">
        <v>3589</v>
      </c>
      <c r="B1285" s="41" t="s">
        <v>1038</v>
      </c>
      <c r="C1285" s="2">
        <v>5</v>
      </c>
      <c r="D1285" s="2" t="s">
        <v>12</v>
      </c>
      <c r="E1285" s="294">
        <v>59558.400000000001</v>
      </c>
      <c r="F1285" s="296">
        <v>75000</v>
      </c>
      <c r="G1285" s="352">
        <v>20</v>
      </c>
      <c r="H1285" s="296">
        <f t="shared" si="252"/>
        <v>1191168</v>
      </c>
      <c r="I1285" s="122">
        <f t="shared" si="253"/>
        <v>1500000</v>
      </c>
      <c r="J1285" s="331">
        <f t="shared" si="254"/>
        <v>308832</v>
      </c>
      <c r="K1285" s="292">
        <f>'09-RESUMEN'!$F$43/1375</f>
        <v>81431.961035221175</v>
      </c>
      <c r="L1285" s="122">
        <f>('ESTADO RESULTADOS'!$C$36+'ESTADO RESULTADOS'!$C$71)/1375</f>
        <v>24762.287272727273</v>
      </c>
      <c r="M1285" s="122">
        <v>0</v>
      </c>
      <c r="N1285" s="122">
        <f>SUM(H1285+K1285+L1285+M1285)</f>
        <v>1297362.2483079485</v>
      </c>
      <c r="O1285" s="122">
        <f>N1285/G1285</f>
        <v>64868.112415397423</v>
      </c>
      <c r="P1285" s="336">
        <f t="shared" ref="P1285:P1348" si="255">I1285-N1285</f>
        <v>202637.75169205153</v>
      </c>
      <c r="Q1285" s="336">
        <f t="shared" ref="Q1285:Q1348" si="256">O1285-E1285</f>
        <v>5309.7124153974219</v>
      </c>
      <c r="R1285" s="303">
        <f t="shared" ref="R1285:R1348" si="257">Q1285/E1285</f>
        <v>8.9151360939807342E-2</v>
      </c>
    </row>
    <row r="1286" spans="1:18" x14ac:dyDescent="0.3">
      <c r="A1286" s="2">
        <v>3591</v>
      </c>
      <c r="B1286" s="41" t="s">
        <v>1039</v>
      </c>
      <c r="C1286" s="2">
        <v>5</v>
      </c>
      <c r="D1286" s="2" t="s">
        <v>12</v>
      </c>
      <c r="E1286" s="294">
        <v>17800</v>
      </c>
      <c r="F1286" s="296">
        <v>25000</v>
      </c>
      <c r="G1286" s="352">
        <v>13</v>
      </c>
      <c r="H1286" s="296">
        <f t="shared" si="252"/>
        <v>231400</v>
      </c>
      <c r="I1286" s="122">
        <f t="shared" si="253"/>
        <v>325000</v>
      </c>
      <c r="J1286" s="331">
        <f t="shared" si="254"/>
        <v>93600</v>
      </c>
      <c r="K1286" s="292">
        <f>'09-RESUMEN'!$F$43/1375</f>
        <v>81431.961035221175</v>
      </c>
      <c r="L1286" s="122">
        <f>('ESTADO RESULTADOS'!$C$36+'ESTADO RESULTADOS'!$C$71)/1375</f>
        <v>24762.287272727273</v>
      </c>
      <c r="M1286" s="122">
        <v>0</v>
      </c>
      <c r="N1286" s="122">
        <f>SUM(H1286+K1286+L1286+M1286)</f>
        <v>337594.24830794847</v>
      </c>
      <c r="O1286" s="122">
        <f>N1286/G1286</f>
        <v>25968.788331380652</v>
      </c>
      <c r="P1286" s="336">
        <f t="shared" si="255"/>
        <v>-12594.248307948466</v>
      </c>
      <c r="Q1286" s="336">
        <f t="shared" si="256"/>
        <v>8168.7883313806524</v>
      </c>
      <c r="R1286" s="303">
        <f t="shared" si="257"/>
        <v>0.45892069277419395</v>
      </c>
    </row>
    <row r="1287" spans="1:18" x14ac:dyDescent="0.3">
      <c r="A1287" s="2">
        <v>3592</v>
      </c>
      <c r="B1287" s="41" t="s">
        <v>1040</v>
      </c>
      <c r="C1287" s="2">
        <v>4</v>
      </c>
      <c r="D1287" s="2" t="s">
        <v>12</v>
      </c>
      <c r="E1287" s="294">
        <v>155676</v>
      </c>
      <c r="F1287" s="296">
        <v>182000</v>
      </c>
      <c r="G1287" s="352">
        <v>0</v>
      </c>
      <c r="H1287" s="296">
        <f t="shared" si="252"/>
        <v>0</v>
      </c>
      <c r="I1287" s="122">
        <f t="shared" si="253"/>
        <v>0</v>
      </c>
      <c r="J1287" s="331">
        <f t="shared" si="254"/>
        <v>0</v>
      </c>
      <c r="K1287" s="292">
        <f>'09-RESUMEN'!$F$43/1375</f>
        <v>81431.961035221175</v>
      </c>
      <c r="L1287" s="122">
        <f>('ESTADO RESULTADOS'!$C$36+'ESTADO RESULTADOS'!$C$71)/1375</f>
        <v>24762.287272727273</v>
      </c>
      <c r="M1287" s="122">
        <v>0</v>
      </c>
      <c r="N1287" s="122">
        <f>SUM(E1287+K1287+L1287+M1287)</f>
        <v>261870.24830794844</v>
      </c>
      <c r="O1287" s="122">
        <f>N1287</f>
        <v>261870.24830794844</v>
      </c>
      <c r="P1287" s="336">
        <f t="shared" si="255"/>
        <v>-261870.24830794844</v>
      </c>
      <c r="Q1287" s="336">
        <f t="shared" si="256"/>
        <v>106194.24830794844</v>
      </c>
      <c r="R1287" s="303">
        <f t="shared" si="257"/>
        <v>0.68214913222300444</v>
      </c>
    </row>
    <row r="1288" spans="1:18" x14ac:dyDescent="0.3">
      <c r="A1288" s="2">
        <v>3593</v>
      </c>
      <c r="B1288" s="41" t="s">
        <v>1041</v>
      </c>
      <c r="C1288" s="2">
        <v>1</v>
      </c>
      <c r="D1288" s="2" t="s">
        <v>12</v>
      </c>
      <c r="E1288" s="294">
        <v>8400.2099999999991</v>
      </c>
      <c r="F1288" s="296">
        <v>10200</v>
      </c>
      <c r="G1288" s="352">
        <v>213</v>
      </c>
      <c r="H1288" s="296">
        <f t="shared" si="252"/>
        <v>1789244.7299999997</v>
      </c>
      <c r="I1288" s="122">
        <f t="shared" si="253"/>
        <v>2172600</v>
      </c>
      <c r="J1288" s="331">
        <f t="shared" si="254"/>
        <v>383355.27000000025</v>
      </c>
      <c r="K1288" s="292">
        <f>'09-RESUMEN'!$F$43/1375</f>
        <v>81431.961035221175</v>
      </c>
      <c r="L1288" s="122">
        <f>('ESTADO RESULTADOS'!$C$36+'ESTADO RESULTADOS'!$C$71)/1375</f>
        <v>24762.287272727273</v>
      </c>
      <c r="M1288" s="122">
        <v>0</v>
      </c>
      <c r="N1288" s="122">
        <f t="shared" ref="N1288:N1297" si="258">SUM(H1288+K1288+L1288+M1288)</f>
        <v>1895438.9783079482</v>
      </c>
      <c r="O1288" s="122">
        <f t="shared" ref="O1288:O1297" si="259">N1288/G1288</f>
        <v>8898.7745460467049</v>
      </c>
      <c r="P1288" s="336">
        <f t="shared" si="255"/>
        <v>277161.02169205179</v>
      </c>
      <c r="Q1288" s="336">
        <f t="shared" si="256"/>
        <v>498.5645460467058</v>
      </c>
      <c r="R1288" s="303">
        <f t="shared" si="257"/>
        <v>5.9351438362458299E-2</v>
      </c>
    </row>
    <row r="1289" spans="1:18" x14ac:dyDescent="0.3">
      <c r="A1289" s="2">
        <v>3594</v>
      </c>
      <c r="B1289" s="41" t="s">
        <v>1042</v>
      </c>
      <c r="C1289" s="2">
        <v>5</v>
      </c>
      <c r="D1289" s="2" t="s">
        <v>12</v>
      </c>
      <c r="E1289" s="294">
        <v>63423</v>
      </c>
      <c r="F1289" s="296">
        <v>82500</v>
      </c>
      <c r="G1289" s="352">
        <v>25</v>
      </c>
      <c r="H1289" s="296">
        <f t="shared" si="252"/>
        <v>1585575</v>
      </c>
      <c r="I1289" s="122">
        <f t="shared" si="253"/>
        <v>2062500</v>
      </c>
      <c r="J1289" s="331">
        <f t="shared" si="254"/>
        <v>476925</v>
      </c>
      <c r="K1289" s="292">
        <f>'09-RESUMEN'!$F$43/1375</f>
        <v>81431.961035221175</v>
      </c>
      <c r="L1289" s="122">
        <f>('ESTADO RESULTADOS'!$C$36+'ESTADO RESULTADOS'!$C$71)/1375</f>
        <v>24762.287272727273</v>
      </c>
      <c r="M1289" s="122">
        <v>0</v>
      </c>
      <c r="N1289" s="122">
        <f t="shared" si="258"/>
        <v>1691769.2483079485</v>
      </c>
      <c r="O1289" s="122">
        <f t="shared" si="259"/>
        <v>67670.76993231794</v>
      </c>
      <c r="P1289" s="336">
        <f t="shared" si="255"/>
        <v>370730.75169205153</v>
      </c>
      <c r="Q1289" s="336">
        <f t="shared" si="256"/>
        <v>4247.7699323179404</v>
      </c>
      <c r="R1289" s="303">
        <f t="shared" si="257"/>
        <v>6.6975228739068485E-2</v>
      </c>
    </row>
    <row r="1290" spans="1:18" x14ac:dyDescent="0.3">
      <c r="A1290" s="2">
        <v>3595</v>
      </c>
      <c r="B1290" s="41" t="s">
        <v>1043</v>
      </c>
      <c r="C1290" s="2">
        <v>5</v>
      </c>
      <c r="D1290" s="2" t="s">
        <v>12</v>
      </c>
      <c r="E1290" s="294">
        <v>28600</v>
      </c>
      <c r="F1290" s="296">
        <v>35000</v>
      </c>
      <c r="G1290" s="352">
        <v>5</v>
      </c>
      <c r="H1290" s="296">
        <f t="shared" si="252"/>
        <v>143000</v>
      </c>
      <c r="I1290" s="122">
        <f t="shared" si="253"/>
        <v>175000</v>
      </c>
      <c r="J1290" s="331">
        <f t="shared" si="254"/>
        <v>32000</v>
      </c>
      <c r="K1290" s="292">
        <f>'09-RESUMEN'!$F$43/1375</f>
        <v>81431.961035221175</v>
      </c>
      <c r="L1290" s="122">
        <f>('ESTADO RESULTADOS'!$C$36+'ESTADO RESULTADOS'!$C$71)/1375</f>
        <v>24762.287272727273</v>
      </c>
      <c r="M1290" s="122">
        <v>0</v>
      </c>
      <c r="N1290" s="122">
        <f t="shared" si="258"/>
        <v>249194.24830794844</v>
      </c>
      <c r="O1290" s="122">
        <f t="shared" si="259"/>
        <v>49838.849661589687</v>
      </c>
      <c r="P1290" s="336">
        <f t="shared" si="255"/>
        <v>-74194.248307948437</v>
      </c>
      <c r="Q1290" s="336">
        <f t="shared" si="256"/>
        <v>21238.849661589687</v>
      </c>
      <c r="R1290" s="303">
        <f t="shared" si="257"/>
        <v>0.74261712103460442</v>
      </c>
    </row>
    <row r="1291" spans="1:18" x14ac:dyDescent="0.3">
      <c r="A1291" s="2">
        <v>3596</v>
      </c>
      <c r="B1291" s="41" t="s">
        <v>1044</v>
      </c>
      <c r="C1291" s="2">
        <v>14</v>
      </c>
      <c r="D1291" s="2" t="s">
        <v>12</v>
      </c>
      <c r="E1291" s="294">
        <v>19074</v>
      </c>
      <c r="F1291" s="296">
        <v>22000</v>
      </c>
      <c r="G1291" s="352">
        <v>4</v>
      </c>
      <c r="H1291" s="296">
        <f t="shared" si="252"/>
        <v>76296</v>
      </c>
      <c r="I1291" s="122">
        <f t="shared" si="253"/>
        <v>88000</v>
      </c>
      <c r="J1291" s="331">
        <f t="shared" si="254"/>
        <v>11704</v>
      </c>
      <c r="K1291" s="292">
        <f>'09-RESUMEN'!$F$43/1375</f>
        <v>81431.961035221175</v>
      </c>
      <c r="L1291" s="122">
        <f>('ESTADO RESULTADOS'!$C$36+'ESTADO RESULTADOS'!$C$71)/1375</f>
        <v>24762.287272727273</v>
      </c>
      <c r="M1291" s="122">
        <v>0</v>
      </c>
      <c r="N1291" s="122">
        <f t="shared" si="258"/>
        <v>182490.24830794844</v>
      </c>
      <c r="O1291" s="122">
        <f t="shared" si="259"/>
        <v>45622.562076987109</v>
      </c>
      <c r="P1291" s="336">
        <f t="shared" si="255"/>
        <v>-94490.248307948437</v>
      </c>
      <c r="Q1291" s="336">
        <f t="shared" si="256"/>
        <v>26548.562076987109</v>
      </c>
      <c r="R1291" s="303">
        <f t="shared" si="257"/>
        <v>1.39187176664502</v>
      </c>
    </row>
    <row r="1292" spans="1:18" x14ac:dyDescent="0.3">
      <c r="A1292" s="2">
        <v>3598</v>
      </c>
      <c r="B1292" s="41" t="s">
        <v>1045</v>
      </c>
      <c r="C1292" s="2">
        <v>7</v>
      </c>
      <c r="D1292" s="2" t="s">
        <v>12</v>
      </c>
      <c r="E1292" s="294">
        <v>1000</v>
      </c>
      <c r="F1292" s="296">
        <v>1800</v>
      </c>
      <c r="G1292" s="352">
        <v>9</v>
      </c>
      <c r="H1292" s="296">
        <f t="shared" si="252"/>
        <v>9000</v>
      </c>
      <c r="I1292" s="122">
        <f t="shared" si="253"/>
        <v>16200</v>
      </c>
      <c r="J1292" s="331">
        <f t="shared" si="254"/>
        <v>7200</v>
      </c>
      <c r="K1292" s="292">
        <f>'09-RESUMEN'!$F$43/1375</f>
        <v>81431.961035221175</v>
      </c>
      <c r="L1292" s="122">
        <f>('ESTADO RESULTADOS'!$C$36+'ESTADO RESULTADOS'!$C$71)/1375</f>
        <v>24762.287272727273</v>
      </c>
      <c r="M1292" s="122">
        <v>0</v>
      </c>
      <c r="N1292" s="122">
        <f t="shared" si="258"/>
        <v>115194.24830794845</v>
      </c>
      <c r="O1292" s="122">
        <f t="shared" si="259"/>
        <v>12799.360923105383</v>
      </c>
      <c r="P1292" s="336">
        <f t="shared" si="255"/>
        <v>-98994.248307948452</v>
      </c>
      <c r="Q1292" s="336">
        <f t="shared" si="256"/>
        <v>11799.360923105383</v>
      </c>
      <c r="R1292" s="303">
        <f t="shared" si="257"/>
        <v>11.799360923105384</v>
      </c>
    </row>
    <row r="1293" spans="1:18" x14ac:dyDescent="0.3">
      <c r="A1293" s="2">
        <v>3599</v>
      </c>
      <c r="B1293" s="41" t="s">
        <v>1046</v>
      </c>
      <c r="C1293" s="2">
        <v>12</v>
      </c>
      <c r="D1293" s="2" t="s">
        <v>12</v>
      </c>
      <c r="E1293" s="294">
        <v>1900</v>
      </c>
      <c r="F1293" s="296">
        <v>2500</v>
      </c>
      <c r="G1293" s="352">
        <v>8</v>
      </c>
      <c r="H1293" s="296">
        <f t="shared" si="252"/>
        <v>15200</v>
      </c>
      <c r="I1293" s="122">
        <f t="shared" si="253"/>
        <v>20000</v>
      </c>
      <c r="J1293" s="331">
        <f t="shared" si="254"/>
        <v>4800</v>
      </c>
      <c r="K1293" s="292">
        <f>'09-RESUMEN'!$F$43/1375</f>
        <v>81431.961035221175</v>
      </c>
      <c r="L1293" s="122">
        <f>('ESTADO RESULTADOS'!$C$36+'ESTADO RESULTADOS'!$C$71)/1375</f>
        <v>24762.287272727273</v>
      </c>
      <c r="M1293" s="122">
        <v>0</v>
      </c>
      <c r="N1293" s="122">
        <f t="shared" si="258"/>
        <v>121394.24830794845</v>
      </c>
      <c r="O1293" s="122">
        <f t="shared" si="259"/>
        <v>15174.281038493556</v>
      </c>
      <c r="P1293" s="336">
        <f t="shared" si="255"/>
        <v>-101394.24830794845</v>
      </c>
      <c r="Q1293" s="336">
        <f t="shared" si="256"/>
        <v>13274.281038493556</v>
      </c>
      <c r="R1293" s="303">
        <f t="shared" si="257"/>
        <v>6.9864637044702933</v>
      </c>
    </row>
    <row r="1294" spans="1:18" x14ac:dyDescent="0.3">
      <c r="A1294" s="2">
        <v>3600</v>
      </c>
      <c r="B1294" s="41" t="s">
        <v>1047</v>
      </c>
      <c r="C1294" s="2">
        <v>12</v>
      </c>
      <c r="D1294" s="2" t="s">
        <v>12</v>
      </c>
      <c r="E1294" s="294">
        <v>28800</v>
      </c>
      <c r="F1294" s="296">
        <v>32400</v>
      </c>
      <c r="G1294" s="352">
        <v>2</v>
      </c>
      <c r="H1294" s="296">
        <f t="shared" si="252"/>
        <v>57600</v>
      </c>
      <c r="I1294" s="122">
        <f t="shared" si="253"/>
        <v>64800</v>
      </c>
      <c r="J1294" s="331">
        <f t="shared" si="254"/>
        <v>7200</v>
      </c>
      <c r="K1294" s="292">
        <f>'09-RESUMEN'!$F$43/1375</f>
        <v>81431.961035221175</v>
      </c>
      <c r="L1294" s="122">
        <f>('ESTADO RESULTADOS'!$C$36+'ESTADO RESULTADOS'!$C$71)/1375</f>
        <v>24762.287272727273</v>
      </c>
      <c r="M1294" s="122">
        <v>0</v>
      </c>
      <c r="N1294" s="122">
        <f t="shared" si="258"/>
        <v>163794.24830794844</v>
      </c>
      <c r="O1294" s="122">
        <f t="shared" si="259"/>
        <v>81897.124153974219</v>
      </c>
      <c r="P1294" s="336">
        <f t="shared" si="255"/>
        <v>-98994.248307948437</v>
      </c>
      <c r="Q1294" s="336">
        <f t="shared" si="256"/>
        <v>53097.124153974219</v>
      </c>
      <c r="R1294" s="303">
        <f t="shared" si="257"/>
        <v>1.843650144235216</v>
      </c>
    </row>
    <row r="1295" spans="1:18" x14ac:dyDescent="0.3">
      <c r="A1295" s="2">
        <v>3601</v>
      </c>
      <c r="B1295" s="41" t="s">
        <v>1048</v>
      </c>
      <c r="C1295" s="2">
        <v>12</v>
      </c>
      <c r="D1295" s="2" t="s">
        <v>12</v>
      </c>
      <c r="E1295" s="294">
        <v>23000</v>
      </c>
      <c r="F1295" s="296">
        <v>28200</v>
      </c>
      <c r="G1295" s="352">
        <v>1</v>
      </c>
      <c r="H1295" s="296">
        <f t="shared" si="252"/>
        <v>23000</v>
      </c>
      <c r="I1295" s="122">
        <f t="shared" si="253"/>
        <v>28200</v>
      </c>
      <c r="J1295" s="331">
        <f t="shared" si="254"/>
        <v>5200</v>
      </c>
      <c r="K1295" s="292">
        <f>'09-RESUMEN'!$F$43/1375</f>
        <v>81431.961035221175</v>
      </c>
      <c r="L1295" s="122">
        <f>('ESTADO RESULTADOS'!$C$36+'ESTADO RESULTADOS'!$C$71)/1375</f>
        <v>24762.287272727273</v>
      </c>
      <c r="M1295" s="122">
        <v>0</v>
      </c>
      <c r="N1295" s="122">
        <f t="shared" si="258"/>
        <v>129194.24830794845</v>
      </c>
      <c r="O1295" s="122">
        <f t="shared" si="259"/>
        <v>129194.24830794845</v>
      </c>
      <c r="P1295" s="336">
        <f t="shared" si="255"/>
        <v>-100994.24830794845</v>
      </c>
      <c r="Q1295" s="336">
        <f t="shared" si="256"/>
        <v>106194.24830794845</v>
      </c>
      <c r="R1295" s="303">
        <f t="shared" si="257"/>
        <v>4.6171412307803674</v>
      </c>
    </row>
    <row r="1296" spans="1:18" x14ac:dyDescent="0.3">
      <c r="A1296" s="2">
        <v>3602</v>
      </c>
      <c r="B1296" s="41" t="s">
        <v>1049</v>
      </c>
      <c r="C1296" s="2">
        <v>12</v>
      </c>
      <c r="D1296" s="2" t="s">
        <v>12</v>
      </c>
      <c r="E1296" s="294">
        <v>1000</v>
      </c>
      <c r="F1296" s="296">
        <v>1800</v>
      </c>
      <c r="G1296" s="352">
        <v>9</v>
      </c>
      <c r="H1296" s="296">
        <f t="shared" si="252"/>
        <v>9000</v>
      </c>
      <c r="I1296" s="122">
        <f t="shared" si="253"/>
        <v>16200</v>
      </c>
      <c r="J1296" s="331">
        <f t="shared" si="254"/>
        <v>7200</v>
      </c>
      <c r="K1296" s="292">
        <f>'09-RESUMEN'!$F$43/1375</f>
        <v>81431.961035221175</v>
      </c>
      <c r="L1296" s="122">
        <f>('ESTADO RESULTADOS'!$C$36+'ESTADO RESULTADOS'!$C$71)/1375</f>
        <v>24762.287272727273</v>
      </c>
      <c r="M1296" s="122">
        <v>0</v>
      </c>
      <c r="N1296" s="122">
        <f t="shared" si="258"/>
        <v>115194.24830794845</v>
      </c>
      <c r="O1296" s="122">
        <f t="shared" si="259"/>
        <v>12799.360923105383</v>
      </c>
      <c r="P1296" s="336">
        <f t="shared" si="255"/>
        <v>-98994.248307948452</v>
      </c>
      <c r="Q1296" s="336">
        <f t="shared" si="256"/>
        <v>11799.360923105383</v>
      </c>
      <c r="R1296" s="303">
        <f t="shared" si="257"/>
        <v>11.799360923105384</v>
      </c>
    </row>
    <row r="1297" spans="1:18" x14ac:dyDescent="0.3">
      <c r="A1297" s="2">
        <v>3603</v>
      </c>
      <c r="B1297" s="41" t="s">
        <v>1050</v>
      </c>
      <c r="C1297" s="2">
        <v>12</v>
      </c>
      <c r="D1297" s="2" t="s">
        <v>12</v>
      </c>
      <c r="E1297" s="294">
        <v>6000</v>
      </c>
      <c r="F1297" s="296">
        <v>8000</v>
      </c>
      <c r="G1297" s="352">
        <v>1</v>
      </c>
      <c r="H1297" s="296">
        <f t="shared" si="252"/>
        <v>6000</v>
      </c>
      <c r="I1297" s="122">
        <f t="shared" si="253"/>
        <v>8000</v>
      </c>
      <c r="J1297" s="331">
        <f t="shared" si="254"/>
        <v>2000</v>
      </c>
      <c r="K1297" s="292">
        <f>'09-RESUMEN'!$F$43/1375</f>
        <v>81431.961035221175</v>
      </c>
      <c r="L1297" s="122">
        <f>('ESTADO RESULTADOS'!$C$36+'ESTADO RESULTADOS'!$C$71)/1375</f>
        <v>24762.287272727273</v>
      </c>
      <c r="M1297" s="122">
        <v>0</v>
      </c>
      <c r="N1297" s="122">
        <f t="shared" si="258"/>
        <v>112194.24830794845</v>
      </c>
      <c r="O1297" s="122">
        <f t="shared" si="259"/>
        <v>112194.24830794845</v>
      </c>
      <c r="P1297" s="336">
        <f t="shared" si="255"/>
        <v>-104194.24830794845</v>
      </c>
      <c r="Q1297" s="336">
        <f t="shared" si="256"/>
        <v>106194.24830794845</v>
      </c>
      <c r="R1297" s="303">
        <f t="shared" si="257"/>
        <v>17.699041384658074</v>
      </c>
    </row>
    <row r="1298" spans="1:18" x14ac:dyDescent="0.3">
      <c r="A1298" s="2">
        <v>3605</v>
      </c>
      <c r="B1298" s="41" t="s">
        <v>1051</v>
      </c>
      <c r="C1298" s="2">
        <v>12</v>
      </c>
      <c r="D1298" s="2" t="s">
        <v>12</v>
      </c>
      <c r="E1298" s="294">
        <v>5500.18</v>
      </c>
      <c r="F1298" s="296">
        <v>6500</v>
      </c>
      <c r="G1298" s="352">
        <v>0</v>
      </c>
      <c r="H1298" s="296">
        <f t="shared" si="252"/>
        <v>0</v>
      </c>
      <c r="I1298" s="122">
        <f t="shared" si="253"/>
        <v>0</v>
      </c>
      <c r="J1298" s="331">
        <f t="shared" si="254"/>
        <v>0</v>
      </c>
      <c r="K1298" s="292">
        <f>'09-RESUMEN'!$F$43/1375</f>
        <v>81431.961035221175</v>
      </c>
      <c r="L1298" s="122">
        <f>('ESTADO RESULTADOS'!$C$36+'ESTADO RESULTADOS'!$C$71)/1375</f>
        <v>24762.287272727273</v>
      </c>
      <c r="M1298" s="122">
        <v>0</v>
      </c>
      <c r="N1298" s="122">
        <f>SUM(E1298+K1298+L1298+M1298)</f>
        <v>111694.42830794844</v>
      </c>
      <c r="O1298" s="122">
        <f>N1298</f>
        <v>111694.42830794844</v>
      </c>
      <c r="P1298" s="336">
        <f t="shared" si="255"/>
        <v>-111694.42830794844</v>
      </c>
      <c r="Q1298" s="336">
        <f t="shared" si="256"/>
        <v>106194.24830794844</v>
      </c>
      <c r="R1298" s="303">
        <f t="shared" si="257"/>
        <v>19.307413267920037</v>
      </c>
    </row>
    <row r="1299" spans="1:18" x14ac:dyDescent="0.3">
      <c r="A1299" s="2">
        <v>3606</v>
      </c>
      <c r="B1299" s="41" t="s">
        <v>1052</v>
      </c>
      <c r="C1299" s="2">
        <v>12</v>
      </c>
      <c r="D1299" s="2" t="s">
        <v>12</v>
      </c>
      <c r="E1299" s="294">
        <v>7900</v>
      </c>
      <c r="F1299" s="296">
        <v>9500</v>
      </c>
      <c r="G1299" s="352">
        <v>17</v>
      </c>
      <c r="H1299" s="296">
        <f t="shared" si="252"/>
        <v>134300</v>
      </c>
      <c r="I1299" s="122">
        <f t="shared" si="253"/>
        <v>161500</v>
      </c>
      <c r="J1299" s="331">
        <f t="shared" si="254"/>
        <v>27200</v>
      </c>
      <c r="K1299" s="292">
        <f>'09-RESUMEN'!$F$43/1375</f>
        <v>81431.961035221175</v>
      </c>
      <c r="L1299" s="122">
        <f>('ESTADO RESULTADOS'!$C$36+'ESTADO RESULTADOS'!$C$71)/1375</f>
        <v>24762.287272727273</v>
      </c>
      <c r="M1299" s="122">
        <v>0</v>
      </c>
      <c r="N1299" s="122">
        <f>SUM(H1299+K1299+L1299+M1299)</f>
        <v>240494.24830794844</v>
      </c>
      <c r="O1299" s="122">
        <f>N1299/G1299</f>
        <v>14146.720488702849</v>
      </c>
      <c r="P1299" s="336">
        <f t="shared" si="255"/>
        <v>-78994.248307948437</v>
      </c>
      <c r="Q1299" s="336">
        <f t="shared" si="256"/>
        <v>6246.7204887028493</v>
      </c>
      <c r="R1299" s="303">
        <f t="shared" si="257"/>
        <v>0.79072411249403152</v>
      </c>
    </row>
    <row r="1300" spans="1:18" x14ac:dyDescent="0.3">
      <c r="A1300" s="2">
        <v>3607</v>
      </c>
      <c r="B1300" s="41" t="s">
        <v>1053</v>
      </c>
      <c r="C1300" s="2">
        <v>12</v>
      </c>
      <c r="D1300" s="2" t="s">
        <v>12</v>
      </c>
      <c r="E1300" s="294">
        <v>18700</v>
      </c>
      <c r="F1300" s="296">
        <v>22500</v>
      </c>
      <c r="G1300" s="352">
        <v>1</v>
      </c>
      <c r="H1300" s="296">
        <f t="shared" si="252"/>
        <v>18700</v>
      </c>
      <c r="I1300" s="122">
        <f t="shared" si="253"/>
        <v>22500</v>
      </c>
      <c r="J1300" s="331">
        <f t="shared" si="254"/>
        <v>3800</v>
      </c>
      <c r="K1300" s="292">
        <f>'09-RESUMEN'!$F$43/1375</f>
        <v>81431.961035221175</v>
      </c>
      <c r="L1300" s="122">
        <f>('ESTADO RESULTADOS'!$C$36+'ESTADO RESULTADOS'!$C$71)/1375</f>
        <v>24762.287272727273</v>
      </c>
      <c r="M1300" s="122">
        <v>0</v>
      </c>
      <c r="N1300" s="122">
        <f>SUM(H1300+K1300+L1300+M1300)</f>
        <v>124894.24830794845</v>
      </c>
      <c r="O1300" s="122">
        <f>N1300/G1300</f>
        <v>124894.24830794845</v>
      </c>
      <c r="P1300" s="336">
        <f t="shared" si="255"/>
        <v>-102394.24830794845</v>
      </c>
      <c r="Q1300" s="336">
        <f t="shared" si="256"/>
        <v>106194.24830794845</v>
      </c>
      <c r="R1300" s="303">
        <f t="shared" si="257"/>
        <v>5.678836807911682</v>
      </c>
    </row>
    <row r="1301" spans="1:18" x14ac:dyDescent="0.3">
      <c r="A1301" s="2">
        <v>3608</v>
      </c>
      <c r="B1301" s="41" t="s">
        <v>1054</v>
      </c>
      <c r="C1301" s="2">
        <v>12</v>
      </c>
      <c r="D1301" s="2" t="s">
        <v>12</v>
      </c>
      <c r="E1301" s="294">
        <v>15600</v>
      </c>
      <c r="F1301" s="296">
        <v>22500</v>
      </c>
      <c r="G1301" s="352">
        <v>2</v>
      </c>
      <c r="H1301" s="296">
        <f t="shared" si="252"/>
        <v>31200</v>
      </c>
      <c r="I1301" s="122">
        <f t="shared" si="253"/>
        <v>45000</v>
      </c>
      <c r="J1301" s="331">
        <f t="shared" si="254"/>
        <v>13800</v>
      </c>
      <c r="K1301" s="292">
        <f>'09-RESUMEN'!$F$43/1375</f>
        <v>81431.961035221175</v>
      </c>
      <c r="L1301" s="122">
        <f>('ESTADO RESULTADOS'!$C$36+'ESTADO RESULTADOS'!$C$71)/1375</f>
        <v>24762.287272727273</v>
      </c>
      <c r="M1301" s="122">
        <v>0</v>
      </c>
      <c r="N1301" s="122">
        <f>SUM(H1301+K1301+L1301+M1301)</f>
        <v>137394.24830794844</v>
      </c>
      <c r="O1301" s="122">
        <f>N1301/G1301</f>
        <v>68697.124153974219</v>
      </c>
      <c r="P1301" s="336">
        <f t="shared" si="255"/>
        <v>-92394.248307948437</v>
      </c>
      <c r="Q1301" s="336">
        <f t="shared" si="256"/>
        <v>53097.124153974219</v>
      </c>
      <c r="R1301" s="303">
        <f t="shared" si="257"/>
        <v>3.4036618047419371</v>
      </c>
    </row>
    <row r="1302" spans="1:18" x14ac:dyDescent="0.3">
      <c r="A1302" s="2">
        <v>3609</v>
      </c>
      <c r="B1302" s="41" t="s">
        <v>1055</v>
      </c>
      <c r="C1302" s="2">
        <v>12</v>
      </c>
      <c r="D1302" s="2" t="s">
        <v>12</v>
      </c>
      <c r="E1302" s="294">
        <v>5500</v>
      </c>
      <c r="F1302" s="296">
        <v>7000</v>
      </c>
      <c r="G1302" s="352">
        <v>0</v>
      </c>
      <c r="H1302" s="296">
        <f t="shared" si="252"/>
        <v>0</v>
      </c>
      <c r="I1302" s="122">
        <f t="shared" si="253"/>
        <v>0</v>
      </c>
      <c r="J1302" s="331">
        <f t="shared" si="254"/>
        <v>0</v>
      </c>
      <c r="K1302" s="292">
        <f>'09-RESUMEN'!$F$43/1375</f>
        <v>81431.961035221175</v>
      </c>
      <c r="L1302" s="122">
        <f>('ESTADO RESULTADOS'!$C$36+'ESTADO RESULTADOS'!$C$71)/1375</f>
        <v>24762.287272727273</v>
      </c>
      <c r="M1302" s="122">
        <v>0</v>
      </c>
      <c r="N1302" s="122">
        <f>SUM(E1302+K1302+L1302+M1302)</f>
        <v>111694.24830794845</v>
      </c>
      <c r="O1302" s="122">
        <f>N1302</f>
        <v>111694.24830794845</v>
      </c>
      <c r="P1302" s="336">
        <f t="shared" si="255"/>
        <v>-111694.24830794845</v>
      </c>
      <c r="Q1302" s="336">
        <f t="shared" si="256"/>
        <v>106194.24830794845</v>
      </c>
      <c r="R1302" s="303">
        <f t="shared" si="257"/>
        <v>19.308045146899719</v>
      </c>
    </row>
    <row r="1303" spans="1:18" x14ac:dyDescent="0.3">
      <c r="A1303" s="2">
        <v>3610</v>
      </c>
      <c r="B1303" s="41" t="s">
        <v>1056</v>
      </c>
      <c r="C1303" s="2">
        <v>12</v>
      </c>
      <c r="D1303" s="2" t="s">
        <v>12</v>
      </c>
      <c r="E1303" s="294">
        <v>6200</v>
      </c>
      <c r="F1303" s="296">
        <v>7500</v>
      </c>
      <c r="G1303" s="352">
        <v>0</v>
      </c>
      <c r="H1303" s="296">
        <f t="shared" si="252"/>
        <v>0</v>
      </c>
      <c r="I1303" s="122">
        <f t="shared" si="253"/>
        <v>0</v>
      </c>
      <c r="J1303" s="331">
        <f t="shared" si="254"/>
        <v>0</v>
      </c>
      <c r="K1303" s="292">
        <f>'09-RESUMEN'!$F$43/1375</f>
        <v>81431.961035221175</v>
      </c>
      <c r="L1303" s="122">
        <f>('ESTADO RESULTADOS'!$C$36+'ESTADO RESULTADOS'!$C$71)/1375</f>
        <v>24762.287272727273</v>
      </c>
      <c r="M1303" s="122">
        <v>0</v>
      </c>
      <c r="N1303" s="122">
        <f>SUM(E1303+K1303+L1303+M1303)</f>
        <v>112394.24830794845</v>
      </c>
      <c r="O1303" s="122">
        <f>N1303</f>
        <v>112394.24830794845</v>
      </c>
      <c r="P1303" s="336">
        <f t="shared" si="255"/>
        <v>-112394.24830794845</v>
      </c>
      <c r="Q1303" s="336">
        <f t="shared" si="256"/>
        <v>106194.24830794845</v>
      </c>
      <c r="R1303" s="303">
        <f t="shared" si="257"/>
        <v>17.128104565798136</v>
      </c>
    </row>
    <row r="1304" spans="1:18" x14ac:dyDescent="0.3">
      <c r="A1304" s="2">
        <v>3611</v>
      </c>
      <c r="B1304" s="41" t="s">
        <v>1057</v>
      </c>
      <c r="C1304" s="2">
        <v>12</v>
      </c>
      <c r="D1304" s="2" t="s">
        <v>12</v>
      </c>
      <c r="E1304" s="294">
        <v>8700</v>
      </c>
      <c r="F1304" s="296">
        <v>9700</v>
      </c>
      <c r="G1304" s="352">
        <v>0</v>
      </c>
      <c r="H1304" s="296">
        <f t="shared" si="252"/>
        <v>0</v>
      </c>
      <c r="I1304" s="122">
        <f t="shared" si="253"/>
        <v>0</v>
      </c>
      <c r="J1304" s="331">
        <f t="shared" si="254"/>
        <v>0</v>
      </c>
      <c r="K1304" s="292">
        <f>'09-RESUMEN'!$F$43/1375</f>
        <v>81431.961035221175</v>
      </c>
      <c r="L1304" s="122">
        <f>('ESTADO RESULTADOS'!$C$36+'ESTADO RESULTADOS'!$C$71)/1375</f>
        <v>24762.287272727273</v>
      </c>
      <c r="M1304" s="122">
        <v>0</v>
      </c>
      <c r="N1304" s="122">
        <f>SUM(E1304+K1304+L1304+M1304)</f>
        <v>114894.24830794845</v>
      </c>
      <c r="O1304" s="122">
        <f>N1304</f>
        <v>114894.24830794845</v>
      </c>
      <c r="P1304" s="336">
        <f t="shared" si="255"/>
        <v>-114894.24830794845</v>
      </c>
      <c r="Q1304" s="336">
        <f t="shared" si="256"/>
        <v>106194.24830794845</v>
      </c>
      <c r="R1304" s="303">
        <f t="shared" si="257"/>
        <v>12.206235437695224</v>
      </c>
    </row>
    <row r="1305" spans="1:18" x14ac:dyDescent="0.3">
      <c r="A1305" s="2">
        <v>3612</v>
      </c>
      <c r="B1305" s="41" t="s">
        <v>1902</v>
      </c>
      <c r="C1305" s="2">
        <v>7</v>
      </c>
      <c r="D1305" s="2" t="s">
        <v>12</v>
      </c>
      <c r="E1305" s="294">
        <v>20200</v>
      </c>
      <c r="F1305" s="296">
        <v>25000</v>
      </c>
      <c r="G1305" s="352">
        <v>6</v>
      </c>
      <c r="H1305" s="296">
        <f t="shared" si="252"/>
        <v>121200</v>
      </c>
      <c r="I1305" s="122">
        <f t="shared" si="253"/>
        <v>150000</v>
      </c>
      <c r="J1305" s="331">
        <f t="shared" si="254"/>
        <v>28800</v>
      </c>
      <c r="K1305" s="292">
        <f>'09-RESUMEN'!$F$43/1375</f>
        <v>81431.961035221175</v>
      </c>
      <c r="L1305" s="122">
        <f>('ESTADO RESULTADOS'!$C$36+'ESTADO RESULTADOS'!$C$71)/1375</f>
        <v>24762.287272727273</v>
      </c>
      <c r="M1305" s="122">
        <v>0</v>
      </c>
      <c r="N1305" s="122">
        <f>SUM(H1305+K1305+L1305+M1305)</f>
        <v>227394.24830794844</v>
      </c>
      <c r="O1305" s="122">
        <f>N1305/G1305</f>
        <v>37899.04138465807</v>
      </c>
      <c r="P1305" s="336">
        <f t="shared" si="255"/>
        <v>-77394.248307948437</v>
      </c>
      <c r="Q1305" s="336">
        <f t="shared" si="256"/>
        <v>17699.04138465807</v>
      </c>
      <c r="R1305" s="303">
        <f t="shared" si="257"/>
        <v>0.87619016755733026</v>
      </c>
    </row>
    <row r="1306" spans="1:18" x14ac:dyDescent="0.3">
      <c r="A1306" s="2">
        <v>3613</v>
      </c>
      <c r="B1306" s="41" t="s">
        <v>1058</v>
      </c>
      <c r="C1306" s="2">
        <v>13</v>
      </c>
      <c r="D1306" s="2" t="s">
        <v>12</v>
      </c>
      <c r="E1306" s="294">
        <v>47521.46</v>
      </c>
      <c r="F1306" s="296">
        <v>55000</v>
      </c>
      <c r="G1306" s="352">
        <v>1</v>
      </c>
      <c r="H1306" s="296">
        <f t="shared" si="252"/>
        <v>47521.46</v>
      </c>
      <c r="I1306" s="122">
        <f t="shared" si="253"/>
        <v>55000</v>
      </c>
      <c r="J1306" s="331">
        <f t="shared" si="254"/>
        <v>7478.5400000000009</v>
      </c>
      <c r="K1306" s="292">
        <f>'09-RESUMEN'!$F$43/1375</f>
        <v>81431.961035221175</v>
      </c>
      <c r="L1306" s="122">
        <f>('ESTADO RESULTADOS'!$C$36+'ESTADO RESULTADOS'!$C$71)/1375</f>
        <v>24762.287272727273</v>
      </c>
      <c r="M1306" s="122">
        <v>0</v>
      </c>
      <c r="N1306" s="122">
        <f>SUM(H1306+K1306+L1306+M1306)</f>
        <v>153715.70830794843</v>
      </c>
      <c r="O1306" s="122">
        <f>N1306/G1306</f>
        <v>153715.70830794843</v>
      </c>
      <c r="P1306" s="336">
        <f t="shared" si="255"/>
        <v>-98715.708307948429</v>
      </c>
      <c r="Q1306" s="336">
        <f t="shared" si="256"/>
        <v>106194.24830794844</v>
      </c>
      <c r="R1306" s="303">
        <f t="shared" si="257"/>
        <v>2.2346587901118449</v>
      </c>
    </row>
    <row r="1307" spans="1:18" x14ac:dyDescent="0.3">
      <c r="A1307" s="2">
        <v>3614</v>
      </c>
      <c r="B1307" s="41" t="s">
        <v>1059</v>
      </c>
      <c r="C1307" s="2">
        <v>13</v>
      </c>
      <c r="D1307" s="2" t="s">
        <v>12</v>
      </c>
      <c r="E1307" s="294">
        <v>4135.25</v>
      </c>
      <c r="F1307" s="296">
        <v>5500</v>
      </c>
      <c r="G1307" s="352">
        <v>22</v>
      </c>
      <c r="H1307" s="296">
        <f t="shared" si="252"/>
        <v>90975.5</v>
      </c>
      <c r="I1307" s="122">
        <f t="shared" si="253"/>
        <v>121000</v>
      </c>
      <c r="J1307" s="331">
        <f t="shared" si="254"/>
        <v>30024.5</v>
      </c>
      <c r="K1307" s="292">
        <f>'09-RESUMEN'!$F$43/1375</f>
        <v>81431.961035221175</v>
      </c>
      <c r="L1307" s="122">
        <f>('ESTADO RESULTADOS'!$C$36+'ESTADO RESULTADOS'!$C$71)/1375</f>
        <v>24762.287272727273</v>
      </c>
      <c r="M1307" s="122">
        <v>0</v>
      </c>
      <c r="N1307" s="122">
        <f>SUM(H1307+K1307+L1307+M1307)</f>
        <v>197169.74830794844</v>
      </c>
      <c r="O1307" s="122">
        <f>N1307/G1307</f>
        <v>8962.2612867249281</v>
      </c>
      <c r="P1307" s="336">
        <f t="shared" si="255"/>
        <v>-76169.748307948437</v>
      </c>
      <c r="Q1307" s="336">
        <f t="shared" si="256"/>
        <v>4827.0112867249281</v>
      </c>
      <c r="R1307" s="303">
        <f t="shared" si="257"/>
        <v>1.167284030403223</v>
      </c>
    </row>
    <row r="1308" spans="1:18" x14ac:dyDescent="0.3">
      <c r="A1308" s="2">
        <v>3615</v>
      </c>
      <c r="B1308" s="41" t="s">
        <v>1060</v>
      </c>
      <c r="C1308" s="2">
        <v>13</v>
      </c>
      <c r="D1308" s="2" t="s">
        <v>12</v>
      </c>
      <c r="E1308" s="294">
        <v>5884.55</v>
      </c>
      <c r="F1308" s="296">
        <v>8000</v>
      </c>
      <c r="G1308" s="352">
        <v>0</v>
      </c>
      <c r="H1308" s="296">
        <f t="shared" si="252"/>
        <v>0</v>
      </c>
      <c r="I1308" s="122">
        <f t="shared" si="253"/>
        <v>0</v>
      </c>
      <c r="J1308" s="331">
        <f t="shared" si="254"/>
        <v>0</v>
      </c>
      <c r="K1308" s="292">
        <f>'09-RESUMEN'!$F$43/1375</f>
        <v>81431.961035221175</v>
      </c>
      <c r="L1308" s="122">
        <f>('ESTADO RESULTADOS'!$C$36+'ESTADO RESULTADOS'!$C$71)/1375</f>
        <v>24762.287272727273</v>
      </c>
      <c r="M1308" s="122">
        <v>0</v>
      </c>
      <c r="N1308" s="122">
        <f>SUM(E1308+K1308+L1308+M1308)</f>
        <v>112078.79830794845</v>
      </c>
      <c r="O1308" s="122">
        <f>N1308</f>
        <v>112078.79830794845</v>
      </c>
      <c r="P1308" s="336">
        <f t="shared" si="255"/>
        <v>-112078.79830794845</v>
      </c>
      <c r="Q1308" s="336">
        <f t="shared" si="256"/>
        <v>106194.24830794845</v>
      </c>
      <c r="R1308" s="303">
        <f t="shared" si="257"/>
        <v>18.046281926051854</v>
      </c>
    </row>
    <row r="1309" spans="1:18" x14ac:dyDescent="0.3">
      <c r="A1309" s="2">
        <v>3617</v>
      </c>
      <c r="B1309" s="41" t="s">
        <v>1061</v>
      </c>
      <c r="C1309" s="2">
        <v>7</v>
      </c>
      <c r="D1309" s="2" t="s">
        <v>12</v>
      </c>
      <c r="E1309" s="294">
        <v>5470</v>
      </c>
      <c r="F1309" s="296">
        <v>6200</v>
      </c>
      <c r="G1309" s="352">
        <v>1</v>
      </c>
      <c r="H1309" s="296">
        <f t="shared" si="252"/>
        <v>5470</v>
      </c>
      <c r="I1309" s="122">
        <f t="shared" si="253"/>
        <v>6200</v>
      </c>
      <c r="J1309" s="331">
        <f t="shared" si="254"/>
        <v>730</v>
      </c>
      <c r="K1309" s="292">
        <f>'09-RESUMEN'!$F$43/1375</f>
        <v>81431.961035221175</v>
      </c>
      <c r="L1309" s="122">
        <f>('ESTADO RESULTADOS'!$C$36+'ESTADO RESULTADOS'!$C$71)/1375</f>
        <v>24762.287272727273</v>
      </c>
      <c r="M1309" s="122">
        <v>0</v>
      </c>
      <c r="N1309" s="122">
        <f>SUM(H1309+K1309+L1309+M1309)</f>
        <v>111664.24830794845</v>
      </c>
      <c r="O1309" s="122">
        <f>N1309/G1309</f>
        <v>111664.24830794845</v>
      </c>
      <c r="P1309" s="336">
        <f t="shared" si="255"/>
        <v>-105464.24830794845</v>
      </c>
      <c r="Q1309" s="336">
        <f t="shared" si="256"/>
        <v>106194.24830794845</v>
      </c>
      <c r="R1309" s="303">
        <f t="shared" si="257"/>
        <v>19.413939361599351</v>
      </c>
    </row>
    <row r="1310" spans="1:18" x14ac:dyDescent="0.3">
      <c r="A1310" s="2">
        <v>3618</v>
      </c>
      <c r="B1310" s="41" t="s">
        <v>1062</v>
      </c>
      <c r="C1310" s="2">
        <v>7</v>
      </c>
      <c r="D1310" s="2" t="s">
        <v>12</v>
      </c>
      <c r="E1310" s="294">
        <v>26400</v>
      </c>
      <c r="F1310" s="296">
        <v>30200</v>
      </c>
      <c r="G1310" s="352">
        <v>7</v>
      </c>
      <c r="H1310" s="296">
        <f t="shared" si="252"/>
        <v>184800</v>
      </c>
      <c r="I1310" s="122">
        <f t="shared" si="253"/>
        <v>211400</v>
      </c>
      <c r="J1310" s="331">
        <f t="shared" si="254"/>
        <v>26600</v>
      </c>
      <c r="K1310" s="292">
        <f>'09-RESUMEN'!$F$43/1375</f>
        <v>81431.961035221175</v>
      </c>
      <c r="L1310" s="122">
        <f>('ESTADO RESULTADOS'!$C$36+'ESTADO RESULTADOS'!$C$71)/1375</f>
        <v>24762.287272727273</v>
      </c>
      <c r="M1310" s="122">
        <v>0</v>
      </c>
      <c r="N1310" s="122">
        <f>SUM(H1310+K1310+L1310+M1310)</f>
        <v>290994.24830794847</v>
      </c>
      <c r="O1310" s="122">
        <f>N1310/G1310</f>
        <v>41570.606901135492</v>
      </c>
      <c r="P1310" s="336">
        <f t="shared" si="255"/>
        <v>-79594.248307948466</v>
      </c>
      <c r="Q1310" s="336">
        <f t="shared" si="256"/>
        <v>15170.606901135492</v>
      </c>
      <c r="R1310" s="303">
        <f t="shared" si="257"/>
        <v>0.57464420080058687</v>
      </c>
    </row>
    <row r="1311" spans="1:18" x14ac:dyDescent="0.3">
      <c r="A1311" s="2">
        <v>3619</v>
      </c>
      <c r="B1311" s="41" t="s">
        <v>1063</v>
      </c>
      <c r="C1311" s="2">
        <v>7</v>
      </c>
      <c r="D1311" s="2" t="s">
        <v>5</v>
      </c>
      <c r="E1311" s="294">
        <v>41000</v>
      </c>
      <c r="F1311" s="296">
        <v>48000</v>
      </c>
      <c r="G1311" s="352">
        <v>7</v>
      </c>
      <c r="H1311" s="296">
        <f t="shared" si="252"/>
        <v>287000</v>
      </c>
      <c r="I1311" s="122">
        <f t="shared" si="253"/>
        <v>336000</v>
      </c>
      <c r="J1311" s="331">
        <f t="shared" si="254"/>
        <v>49000</v>
      </c>
      <c r="K1311" s="292">
        <f>'09-RESUMEN'!$F$43/1375</f>
        <v>81431.961035221175</v>
      </c>
      <c r="L1311" s="122">
        <f>('ESTADO RESULTADOS'!$C$36+'ESTADO RESULTADOS'!$C$71)/1375</f>
        <v>24762.287272727273</v>
      </c>
      <c r="M1311" s="122">
        <v>0</v>
      </c>
      <c r="N1311" s="122">
        <f>SUM(H1311+K1311+L1311+M1311)</f>
        <v>393194.24830794847</v>
      </c>
      <c r="O1311" s="122">
        <f>N1311/G1311</f>
        <v>56170.606901135492</v>
      </c>
      <c r="P1311" s="336">
        <f t="shared" si="255"/>
        <v>-57194.248307948466</v>
      </c>
      <c r="Q1311" s="336">
        <f t="shared" si="256"/>
        <v>15170.606901135492</v>
      </c>
      <c r="R1311" s="303">
        <f t="shared" si="257"/>
        <v>0.37001480246671931</v>
      </c>
    </row>
    <row r="1312" spans="1:18" x14ac:dyDescent="0.3">
      <c r="A1312" s="2">
        <v>3620</v>
      </c>
      <c r="B1312" s="41" t="s">
        <v>1064</v>
      </c>
      <c r="C1312" s="2">
        <v>7</v>
      </c>
      <c r="D1312" s="2" t="s">
        <v>12</v>
      </c>
      <c r="E1312" s="294">
        <v>9828</v>
      </c>
      <c r="F1312" s="296">
        <v>13800</v>
      </c>
      <c r="G1312" s="352">
        <v>7</v>
      </c>
      <c r="H1312" s="296">
        <f t="shared" si="252"/>
        <v>68796</v>
      </c>
      <c r="I1312" s="122">
        <f t="shared" si="253"/>
        <v>96600</v>
      </c>
      <c r="J1312" s="331">
        <f t="shared" si="254"/>
        <v>27804</v>
      </c>
      <c r="K1312" s="292">
        <f>'09-RESUMEN'!$F$43/1375</f>
        <v>81431.961035221175</v>
      </c>
      <c r="L1312" s="122">
        <f>('ESTADO RESULTADOS'!$C$36+'ESTADO RESULTADOS'!$C$71)/1375</f>
        <v>24762.287272727273</v>
      </c>
      <c r="M1312" s="122">
        <v>0</v>
      </c>
      <c r="N1312" s="122">
        <f>SUM(H1312+K1312+L1312+M1312)</f>
        <v>174990.24830794844</v>
      </c>
      <c r="O1312" s="122">
        <f>N1312/G1312</f>
        <v>24998.606901135492</v>
      </c>
      <c r="P1312" s="336">
        <f t="shared" si="255"/>
        <v>-78390.248307948437</v>
      </c>
      <c r="Q1312" s="336">
        <f t="shared" si="256"/>
        <v>15170.606901135492</v>
      </c>
      <c r="R1312" s="303">
        <f t="shared" si="257"/>
        <v>1.5436107958013321</v>
      </c>
    </row>
    <row r="1313" spans="1:18" x14ac:dyDescent="0.3">
      <c r="A1313" s="2">
        <v>3621</v>
      </c>
      <c r="B1313" s="41" t="s">
        <v>1065</v>
      </c>
      <c r="C1313" s="2">
        <v>5</v>
      </c>
      <c r="D1313" s="2" t="s">
        <v>12</v>
      </c>
      <c r="E1313" s="294">
        <v>719896</v>
      </c>
      <c r="F1313" s="296">
        <v>841000</v>
      </c>
      <c r="G1313" s="352">
        <v>1</v>
      </c>
      <c r="H1313" s="296">
        <f t="shared" si="252"/>
        <v>719896</v>
      </c>
      <c r="I1313" s="122">
        <f t="shared" si="253"/>
        <v>841000</v>
      </c>
      <c r="J1313" s="331">
        <f t="shared" si="254"/>
        <v>121104</v>
      </c>
      <c r="K1313" s="292">
        <f>'09-RESUMEN'!$F$43/1375</f>
        <v>81431.961035221175</v>
      </c>
      <c r="L1313" s="122">
        <f>('ESTADO RESULTADOS'!$C$36+'ESTADO RESULTADOS'!$C$71)/1375</f>
        <v>24762.287272727273</v>
      </c>
      <c r="M1313" s="122">
        <v>0</v>
      </c>
      <c r="N1313" s="122">
        <f>SUM(H1313+K1313+L1313+M1313)</f>
        <v>826090.24830794835</v>
      </c>
      <c r="O1313" s="122">
        <f>N1313/G1313</f>
        <v>826090.24830794835</v>
      </c>
      <c r="P1313" s="336">
        <f t="shared" si="255"/>
        <v>14909.75169205165</v>
      </c>
      <c r="Q1313" s="336">
        <f t="shared" si="256"/>
        <v>106194.24830794835</v>
      </c>
      <c r="R1313" s="303">
        <f t="shared" si="257"/>
        <v>0.14751331901823089</v>
      </c>
    </row>
    <row r="1314" spans="1:18" x14ac:dyDescent="0.3">
      <c r="A1314" s="2">
        <v>3622</v>
      </c>
      <c r="B1314" s="41" t="s">
        <v>1903</v>
      </c>
      <c r="C1314" s="2">
        <v>5</v>
      </c>
      <c r="D1314" s="2" t="s">
        <v>419</v>
      </c>
      <c r="E1314" s="294">
        <v>254350</v>
      </c>
      <c r="F1314" s="296">
        <v>292300</v>
      </c>
      <c r="G1314" s="352">
        <v>0</v>
      </c>
      <c r="H1314" s="296">
        <f t="shared" si="252"/>
        <v>0</v>
      </c>
      <c r="I1314" s="122">
        <f t="shared" si="253"/>
        <v>0</v>
      </c>
      <c r="J1314" s="331">
        <f t="shared" si="254"/>
        <v>0</v>
      </c>
      <c r="K1314" s="292">
        <f>'09-RESUMEN'!$F$43/1375</f>
        <v>81431.961035221175</v>
      </c>
      <c r="L1314" s="122">
        <f>('ESTADO RESULTADOS'!$C$36+'ESTADO RESULTADOS'!$C$71)/1375</f>
        <v>24762.287272727273</v>
      </c>
      <c r="M1314" s="122">
        <v>0</v>
      </c>
      <c r="N1314" s="122">
        <f>SUM(E1314+K1314+L1314+M1314)</f>
        <v>360544.24830794847</v>
      </c>
      <c r="O1314" s="122">
        <f>N1314</f>
        <v>360544.24830794847</v>
      </c>
      <c r="P1314" s="336">
        <f t="shared" si="255"/>
        <v>-360544.24830794847</v>
      </c>
      <c r="Q1314" s="336">
        <f t="shared" si="256"/>
        <v>106194.24830794847</v>
      </c>
      <c r="R1314" s="303">
        <f t="shared" si="257"/>
        <v>0.41751227956732245</v>
      </c>
    </row>
    <row r="1315" spans="1:18" x14ac:dyDescent="0.3">
      <c r="A1315" s="2">
        <v>3623</v>
      </c>
      <c r="B1315" s="41" t="s">
        <v>1066</v>
      </c>
      <c r="C1315" s="2">
        <v>14</v>
      </c>
      <c r="D1315" s="2" t="s">
        <v>81</v>
      </c>
      <c r="E1315" s="294">
        <v>11000</v>
      </c>
      <c r="F1315" s="296">
        <v>13000</v>
      </c>
      <c r="G1315" s="352">
        <v>7</v>
      </c>
      <c r="H1315" s="296">
        <f t="shared" si="252"/>
        <v>77000</v>
      </c>
      <c r="I1315" s="122">
        <f t="shared" si="253"/>
        <v>91000</v>
      </c>
      <c r="J1315" s="331">
        <f t="shared" si="254"/>
        <v>14000</v>
      </c>
      <c r="K1315" s="292">
        <f>'09-RESUMEN'!$F$43/1375</f>
        <v>81431.961035221175</v>
      </c>
      <c r="L1315" s="122">
        <f>('ESTADO RESULTADOS'!$C$36+'ESTADO RESULTADOS'!$C$71)/1375</f>
        <v>24762.287272727273</v>
      </c>
      <c r="M1315" s="122">
        <v>0</v>
      </c>
      <c r="N1315" s="122">
        <f>SUM(H1315+K1315+L1315+M1315)</f>
        <v>183194.24830794844</v>
      </c>
      <c r="O1315" s="122">
        <f>N1315/G1315</f>
        <v>26170.606901135492</v>
      </c>
      <c r="P1315" s="336">
        <f t="shared" si="255"/>
        <v>-92194.248307948437</v>
      </c>
      <c r="Q1315" s="336">
        <f t="shared" si="256"/>
        <v>15170.606901135492</v>
      </c>
      <c r="R1315" s="303">
        <f t="shared" si="257"/>
        <v>1.3791460819214083</v>
      </c>
    </row>
    <row r="1316" spans="1:18" x14ac:dyDescent="0.3">
      <c r="A1316" s="2">
        <v>3624</v>
      </c>
      <c r="B1316" s="41" t="s">
        <v>1067</v>
      </c>
      <c r="C1316" s="2">
        <v>10</v>
      </c>
      <c r="D1316" s="2" t="s">
        <v>12</v>
      </c>
      <c r="E1316" s="294">
        <v>4777.5168000000003</v>
      </c>
      <c r="F1316" s="296">
        <v>9000</v>
      </c>
      <c r="G1316" s="352">
        <v>5</v>
      </c>
      <c r="H1316" s="296">
        <f t="shared" si="252"/>
        <v>23887.584000000003</v>
      </c>
      <c r="I1316" s="122">
        <f t="shared" si="253"/>
        <v>45000</v>
      </c>
      <c r="J1316" s="331">
        <f t="shared" si="254"/>
        <v>21112.415999999997</v>
      </c>
      <c r="K1316" s="292">
        <f>'09-RESUMEN'!$F$43/1375</f>
        <v>81431.961035221175</v>
      </c>
      <c r="L1316" s="122">
        <f>('ESTADO RESULTADOS'!$C$36+'ESTADO RESULTADOS'!$C$71)/1375</f>
        <v>24762.287272727273</v>
      </c>
      <c r="M1316" s="122">
        <v>0</v>
      </c>
      <c r="N1316" s="122">
        <f>SUM(H1316+K1316+L1316+M1316)</f>
        <v>130081.83230794845</v>
      </c>
      <c r="O1316" s="122">
        <f>N1316/G1316</f>
        <v>26016.366461589692</v>
      </c>
      <c r="P1316" s="336">
        <f t="shared" si="255"/>
        <v>-85081.832307948454</v>
      </c>
      <c r="Q1316" s="336">
        <f t="shared" si="256"/>
        <v>21238.849661589691</v>
      </c>
      <c r="R1316" s="303">
        <f t="shared" si="257"/>
        <v>4.4455834590868815</v>
      </c>
    </row>
    <row r="1317" spans="1:18" x14ac:dyDescent="0.3">
      <c r="A1317" s="2">
        <v>3625</v>
      </c>
      <c r="B1317" s="41" t="s">
        <v>1904</v>
      </c>
      <c r="C1317" s="2">
        <v>6</v>
      </c>
      <c r="D1317" s="2" t="s">
        <v>12</v>
      </c>
      <c r="E1317" s="294">
        <v>61100</v>
      </c>
      <c r="F1317" s="296">
        <v>71000</v>
      </c>
      <c r="G1317" s="352">
        <v>0</v>
      </c>
      <c r="H1317" s="296">
        <f t="shared" si="252"/>
        <v>0</v>
      </c>
      <c r="I1317" s="122">
        <f t="shared" si="253"/>
        <v>0</v>
      </c>
      <c r="J1317" s="331">
        <f t="shared" si="254"/>
        <v>0</v>
      </c>
      <c r="K1317" s="292">
        <f>'09-RESUMEN'!$F$43/1375</f>
        <v>81431.961035221175</v>
      </c>
      <c r="L1317" s="122">
        <f>('ESTADO RESULTADOS'!$C$36+'ESTADO RESULTADOS'!$C$71)/1375</f>
        <v>24762.287272727273</v>
      </c>
      <c r="M1317" s="122">
        <v>0</v>
      </c>
      <c r="N1317" s="122">
        <f>SUM(E1317+K1317+L1317+M1317)</f>
        <v>167294.24830794844</v>
      </c>
      <c r="O1317" s="122">
        <f>N1317</f>
        <v>167294.24830794844</v>
      </c>
      <c r="P1317" s="336">
        <f t="shared" si="255"/>
        <v>-167294.24830794844</v>
      </c>
      <c r="Q1317" s="336">
        <f t="shared" si="256"/>
        <v>106194.24830794844</v>
      </c>
      <c r="R1317" s="303">
        <f t="shared" si="257"/>
        <v>1.7380400705065211</v>
      </c>
    </row>
    <row r="1318" spans="1:18" x14ac:dyDescent="0.3">
      <c r="A1318" s="2">
        <v>3626</v>
      </c>
      <c r="B1318" s="41" t="s">
        <v>1905</v>
      </c>
      <c r="C1318" s="2">
        <v>6</v>
      </c>
      <c r="D1318" s="2" t="s">
        <v>16</v>
      </c>
      <c r="E1318" s="294">
        <v>43900</v>
      </c>
      <c r="F1318" s="296">
        <v>50300</v>
      </c>
      <c r="G1318" s="352">
        <v>1</v>
      </c>
      <c r="H1318" s="296">
        <f t="shared" si="252"/>
        <v>43900</v>
      </c>
      <c r="I1318" s="122">
        <f t="shared" si="253"/>
        <v>50300</v>
      </c>
      <c r="J1318" s="331">
        <f t="shared" si="254"/>
        <v>6400</v>
      </c>
      <c r="K1318" s="292">
        <f>'09-RESUMEN'!$F$43/1375</f>
        <v>81431.961035221175</v>
      </c>
      <c r="L1318" s="122">
        <f>('ESTADO RESULTADOS'!$C$36+'ESTADO RESULTADOS'!$C$71)/1375</f>
        <v>24762.287272727273</v>
      </c>
      <c r="M1318" s="122">
        <v>0</v>
      </c>
      <c r="N1318" s="122">
        <f t="shared" ref="N1318:N1328" si="260">SUM(H1318+K1318+L1318+M1318)</f>
        <v>150094.24830794844</v>
      </c>
      <c r="O1318" s="122">
        <f t="shared" ref="O1318:O1328" si="261">N1318/G1318</f>
        <v>150094.24830794844</v>
      </c>
      <c r="P1318" s="336">
        <f t="shared" si="255"/>
        <v>-99794.248307948437</v>
      </c>
      <c r="Q1318" s="336">
        <f t="shared" si="256"/>
        <v>106194.24830794844</v>
      </c>
      <c r="R1318" s="303">
        <f t="shared" si="257"/>
        <v>2.4190033783131764</v>
      </c>
    </row>
    <row r="1319" spans="1:18" x14ac:dyDescent="0.3">
      <c r="A1319" s="2">
        <v>3627</v>
      </c>
      <c r="B1319" s="41" t="s">
        <v>1906</v>
      </c>
      <c r="C1319" s="2">
        <v>4</v>
      </c>
      <c r="D1319" s="2" t="s">
        <v>12</v>
      </c>
      <c r="E1319" s="294">
        <v>36000</v>
      </c>
      <c r="F1319" s="296">
        <v>45000</v>
      </c>
      <c r="G1319" s="352">
        <v>2</v>
      </c>
      <c r="H1319" s="296">
        <f t="shared" si="252"/>
        <v>72000</v>
      </c>
      <c r="I1319" s="122">
        <f t="shared" si="253"/>
        <v>90000</v>
      </c>
      <c r="J1319" s="331">
        <f t="shared" si="254"/>
        <v>18000</v>
      </c>
      <c r="K1319" s="292">
        <f>'09-RESUMEN'!$F$43/1375</f>
        <v>81431.961035221175</v>
      </c>
      <c r="L1319" s="122">
        <f>('ESTADO RESULTADOS'!$C$36+'ESTADO RESULTADOS'!$C$71)/1375</f>
        <v>24762.287272727273</v>
      </c>
      <c r="M1319" s="122">
        <v>0</v>
      </c>
      <c r="N1319" s="122">
        <f t="shared" si="260"/>
        <v>178194.24830794844</v>
      </c>
      <c r="O1319" s="122">
        <f t="shared" si="261"/>
        <v>89097.124153974219</v>
      </c>
      <c r="P1319" s="336">
        <f t="shared" si="255"/>
        <v>-88194.248307948437</v>
      </c>
      <c r="Q1319" s="336">
        <f t="shared" si="256"/>
        <v>53097.124153974219</v>
      </c>
      <c r="R1319" s="303">
        <f t="shared" si="257"/>
        <v>1.4749201153881728</v>
      </c>
    </row>
    <row r="1320" spans="1:18" x14ac:dyDescent="0.3">
      <c r="A1320" s="2">
        <v>3628</v>
      </c>
      <c r="B1320" s="41" t="s">
        <v>1068</v>
      </c>
      <c r="C1320" s="2">
        <v>12</v>
      </c>
      <c r="D1320" s="2" t="s">
        <v>12</v>
      </c>
      <c r="E1320" s="294">
        <v>24100</v>
      </c>
      <c r="F1320" s="296">
        <v>35000</v>
      </c>
      <c r="G1320" s="352">
        <v>4</v>
      </c>
      <c r="H1320" s="296">
        <f t="shared" si="252"/>
        <v>96400</v>
      </c>
      <c r="I1320" s="122">
        <f t="shared" si="253"/>
        <v>140000</v>
      </c>
      <c r="J1320" s="331">
        <f t="shared" si="254"/>
        <v>43600</v>
      </c>
      <c r="K1320" s="292">
        <f>'09-RESUMEN'!$F$43/1375</f>
        <v>81431.961035221175</v>
      </c>
      <c r="L1320" s="122">
        <f>('ESTADO RESULTADOS'!$C$36+'ESTADO RESULTADOS'!$C$71)/1375</f>
        <v>24762.287272727273</v>
      </c>
      <c r="M1320" s="122">
        <v>0</v>
      </c>
      <c r="N1320" s="122">
        <f t="shared" si="260"/>
        <v>202594.24830794844</v>
      </c>
      <c r="O1320" s="122">
        <f t="shared" si="261"/>
        <v>50648.562076987109</v>
      </c>
      <c r="P1320" s="336">
        <f t="shared" si="255"/>
        <v>-62594.248307948437</v>
      </c>
      <c r="Q1320" s="336">
        <f t="shared" si="256"/>
        <v>26548.562076987109</v>
      </c>
      <c r="R1320" s="303">
        <f t="shared" si="257"/>
        <v>1.1016000861820376</v>
      </c>
    </row>
    <row r="1321" spans="1:18" x14ac:dyDescent="0.3">
      <c r="A1321" s="2">
        <v>3629</v>
      </c>
      <c r="B1321" s="41" t="s">
        <v>1069</v>
      </c>
      <c r="C1321" s="2">
        <v>6</v>
      </c>
      <c r="D1321" s="2" t="s">
        <v>160</v>
      </c>
      <c r="E1321" s="294">
        <v>18900</v>
      </c>
      <c r="F1321" s="296">
        <v>23600</v>
      </c>
      <c r="G1321" s="352">
        <v>131</v>
      </c>
      <c r="H1321" s="296">
        <f t="shared" si="252"/>
        <v>2475900</v>
      </c>
      <c r="I1321" s="122">
        <f t="shared" si="253"/>
        <v>3091600</v>
      </c>
      <c r="J1321" s="331">
        <f t="shared" si="254"/>
        <v>615700</v>
      </c>
      <c r="K1321" s="292">
        <f>'09-RESUMEN'!$F$43/1375</f>
        <v>81431.961035221175</v>
      </c>
      <c r="L1321" s="122">
        <f>('ESTADO RESULTADOS'!$C$36+'ESTADO RESULTADOS'!$C$71)/1375</f>
        <v>24762.287272727273</v>
      </c>
      <c r="M1321" s="122">
        <v>0</v>
      </c>
      <c r="N1321" s="122">
        <f t="shared" si="260"/>
        <v>2582094.2483079485</v>
      </c>
      <c r="O1321" s="122">
        <f t="shared" si="261"/>
        <v>19710.643116854568</v>
      </c>
      <c r="P1321" s="336">
        <f t="shared" si="255"/>
        <v>509505.75169205153</v>
      </c>
      <c r="Q1321" s="336">
        <f t="shared" si="256"/>
        <v>810.64311685456778</v>
      </c>
      <c r="R1321" s="303">
        <f t="shared" si="257"/>
        <v>4.2891170203945388E-2</v>
      </c>
    </row>
    <row r="1322" spans="1:18" x14ac:dyDescent="0.3">
      <c r="A1322" s="2">
        <v>3630</v>
      </c>
      <c r="B1322" s="41" t="s">
        <v>1907</v>
      </c>
      <c r="C1322" s="2">
        <v>2</v>
      </c>
      <c r="D1322" s="2" t="s">
        <v>12</v>
      </c>
      <c r="E1322" s="294">
        <v>75999.997499999998</v>
      </c>
      <c r="F1322" s="296">
        <v>80666.666666666672</v>
      </c>
      <c r="G1322" s="352">
        <v>13</v>
      </c>
      <c r="H1322" s="296">
        <f t="shared" si="252"/>
        <v>987999.96750000003</v>
      </c>
      <c r="I1322" s="122">
        <f t="shared" si="253"/>
        <v>1048666.6666666667</v>
      </c>
      <c r="J1322" s="331">
        <f t="shared" si="254"/>
        <v>60666.699166666716</v>
      </c>
      <c r="K1322" s="292">
        <f>'09-RESUMEN'!$F$43/1375</f>
        <v>81431.961035221175</v>
      </c>
      <c r="L1322" s="122">
        <f>('ESTADO RESULTADOS'!$C$36+'ESTADO RESULTADOS'!$C$71)/1375</f>
        <v>24762.287272727273</v>
      </c>
      <c r="M1322" s="122">
        <v>0</v>
      </c>
      <c r="N1322" s="122">
        <f t="shared" si="260"/>
        <v>1094194.2158079485</v>
      </c>
      <c r="O1322" s="122">
        <f t="shared" si="261"/>
        <v>84168.78583138065</v>
      </c>
      <c r="P1322" s="336">
        <f t="shared" si="255"/>
        <v>-45527.54914128175</v>
      </c>
      <c r="Q1322" s="336">
        <f t="shared" si="256"/>
        <v>8168.7883313806524</v>
      </c>
      <c r="R1322" s="303">
        <f t="shared" si="257"/>
        <v>0.10748406052751058</v>
      </c>
    </row>
    <row r="1323" spans="1:18" x14ac:dyDescent="0.3">
      <c r="A1323" s="2">
        <v>3632</v>
      </c>
      <c r="B1323" s="41" t="s">
        <v>1070</v>
      </c>
      <c r="C1323" s="2">
        <v>4</v>
      </c>
      <c r="D1323" s="2" t="s">
        <v>16</v>
      </c>
      <c r="E1323" s="294">
        <v>222500</v>
      </c>
      <c r="F1323" s="296">
        <v>241333.33333333334</v>
      </c>
      <c r="G1323" s="352">
        <v>3</v>
      </c>
      <c r="H1323" s="296">
        <f t="shared" si="252"/>
        <v>667500</v>
      </c>
      <c r="I1323" s="122">
        <f t="shared" si="253"/>
        <v>724000</v>
      </c>
      <c r="J1323" s="331">
        <f t="shared" si="254"/>
        <v>56500</v>
      </c>
      <c r="K1323" s="292">
        <f>'09-RESUMEN'!$F$43/1375</f>
        <v>81431.961035221175</v>
      </c>
      <c r="L1323" s="122">
        <f>('ESTADO RESULTADOS'!$C$36+'ESTADO RESULTADOS'!$C$71)/1375</f>
        <v>24762.287272727273</v>
      </c>
      <c r="M1323" s="122">
        <v>0</v>
      </c>
      <c r="N1323" s="122">
        <f t="shared" si="260"/>
        <v>773694.24830794835</v>
      </c>
      <c r="O1323" s="122">
        <f t="shared" si="261"/>
        <v>257898.08276931613</v>
      </c>
      <c r="P1323" s="336">
        <f t="shared" si="255"/>
        <v>-49694.24830794835</v>
      </c>
      <c r="Q1323" s="336">
        <f t="shared" si="256"/>
        <v>35398.082769316126</v>
      </c>
      <c r="R1323" s="303">
        <f t="shared" si="257"/>
        <v>0.15909250682838708</v>
      </c>
    </row>
    <row r="1324" spans="1:18" x14ac:dyDescent="0.3">
      <c r="A1324" s="2">
        <v>3633</v>
      </c>
      <c r="B1324" s="41" t="s">
        <v>1071</v>
      </c>
      <c r="C1324" s="2">
        <v>5</v>
      </c>
      <c r="D1324" s="2" t="s">
        <v>81</v>
      </c>
      <c r="E1324" s="294">
        <v>74708</v>
      </c>
      <c r="F1324" s="296">
        <v>92000</v>
      </c>
      <c r="G1324" s="352">
        <v>28</v>
      </c>
      <c r="H1324" s="296">
        <f t="shared" si="252"/>
        <v>2091824</v>
      </c>
      <c r="I1324" s="122">
        <f t="shared" si="253"/>
        <v>2576000</v>
      </c>
      <c r="J1324" s="331">
        <f t="shared" si="254"/>
        <v>484176</v>
      </c>
      <c r="K1324" s="292">
        <f>'09-RESUMEN'!$F$43/1375</f>
        <v>81431.961035221175</v>
      </c>
      <c r="L1324" s="122">
        <f>('ESTADO RESULTADOS'!$C$36+'ESTADO RESULTADOS'!$C$71)/1375</f>
        <v>24762.287272727273</v>
      </c>
      <c r="M1324" s="122">
        <v>0</v>
      </c>
      <c r="N1324" s="122">
        <f t="shared" si="260"/>
        <v>2198018.2483079485</v>
      </c>
      <c r="O1324" s="122">
        <f t="shared" si="261"/>
        <v>78500.651725283868</v>
      </c>
      <c r="P1324" s="336">
        <f t="shared" si="255"/>
        <v>377981.75169205153</v>
      </c>
      <c r="Q1324" s="336">
        <f t="shared" si="256"/>
        <v>3792.6517252838676</v>
      </c>
      <c r="R1324" s="303">
        <f t="shared" si="257"/>
        <v>5.0766339954005833E-2</v>
      </c>
    </row>
    <row r="1325" spans="1:18" x14ac:dyDescent="0.3">
      <c r="A1325" s="2">
        <v>3634</v>
      </c>
      <c r="B1325" s="41" t="s">
        <v>1072</v>
      </c>
      <c r="C1325" s="2">
        <v>5</v>
      </c>
      <c r="D1325" s="2" t="s">
        <v>81</v>
      </c>
      <c r="E1325" s="294">
        <v>58263</v>
      </c>
      <c r="F1325" s="296">
        <v>72500</v>
      </c>
      <c r="G1325" s="352">
        <v>9</v>
      </c>
      <c r="H1325" s="296">
        <f t="shared" si="252"/>
        <v>524367</v>
      </c>
      <c r="I1325" s="122">
        <f t="shared" si="253"/>
        <v>652500</v>
      </c>
      <c r="J1325" s="331">
        <f t="shared" si="254"/>
        <v>128133</v>
      </c>
      <c r="K1325" s="292">
        <f>'09-RESUMEN'!$F$43/1375</f>
        <v>81431.961035221175</v>
      </c>
      <c r="L1325" s="122">
        <f>('ESTADO RESULTADOS'!$C$36+'ESTADO RESULTADOS'!$C$71)/1375</f>
        <v>24762.287272727273</v>
      </c>
      <c r="M1325" s="122">
        <v>0</v>
      </c>
      <c r="N1325" s="122">
        <f t="shared" si="260"/>
        <v>630561.24830794835</v>
      </c>
      <c r="O1325" s="122">
        <f t="shared" si="261"/>
        <v>70062.360923105371</v>
      </c>
      <c r="P1325" s="336">
        <f t="shared" si="255"/>
        <v>21938.75169205165</v>
      </c>
      <c r="Q1325" s="336">
        <f t="shared" si="256"/>
        <v>11799.360923105371</v>
      </c>
      <c r="R1325" s="303">
        <f t="shared" si="257"/>
        <v>0.20251893865927553</v>
      </c>
    </row>
    <row r="1326" spans="1:18" x14ac:dyDescent="0.3">
      <c r="A1326" s="2">
        <v>3635</v>
      </c>
      <c r="B1326" s="41" t="s">
        <v>1073</v>
      </c>
      <c r="C1326" s="2">
        <v>2</v>
      </c>
      <c r="D1326" s="2" t="s">
        <v>21</v>
      </c>
      <c r="E1326" s="294">
        <v>2700.0014999999999</v>
      </c>
      <c r="F1326" s="296">
        <v>3200</v>
      </c>
      <c r="G1326" s="352">
        <v>15</v>
      </c>
      <c r="H1326" s="296">
        <f t="shared" si="252"/>
        <v>40500.022499999999</v>
      </c>
      <c r="I1326" s="122">
        <f t="shared" si="253"/>
        <v>48000</v>
      </c>
      <c r="J1326" s="331">
        <f t="shared" si="254"/>
        <v>7499.9775000000009</v>
      </c>
      <c r="K1326" s="292">
        <f>'09-RESUMEN'!$F$43/1375</f>
        <v>81431.961035221175</v>
      </c>
      <c r="L1326" s="122">
        <f>('ESTADO RESULTADOS'!$C$36+'ESTADO RESULTADOS'!$C$71)/1375</f>
        <v>24762.287272727273</v>
      </c>
      <c r="M1326" s="122">
        <v>0</v>
      </c>
      <c r="N1326" s="122">
        <f t="shared" si="260"/>
        <v>146694.27080794843</v>
      </c>
      <c r="O1326" s="122">
        <f t="shared" si="261"/>
        <v>9779.6180538632289</v>
      </c>
      <c r="P1326" s="336">
        <f t="shared" si="255"/>
        <v>-98694.270807948429</v>
      </c>
      <c r="Q1326" s="336">
        <f t="shared" si="256"/>
        <v>7079.6165538632285</v>
      </c>
      <c r="R1326" s="303">
        <f t="shared" si="257"/>
        <v>2.6220787484241135</v>
      </c>
    </row>
    <row r="1327" spans="1:18" x14ac:dyDescent="0.3">
      <c r="A1327" s="2">
        <v>3636</v>
      </c>
      <c r="B1327" s="41" t="s">
        <v>1074</v>
      </c>
      <c r="C1327" s="2">
        <v>2</v>
      </c>
      <c r="D1327" s="2" t="s">
        <v>12</v>
      </c>
      <c r="E1327" s="294">
        <v>10000.0005</v>
      </c>
      <c r="F1327" s="296">
        <v>11566.666666666666</v>
      </c>
      <c r="G1327" s="352">
        <v>1</v>
      </c>
      <c r="H1327" s="296">
        <f t="shared" si="252"/>
        <v>10000.0005</v>
      </c>
      <c r="I1327" s="122">
        <f t="shared" si="253"/>
        <v>11566.666666666666</v>
      </c>
      <c r="J1327" s="331">
        <f t="shared" si="254"/>
        <v>1566.666166666666</v>
      </c>
      <c r="K1327" s="292">
        <f>'09-RESUMEN'!$F$43/1375</f>
        <v>81431.961035221175</v>
      </c>
      <c r="L1327" s="122">
        <f>('ESTADO RESULTADOS'!$C$36+'ESTADO RESULTADOS'!$C$71)/1375</f>
        <v>24762.287272727273</v>
      </c>
      <c r="M1327" s="122">
        <v>0</v>
      </c>
      <c r="N1327" s="122">
        <f t="shared" si="260"/>
        <v>116194.24880794845</v>
      </c>
      <c r="O1327" s="122">
        <f t="shared" si="261"/>
        <v>116194.24880794845</v>
      </c>
      <c r="P1327" s="336">
        <f t="shared" si="255"/>
        <v>-104627.58214128177</v>
      </c>
      <c r="Q1327" s="336">
        <f t="shared" si="256"/>
        <v>106194.24830794845</v>
      </c>
      <c r="R1327" s="303">
        <f t="shared" si="257"/>
        <v>10.619424299823629</v>
      </c>
    </row>
    <row r="1328" spans="1:18" x14ac:dyDescent="0.3">
      <c r="A1328" s="2">
        <v>3637</v>
      </c>
      <c r="B1328" s="41" t="s">
        <v>1075</v>
      </c>
      <c r="C1328" s="2">
        <v>2</v>
      </c>
      <c r="D1328" s="2" t="s">
        <v>675</v>
      </c>
      <c r="E1328" s="294">
        <v>12600</v>
      </c>
      <c r="F1328" s="296">
        <v>14000</v>
      </c>
      <c r="G1328" s="352">
        <v>2</v>
      </c>
      <c r="H1328" s="296">
        <f t="shared" si="252"/>
        <v>25200</v>
      </c>
      <c r="I1328" s="122">
        <f t="shared" si="253"/>
        <v>28000</v>
      </c>
      <c r="J1328" s="331">
        <f t="shared" si="254"/>
        <v>2800</v>
      </c>
      <c r="K1328" s="292">
        <f>'09-RESUMEN'!$F$43/1375</f>
        <v>81431.961035221175</v>
      </c>
      <c r="L1328" s="122">
        <f>('ESTADO RESULTADOS'!$C$36+'ESTADO RESULTADOS'!$C$71)/1375</f>
        <v>24762.287272727273</v>
      </c>
      <c r="M1328" s="122">
        <v>0</v>
      </c>
      <c r="N1328" s="122">
        <f t="shared" si="260"/>
        <v>131394.24830794844</v>
      </c>
      <c r="O1328" s="122">
        <f t="shared" si="261"/>
        <v>65697.124153974219</v>
      </c>
      <c r="P1328" s="336">
        <f t="shared" si="255"/>
        <v>-103394.24830794844</v>
      </c>
      <c r="Q1328" s="336">
        <f t="shared" si="256"/>
        <v>53097.124153974219</v>
      </c>
      <c r="R1328" s="303">
        <f t="shared" si="257"/>
        <v>4.2140574725376361</v>
      </c>
    </row>
    <row r="1329" spans="1:18" x14ac:dyDescent="0.3">
      <c r="A1329" s="2">
        <v>3639</v>
      </c>
      <c r="B1329" s="41" t="s">
        <v>1076</v>
      </c>
      <c r="C1329" s="2">
        <v>9</v>
      </c>
      <c r="D1329" s="2" t="s">
        <v>12</v>
      </c>
      <c r="E1329" s="294">
        <v>9500</v>
      </c>
      <c r="F1329" s="296">
        <v>12500</v>
      </c>
      <c r="G1329" s="352">
        <v>0</v>
      </c>
      <c r="H1329" s="296">
        <f t="shared" si="252"/>
        <v>0</v>
      </c>
      <c r="I1329" s="122">
        <f t="shared" si="253"/>
        <v>0</v>
      </c>
      <c r="J1329" s="331">
        <f t="shared" si="254"/>
        <v>0</v>
      </c>
      <c r="K1329" s="292">
        <f>'09-RESUMEN'!$F$43/1375</f>
        <v>81431.961035221175</v>
      </c>
      <c r="L1329" s="122">
        <f>('ESTADO RESULTADOS'!$C$36+'ESTADO RESULTADOS'!$C$71)/1375</f>
        <v>24762.287272727273</v>
      </c>
      <c r="M1329" s="122">
        <v>0</v>
      </c>
      <c r="N1329" s="122">
        <f>SUM(E1329+K1329+L1329+M1329)</f>
        <v>115694.24830794845</v>
      </c>
      <c r="O1329" s="122">
        <f>N1329</f>
        <v>115694.24830794845</v>
      </c>
      <c r="P1329" s="336">
        <f t="shared" si="255"/>
        <v>-115694.24830794845</v>
      </c>
      <c r="Q1329" s="336">
        <f t="shared" si="256"/>
        <v>106194.24830794845</v>
      </c>
      <c r="R1329" s="303">
        <f t="shared" si="257"/>
        <v>11.178341927152468</v>
      </c>
    </row>
    <row r="1330" spans="1:18" x14ac:dyDescent="0.3">
      <c r="A1330" s="2">
        <v>3640</v>
      </c>
      <c r="B1330" s="41" t="s">
        <v>1077</v>
      </c>
      <c r="C1330" s="2">
        <v>5</v>
      </c>
      <c r="D1330" s="2" t="s">
        <v>5</v>
      </c>
      <c r="E1330" s="294">
        <v>20000</v>
      </c>
      <c r="F1330" s="296">
        <v>28500</v>
      </c>
      <c r="G1330" s="352">
        <v>24</v>
      </c>
      <c r="H1330" s="296">
        <f t="shared" si="252"/>
        <v>480000</v>
      </c>
      <c r="I1330" s="122">
        <f t="shared" si="253"/>
        <v>684000</v>
      </c>
      <c r="J1330" s="331">
        <f t="shared" si="254"/>
        <v>204000</v>
      </c>
      <c r="K1330" s="292">
        <f>'09-RESUMEN'!$F$43/1375</f>
        <v>81431.961035221175</v>
      </c>
      <c r="L1330" s="122">
        <f>('ESTADO RESULTADOS'!$C$36+'ESTADO RESULTADOS'!$C$71)/1375</f>
        <v>24762.287272727273</v>
      </c>
      <c r="M1330" s="122">
        <v>0</v>
      </c>
      <c r="N1330" s="122">
        <f t="shared" ref="N1330:N1353" si="262">SUM(H1330+K1330+L1330+M1330)</f>
        <v>586194.24830794835</v>
      </c>
      <c r="O1330" s="122">
        <f t="shared" ref="O1330:O1353" si="263">N1330/G1330</f>
        <v>24424.760346164516</v>
      </c>
      <c r="P1330" s="336">
        <f t="shared" si="255"/>
        <v>97805.75169205165</v>
      </c>
      <c r="Q1330" s="336">
        <f t="shared" si="256"/>
        <v>4424.7603461645158</v>
      </c>
      <c r="R1330" s="303">
        <f t="shared" si="257"/>
        <v>0.22123801730822579</v>
      </c>
    </row>
    <row r="1331" spans="1:18" x14ac:dyDescent="0.3">
      <c r="A1331" s="2">
        <v>3641</v>
      </c>
      <c r="B1331" s="41" t="s">
        <v>1078</v>
      </c>
      <c r="C1331" s="2">
        <v>5</v>
      </c>
      <c r="D1331" s="2" t="s">
        <v>5</v>
      </c>
      <c r="E1331" s="294">
        <v>23700</v>
      </c>
      <c r="F1331" s="296">
        <v>29366.666666666668</v>
      </c>
      <c r="G1331" s="352">
        <v>30</v>
      </c>
      <c r="H1331" s="296">
        <f t="shared" si="252"/>
        <v>711000</v>
      </c>
      <c r="I1331" s="122">
        <f t="shared" si="253"/>
        <v>881000</v>
      </c>
      <c r="J1331" s="331">
        <f t="shared" si="254"/>
        <v>170000</v>
      </c>
      <c r="K1331" s="292">
        <f>'09-RESUMEN'!$F$43/1375</f>
        <v>81431.961035221175</v>
      </c>
      <c r="L1331" s="122">
        <f>('ESTADO RESULTADOS'!$C$36+'ESTADO RESULTADOS'!$C$71)/1375</f>
        <v>24762.287272727273</v>
      </c>
      <c r="M1331" s="122">
        <v>0</v>
      </c>
      <c r="N1331" s="122">
        <f t="shared" si="262"/>
        <v>817194.24830794835</v>
      </c>
      <c r="O1331" s="122">
        <f t="shared" si="263"/>
        <v>27239.808276931613</v>
      </c>
      <c r="P1331" s="336">
        <f t="shared" si="255"/>
        <v>63805.75169205165</v>
      </c>
      <c r="Q1331" s="336">
        <f t="shared" si="256"/>
        <v>3539.8082769316134</v>
      </c>
      <c r="R1331" s="303">
        <f t="shared" si="257"/>
        <v>0.14935899902665034</v>
      </c>
    </row>
    <row r="1332" spans="1:18" x14ac:dyDescent="0.3">
      <c r="A1332" s="2">
        <v>3642</v>
      </c>
      <c r="B1332" s="41" t="s">
        <v>1079</v>
      </c>
      <c r="C1332" s="2">
        <v>5</v>
      </c>
      <c r="D1332" s="2" t="s">
        <v>5</v>
      </c>
      <c r="E1332" s="294">
        <v>21000</v>
      </c>
      <c r="F1332" s="296">
        <v>24466.666666666668</v>
      </c>
      <c r="G1332" s="352">
        <v>12</v>
      </c>
      <c r="H1332" s="296">
        <f t="shared" si="252"/>
        <v>252000</v>
      </c>
      <c r="I1332" s="122">
        <f t="shared" si="253"/>
        <v>293600</v>
      </c>
      <c r="J1332" s="331">
        <f t="shared" si="254"/>
        <v>41600</v>
      </c>
      <c r="K1332" s="292">
        <f>'09-RESUMEN'!$F$43/1375</f>
        <v>81431.961035221175</v>
      </c>
      <c r="L1332" s="122">
        <f>('ESTADO RESULTADOS'!$C$36+'ESTADO RESULTADOS'!$C$71)/1375</f>
        <v>24762.287272727273</v>
      </c>
      <c r="M1332" s="122">
        <v>0</v>
      </c>
      <c r="N1332" s="122">
        <f t="shared" si="262"/>
        <v>358194.24830794847</v>
      </c>
      <c r="O1332" s="122">
        <f t="shared" si="263"/>
        <v>29849.520692329039</v>
      </c>
      <c r="P1332" s="336">
        <f t="shared" si="255"/>
        <v>-64594.248307948466</v>
      </c>
      <c r="Q1332" s="336">
        <f t="shared" si="256"/>
        <v>8849.5206923290389</v>
      </c>
      <c r="R1332" s="303">
        <f t="shared" si="257"/>
        <v>0.42140574725376373</v>
      </c>
    </row>
    <row r="1333" spans="1:18" x14ac:dyDescent="0.3">
      <c r="A1333" s="2">
        <v>3643</v>
      </c>
      <c r="B1333" s="41" t="s">
        <v>1080</v>
      </c>
      <c r="C1333" s="2">
        <v>14</v>
      </c>
      <c r="D1333" s="2" t="s">
        <v>12</v>
      </c>
      <c r="E1333" s="294">
        <v>835.73</v>
      </c>
      <c r="F1333" s="296">
        <v>1400</v>
      </c>
      <c r="G1333" s="352">
        <v>85</v>
      </c>
      <c r="H1333" s="296">
        <f t="shared" si="252"/>
        <v>71037.05</v>
      </c>
      <c r="I1333" s="122">
        <f t="shared" si="253"/>
        <v>119000</v>
      </c>
      <c r="J1333" s="331">
        <f t="shared" si="254"/>
        <v>47962.95</v>
      </c>
      <c r="K1333" s="292">
        <f>'09-RESUMEN'!$F$43/1375</f>
        <v>81431.961035221175</v>
      </c>
      <c r="L1333" s="122">
        <f>('ESTADO RESULTADOS'!$C$36+'ESTADO RESULTADOS'!$C$71)/1375</f>
        <v>24762.287272727273</v>
      </c>
      <c r="M1333" s="122">
        <v>0</v>
      </c>
      <c r="N1333" s="122">
        <f t="shared" si="262"/>
        <v>177231.29830794843</v>
      </c>
      <c r="O1333" s="122">
        <f t="shared" si="263"/>
        <v>2085.0740977405699</v>
      </c>
      <c r="P1333" s="336">
        <f t="shared" si="255"/>
        <v>-58231.298307948426</v>
      </c>
      <c r="Q1333" s="336">
        <f t="shared" si="256"/>
        <v>1249.3440977405699</v>
      </c>
      <c r="R1333" s="303">
        <f t="shared" si="257"/>
        <v>1.4949135459305873</v>
      </c>
    </row>
    <row r="1334" spans="1:18" x14ac:dyDescent="0.3">
      <c r="A1334" s="2">
        <v>3644</v>
      </c>
      <c r="B1334" s="41" t="s">
        <v>1081</v>
      </c>
      <c r="C1334" s="2">
        <v>4</v>
      </c>
      <c r="D1334" s="2" t="s">
        <v>16</v>
      </c>
      <c r="E1334" s="294">
        <v>101077</v>
      </c>
      <c r="F1334" s="296">
        <v>122500</v>
      </c>
      <c r="G1334" s="352">
        <v>30</v>
      </c>
      <c r="H1334" s="296">
        <f t="shared" si="252"/>
        <v>3032310</v>
      </c>
      <c r="I1334" s="122">
        <f t="shared" si="253"/>
        <v>3675000</v>
      </c>
      <c r="J1334" s="331">
        <f t="shared" si="254"/>
        <v>642690</v>
      </c>
      <c r="K1334" s="292">
        <f>'09-RESUMEN'!$F$43/1375</f>
        <v>81431.961035221175</v>
      </c>
      <c r="L1334" s="122">
        <f>('ESTADO RESULTADOS'!$C$36+'ESTADO RESULTADOS'!$C$71)/1375</f>
        <v>24762.287272727273</v>
      </c>
      <c r="M1334" s="122">
        <v>0</v>
      </c>
      <c r="N1334" s="122">
        <f t="shared" si="262"/>
        <v>3138504.2483079485</v>
      </c>
      <c r="O1334" s="122">
        <f t="shared" si="263"/>
        <v>104616.80827693161</v>
      </c>
      <c r="P1334" s="336">
        <f t="shared" si="255"/>
        <v>536495.75169205153</v>
      </c>
      <c r="Q1334" s="336">
        <f t="shared" si="256"/>
        <v>3539.8082769316097</v>
      </c>
      <c r="R1334" s="303">
        <f t="shared" si="257"/>
        <v>3.502090759452308E-2</v>
      </c>
    </row>
    <row r="1335" spans="1:18" x14ac:dyDescent="0.3">
      <c r="A1335" s="2">
        <v>3645</v>
      </c>
      <c r="B1335" s="41" t="s">
        <v>1082</v>
      </c>
      <c r="C1335" s="2">
        <v>6</v>
      </c>
      <c r="D1335" s="2" t="s">
        <v>16</v>
      </c>
      <c r="E1335" s="294">
        <v>122500</v>
      </c>
      <c r="F1335" s="296">
        <v>138000</v>
      </c>
      <c r="G1335" s="352">
        <v>13</v>
      </c>
      <c r="H1335" s="296">
        <f t="shared" si="252"/>
        <v>1592500</v>
      </c>
      <c r="I1335" s="122">
        <f t="shared" si="253"/>
        <v>1794000</v>
      </c>
      <c r="J1335" s="331">
        <f t="shared" si="254"/>
        <v>201500</v>
      </c>
      <c r="K1335" s="292">
        <f>'09-RESUMEN'!$F$43/1375</f>
        <v>81431.961035221175</v>
      </c>
      <c r="L1335" s="122">
        <f>('ESTADO RESULTADOS'!$C$36+'ESTADO RESULTADOS'!$C$71)/1375</f>
        <v>24762.287272727273</v>
      </c>
      <c r="M1335" s="122">
        <v>0</v>
      </c>
      <c r="N1335" s="122">
        <f t="shared" si="262"/>
        <v>1698694.2483079485</v>
      </c>
      <c r="O1335" s="122">
        <f t="shared" si="263"/>
        <v>130668.78833138065</v>
      </c>
      <c r="P1335" s="336">
        <f t="shared" si="255"/>
        <v>95305.751692051534</v>
      </c>
      <c r="Q1335" s="336">
        <f t="shared" si="256"/>
        <v>8168.7883313806524</v>
      </c>
      <c r="R1335" s="303">
        <f t="shared" si="257"/>
        <v>6.6683986378617569E-2</v>
      </c>
    </row>
    <row r="1336" spans="1:18" x14ac:dyDescent="0.3">
      <c r="A1336" s="2">
        <v>3646</v>
      </c>
      <c r="B1336" s="41" t="s">
        <v>1083</v>
      </c>
      <c r="C1336" s="2">
        <v>6</v>
      </c>
      <c r="D1336" s="2" t="s">
        <v>176</v>
      </c>
      <c r="E1336" s="294">
        <v>40300</v>
      </c>
      <c r="F1336" s="296">
        <v>52600</v>
      </c>
      <c r="G1336" s="352">
        <v>5</v>
      </c>
      <c r="H1336" s="296">
        <f t="shared" si="252"/>
        <v>201500</v>
      </c>
      <c r="I1336" s="122">
        <f t="shared" si="253"/>
        <v>263000</v>
      </c>
      <c r="J1336" s="331">
        <f t="shared" si="254"/>
        <v>61500</v>
      </c>
      <c r="K1336" s="292">
        <f>'09-RESUMEN'!$F$43/1375</f>
        <v>81431.961035221175</v>
      </c>
      <c r="L1336" s="122">
        <f>('ESTADO RESULTADOS'!$C$36+'ESTADO RESULTADOS'!$C$71)/1375</f>
        <v>24762.287272727273</v>
      </c>
      <c r="M1336" s="122">
        <v>0</v>
      </c>
      <c r="N1336" s="122">
        <f t="shared" si="262"/>
        <v>307694.24830794847</v>
      </c>
      <c r="O1336" s="122">
        <f t="shared" si="263"/>
        <v>61538.849661589695</v>
      </c>
      <c r="P1336" s="336">
        <f t="shared" si="255"/>
        <v>-44694.248307948466</v>
      </c>
      <c r="Q1336" s="336">
        <f t="shared" si="256"/>
        <v>21238.849661589695</v>
      </c>
      <c r="R1336" s="303">
        <f t="shared" si="257"/>
        <v>0.52701860202455819</v>
      </c>
    </row>
    <row r="1337" spans="1:18" x14ac:dyDescent="0.3">
      <c r="A1337" s="2">
        <v>3647</v>
      </c>
      <c r="B1337" s="41" t="s">
        <v>1084</v>
      </c>
      <c r="C1337" s="2">
        <v>5</v>
      </c>
      <c r="D1337" s="2" t="s">
        <v>81</v>
      </c>
      <c r="E1337" s="294">
        <v>126436</v>
      </c>
      <c r="F1337" s="296">
        <v>151000</v>
      </c>
      <c r="G1337" s="352">
        <v>18</v>
      </c>
      <c r="H1337" s="296">
        <f t="shared" si="252"/>
        <v>2275848</v>
      </c>
      <c r="I1337" s="122">
        <f t="shared" si="253"/>
        <v>2718000</v>
      </c>
      <c r="J1337" s="331">
        <f t="shared" si="254"/>
        <v>442152</v>
      </c>
      <c r="K1337" s="292">
        <f>'09-RESUMEN'!$F$43/1375</f>
        <v>81431.961035221175</v>
      </c>
      <c r="L1337" s="122">
        <f>('ESTADO RESULTADOS'!$C$36+'ESTADO RESULTADOS'!$C$71)/1375</f>
        <v>24762.287272727273</v>
      </c>
      <c r="M1337" s="122">
        <v>0</v>
      </c>
      <c r="N1337" s="122">
        <f t="shared" si="262"/>
        <v>2382042.2483079485</v>
      </c>
      <c r="O1337" s="122">
        <f t="shared" si="263"/>
        <v>132335.68046155269</v>
      </c>
      <c r="P1337" s="336">
        <f t="shared" si="255"/>
        <v>335957.75169205153</v>
      </c>
      <c r="Q1337" s="336">
        <f t="shared" si="256"/>
        <v>5899.6804615526926</v>
      </c>
      <c r="R1337" s="303">
        <f t="shared" si="257"/>
        <v>4.666139755728347E-2</v>
      </c>
    </row>
    <row r="1338" spans="1:18" x14ac:dyDescent="0.3">
      <c r="A1338" s="2">
        <v>3648</v>
      </c>
      <c r="B1338" s="41" t="s">
        <v>1085</v>
      </c>
      <c r="C1338" s="2">
        <v>5</v>
      </c>
      <c r="D1338" s="2" t="s">
        <v>81</v>
      </c>
      <c r="E1338" s="294">
        <v>780000</v>
      </c>
      <c r="F1338" s="296">
        <v>843000</v>
      </c>
      <c r="G1338" s="352">
        <v>1</v>
      </c>
      <c r="H1338" s="296">
        <f t="shared" si="252"/>
        <v>780000</v>
      </c>
      <c r="I1338" s="122">
        <f t="shared" si="253"/>
        <v>843000</v>
      </c>
      <c r="J1338" s="331">
        <f t="shared" si="254"/>
        <v>63000</v>
      </c>
      <c r="K1338" s="292">
        <f>'09-RESUMEN'!$F$43/1375</f>
        <v>81431.961035221175</v>
      </c>
      <c r="L1338" s="122">
        <f>('ESTADO RESULTADOS'!$C$36+'ESTADO RESULTADOS'!$C$71)/1375</f>
        <v>24762.287272727273</v>
      </c>
      <c r="M1338" s="122">
        <v>0</v>
      </c>
      <c r="N1338" s="122">
        <f t="shared" si="262"/>
        <v>886194.24830794835</v>
      </c>
      <c r="O1338" s="122">
        <f t="shared" si="263"/>
        <v>886194.24830794835</v>
      </c>
      <c r="P1338" s="336">
        <f t="shared" si="255"/>
        <v>-43194.24830794835</v>
      </c>
      <c r="Q1338" s="336">
        <f t="shared" si="256"/>
        <v>106194.24830794835</v>
      </c>
      <c r="R1338" s="303">
        <f t="shared" si="257"/>
        <v>0.13614647218967738</v>
      </c>
    </row>
    <row r="1339" spans="1:18" x14ac:dyDescent="0.3">
      <c r="A1339" s="2">
        <v>3649</v>
      </c>
      <c r="B1339" s="41" t="s">
        <v>1086</v>
      </c>
      <c r="C1339" s="2">
        <v>4</v>
      </c>
      <c r="D1339" s="2" t="s">
        <v>176</v>
      </c>
      <c r="E1339" s="294">
        <v>14250</v>
      </c>
      <c r="F1339" s="296">
        <v>16800</v>
      </c>
      <c r="G1339" s="352">
        <v>12</v>
      </c>
      <c r="H1339" s="296">
        <f t="shared" si="252"/>
        <v>171000</v>
      </c>
      <c r="I1339" s="122">
        <f t="shared" si="253"/>
        <v>201600</v>
      </c>
      <c r="J1339" s="331">
        <f t="shared" si="254"/>
        <v>30600</v>
      </c>
      <c r="K1339" s="292">
        <f>'09-RESUMEN'!$F$43/1375</f>
        <v>81431.961035221175</v>
      </c>
      <c r="L1339" s="122">
        <f>('ESTADO RESULTADOS'!$C$36+'ESTADO RESULTADOS'!$C$71)/1375</f>
        <v>24762.287272727273</v>
      </c>
      <c r="M1339" s="122">
        <v>0</v>
      </c>
      <c r="N1339" s="122">
        <f t="shared" si="262"/>
        <v>277194.24830794847</v>
      </c>
      <c r="O1339" s="122">
        <f t="shared" si="263"/>
        <v>23099.520692329039</v>
      </c>
      <c r="P1339" s="336">
        <f t="shared" si="255"/>
        <v>-75594.248307948466</v>
      </c>
      <c r="Q1339" s="336">
        <f t="shared" si="256"/>
        <v>8849.5206923290389</v>
      </c>
      <c r="R1339" s="303">
        <f t="shared" si="257"/>
        <v>0.62101899595291499</v>
      </c>
    </row>
    <row r="1340" spans="1:18" x14ac:dyDescent="0.3">
      <c r="A1340" s="2">
        <v>3650</v>
      </c>
      <c r="B1340" s="41" t="s">
        <v>1908</v>
      </c>
      <c r="C1340" s="2">
        <v>14</v>
      </c>
      <c r="D1340" s="2" t="s">
        <v>12</v>
      </c>
      <c r="E1340" s="294">
        <v>76979</v>
      </c>
      <c r="F1340" s="296">
        <v>90000</v>
      </c>
      <c r="G1340" s="352">
        <v>1</v>
      </c>
      <c r="H1340" s="296">
        <f t="shared" si="252"/>
        <v>76979</v>
      </c>
      <c r="I1340" s="122">
        <f t="shared" si="253"/>
        <v>90000</v>
      </c>
      <c r="J1340" s="331">
        <f t="shared" si="254"/>
        <v>13021</v>
      </c>
      <c r="K1340" s="292">
        <f>'09-RESUMEN'!$F$43/1375</f>
        <v>81431.961035221175</v>
      </c>
      <c r="L1340" s="122">
        <f>('ESTADO RESULTADOS'!$C$36+'ESTADO RESULTADOS'!$C$71)/1375</f>
        <v>24762.287272727273</v>
      </c>
      <c r="M1340" s="122">
        <v>0</v>
      </c>
      <c r="N1340" s="122">
        <f t="shared" si="262"/>
        <v>183173.24830794844</v>
      </c>
      <c r="O1340" s="122">
        <f t="shared" si="263"/>
        <v>183173.24830794844</v>
      </c>
      <c r="P1340" s="336">
        <f t="shared" si="255"/>
        <v>-93173.248307948437</v>
      </c>
      <c r="Q1340" s="336">
        <f t="shared" si="256"/>
        <v>106194.24830794844</v>
      </c>
      <c r="R1340" s="303">
        <f t="shared" si="257"/>
        <v>1.379522315280121</v>
      </c>
    </row>
    <row r="1341" spans="1:18" x14ac:dyDescent="0.3">
      <c r="A1341" s="2">
        <v>3651</v>
      </c>
      <c r="B1341" s="41" t="s">
        <v>1087</v>
      </c>
      <c r="C1341" s="2">
        <v>14</v>
      </c>
      <c r="D1341" s="2" t="s">
        <v>81</v>
      </c>
      <c r="E1341" s="294">
        <v>45044</v>
      </c>
      <c r="F1341" s="296">
        <v>55800</v>
      </c>
      <c r="G1341" s="352">
        <v>1</v>
      </c>
      <c r="H1341" s="296">
        <f t="shared" si="252"/>
        <v>45044</v>
      </c>
      <c r="I1341" s="122">
        <f t="shared" si="253"/>
        <v>55800</v>
      </c>
      <c r="J1341" s="331">
        <f t="shared" si="254"/>
        <v>10756</v>
      </c>
      <c r="K1341" s="292">
        <f>'09-RESUMEN'!$F$43/1375</f>
        <v>81431.961035221175</v>
      </c>
      <c r="L1341" s="122">
        <f>('ESTADO RESULTADOS'!$C$36+'ESTADO RESULTADOS'!$C$71)/1375</f>
        <v>24762.287272727273</v>
      </c>
      <c r="M1341" s="122">
        <v>0</v>
      </c>
      <c r="N1341" s="122">
        <f t="shared" si="262"/>
        <v>151238.24830794844</v>
      </c>
      <c r="O1341" s="122">
        <f t="shared" si="263"/>
        <v>151238.24830794844</v>
      </c>
      <c r="P1341" s="336">
        <f t="shared" si="255"/>
        <v>-95438.248307948437</v>
      </c>
      <c r="Q1341" s="336">
        <f t="shared" si="256"/>
        <v>106194.24830794844</v>
      </c>
      <c r="R1341" s="303">
        <f t="shared" si="257"/>
        <v>2.3575670079910407</v>
      </c>
    </row>
    <row r="1342" spans="1:18" x14ac:dyDescent="0.3">
      <c r="A1342" s="2">
        <v>3652</v>
      </c>
      <c r="B1342" s="41" t="s">
        <v>1088</v>
      </c>
      <c r="C1342" s="2">
        <v>14</v>
      </c>
      <c r="D1342" s="2" t="s">
        <v>12</v>
      </c>
      <c r="E1342" s="294">
        <v>26264</v>
      </c>
      <c r="F1342" s="296">
        <v>35200</v>
      </c>
      <c r="G1342" s="352">
        <v>14</v>
      </c>
      <c r="H1342" s="296">
        <f t="shared" si="252"/>
        <v>367696</v>
      </c>
      <c r="I1342" s="122">
        <f t="shared" si="253"/>
        <v>492800</v>
      </c>
      <c r="J1342" s="331">
        <f t="shared" si="254"/>
        <v>125104</v>
      </c>
      <c r="K1342" s="292">
        <f>'09-RESUMEN'!$F$43/1375</f>
        <v>81431.961035221175</v>
      </c>
      <c r="L1342" s="122">
        <f>('ESTADO RESULTADOS'!$C$36+'ESTADO RESULTADOS'!$C$71)/1375</f>
        <v>24762.287272727273</v>
      </c>
      <c r="M1342" s="122">
        <v>0</v>
      </c>
      <c r="N1342" s="122">
        <f t="shared" si="262"/>
        <v>473890.24830794847</v>
      </c>
      <c r="O1342" s="122">
        <f t="shared" si="263"/>
        <v>33849.30345056775</v>
      </c>
      <c r="P1342" s="336">
        <f t="shared" si="255"/>
        <v>18909.751692051534</v>
      </c>
      <c r="Q1342" s="336">
        <f t="shared" si="256"/>
        <v>7585.3034505677497</v>
      </c>
      <c r="R1342" s="303">
        <f t="shared" si="257"/>
        <v>0.28880990902253084</v>
      </c>
    </row>
    <row r="1343" spans="1:18" x14ac:dyDescent="0.3">
      <c r="A1343" s="2">
        <v>3653</v>
      </c>
      <c r="B1343" s="41" t="s">
        <v>1089</v>
      </c>
      <c r="C1343" s="2">
        <v>14</v>
      </c>
      <c r="D1343" s="2" t="s">
        <v>12</v>
      </c>
      <c r="E1343" s="294">
        <v>165.41</v>
      </c>
      <c r="F1343" s="296">
        <v>300</v>
      </c>
      <c r="G1343" s="352">
        <v>11</v>
      </c>
      <c r="H1343" s="296">
        <f t="shared" si="252"/>
        <v>1819.51</v>
      </c>
      <c r="I1343" s="122">
        <f t="shared" si="253"/>
        <v>3300</v>
      </c>
      <c r="J1343" s="331">
        <f t="shared" si="254"/>
        <v>1480.49</v>
      </c>
      <c r="K1343" s="292">
        <f>'09-RESUMEN'!$F$43/1375</f>
        <v>81431.961035221175</v>
      </c>
      <c r="L1343" s="122">
        <f>('ESTADO RESULTADOS'!$C$36+'ESTADO RESULTADOS'!$C$71)/1375</f>
        <v>24762.287272727273</v>
      </c>
      <c r="M1343" s="122">
        <v>0</v>
      </c>
      <c r="N1343" s="122">
        <f t="shared" si="262"/>
        <v>108013.75830794845</v>
      </c>
      <c r="O1343" s="122">
        <f t="shared" si="263"/>
        <v>9819.432573449858</v>
      </c>
      <c r="P1343" s="336">
        <f t="shared" si="255"/>
        <v>-104713.75830794845</v>
      </c>
      <c r="Q1343" s="336">
        <f t="shared" si="256"/>
        <v>9654.0225734498581</v>
      </c>
      <c r="R1343" s="303">
        <f t="shared" si="257"/>
        <v>58.364201520161167</v>
      </c>
    </row>
    <row r="1344" spans="1:18" x14ac:dyDescent="0.3">
      <c r="A1344" s="2">
        <v>3654</v>
      </c>
      <c r="B1344" s="41" t="s">
        <v>1090</v>
      </c>
      <c r="C1344" s="2">
        <v>5</v>
      </c>
      <c r="D1344" s="2" t="s">
        <v>5</v>
      </c>
      <c r="E1344" s="294">
        <v>78000</v>
      </c>
      <c r="F1344" s="296">
        <v>90750</v>
      </c>
      <c r="G1344" s="352">
        <v>12</v>
      </c>
      <c r="H1344" s="296">
        <f t="shared" si="252"/>
        <v>936000</v>
      </c>
      <c r="I1344" s="122">
        <f t="shared" si="253"/>
        <v>1089000</v>
      </c>
      <c r="J1344" s="331">
        <f t="shared" si="254"/>
        <v>153000</v>
      </c>
      <c r="K1344" s="292">
        <f>'09-RESUMEN'!$F$43/1375</f>
        <v>81431.961035221175</v>
      </c>
      <c r="L1344" s="122">
        <f>('ESTADO RESULTADOS'!$C$36+'ESTADO RESULTADOS'!$C$71)/1375</f>
        <v>24762.287272727273</v>
      </c>
      <c r="M1344" s="122">
        <v>0</v>
      </c>
      <c r="N1344" s="122">
        <f t="shared" si="262"/>
        <v>1042194.2483079483</v>
      </c>
      <c r="O1344" s="122">
        <f t="shared" si="263"/>
        <v>86849.520692329024</v>
      </c>
      <c r="P1344" s="336">
        <f t="shared" si="255"/>
        <v>46805.75169205165</v>
      </c>
      <c r="Q1344" s="336">
        <f t="shared" si="256"/>
        <v>8849.5206923290243</v>
      </c>
      <c r="R1344" s="303">
        <f t="shared" si="257"/>
        <v>0.11345539349139774</v>
      </c>
    </row>
    <row r="1345" spans="1:18" x14ac:dyDescent="0.3">
      <c r="A1345" s="2">
        <v>3655</v>
      </c>
      <c r="B1345" s="41" t="s">
        <v>1909</v>
      </c>
      <c r="C1345" s="2">
        <v>1</v>
      </c>
      <c r="D1345" s="2" t="s">
        <v>1910</v>
      </c>
      <c r="E1345" s="294">
        <v>216000</v>
      </c>
      <c r="F1345" s="296">
        <v>261000</v>
      </c>
      <c r="G1345" s="352">
        <v>13</v>
      </c>
      <c r="H1345" s="296">
        <f t="shared" si="252"/>
        <v>2808000</v>
      </c>
      <c r="I1345" s="122">
        <f t="shared" si="253"/>
        <v>3393000</v>
      </c>
      <c r="J1345" s="331">
        <f t="shared" si="254"/>
        <v>585000</v>
      </c>
      <c r="K1345" s="292">
        <f>'09-RESUMEN'!$F$43/1375</f>
        <v>81431.961035221175</v>
      </c>
      <c r="L1345" s="122">
        <f>('ESTADO RESULTADOS'!$C$36+'ESTADO RESULTADOS'!$C$71)/1375</f>
        <v>24762.287272727273</v>
      </c>
      <c r="M1345" s="122">
        <v>0</v>
      </c>
      <c r="N1345" s="122">
        <f t="shared" si="262"/>
        <v>2914194.2483079485</v>
      </c>
      <c r="O1345" s="122">
        <f t="shared" si="263"/>
        <v>224168.78833138064</v>
      </c>
      <c r="P1345" s="336">
        <f t="shared" si="255"/>
        <v>478805.75169205153</v>
      </c>
      <c r="Q1345" s="336">
        <f t="shared" si="256"/>
        <v>8168.7883313806378</v>
      </c>
      <c r="R1345" s="303">
        <f t="shared" si="257"/>
        <v>3.7818464497132581E-2</v>
      </c>
    </row>
    <row r="1346" spans="1:18" x14ac:dyDescent="0.3">
      <c r="A1346" s="2">
        <v>3656</v>
      </c>
      <c r="B1346" s="41" t="s">
        <v>1091</v>
      </c>
      <c r="C1346" s="2">
        <v>6</v>
      </c>
      <c r="D1346" s="2" t="s">
        <v>81</v>
      </c>
      <c r="E1346" s="294">
        <v>13000</v>
      </c>
      <c r="F1346" s="296">
        <v>16500</v>
      </c>
      <c r="G1346" s="352">
        <v>2</v>
      </c>
      <c r="H1346" s="296">
        <f t="shared" si="252"/>
        <v>26000</v>
      </c>
      <c r="I1346" s="122">
        <f t="shared" si="253"/>
        <v>33000</v>
      </c>
      <c r="J1346" s="331">
        <f t="shared" si="254"/>
        <v>7000</v>
      </c>
      <c r="K1346" s="292">
        <f>'09-RESUMEN'!$F$43/1375</f>
        <v>81431.961035221175</v>
      </c>
      <c r="L1346" s="122">
        <f>('ESTADO RESULTADOS'!$C$36+'ESTADO RESULTADOS'!$C$71)/1375</f>
        <v>24762.287272727273</v>
      </c>
      <c r="M1346" s="122">
        <v>0</v>
      </c>
      <c r="N1346" s="122">
        <f t="shared" si="262"/>
        <v>132194.24830794844</v>
      </c>
      <c r="O1346" s="122">
        <f t="shared" si="263"/>
        <v>66097.124153974219</v>
      </c>
      <c r="P1346" s="336">
        <f t="shared" si="255"/>
        <v>-99194.248307948437</v>
      </c>
      <c r="Q1346" s="336">
        <f t="shared" si="256"/>
        <v>53097.124153974219</v>
      </c>
      <c r="R1346" s="303">
        <f t="shared" si="257"/>
        <v>4.0843941656903242</v>
      </c>
    </row>
    <row r="1347" spans="1:18" x14ac:dyDescent="0.3">
      <c r="A1347" s="2">
        <v>3657</v>
      </c>
      <c r="B1347" s="41" t="s">
        <v>1092</v>
      </c>
      <c r="C1347" s="2">
        <v>14</v>
      </c>
      <c r="D1347" s="2" t="s">
        <v>81</v>
      </c>
      <c r="E1347" s="294">
        <v>19200</v>
      </c>
      <c r="F1347" s="296">
        <v>23016.666666666668</v>
      </c>
      <c r="G1347" s="352">
        <v>1</v>
      </c>
      <c r="H1347" s="296">
        <f t="shared" si="252"/>
        <v>19200</v>
      </c>
      <c r="I1347" s="122">
        <f t="shared" si="253"/>
        <v>23016.666666666668</v>
      </c>
      <c r="J1347" s="331">
        <f t="shared" si="254"/>
        <v>3816.6666666666679</v>
      </c>
      <c r="K1347" s="292">
        <f>'09-RESUMEN'!$F$43/1375</f>
        <v>81431.961035221175</v>
      </c>
      <c r="L1347" s="122">
        <f>('ESTADO RESULTADOS'!$C$36+'ESTADO RESULTADOS'!$C$71)/1375</f>
        <v>24762.287272727273</v>
      </c>
      <c r="M1347" s="122">
        <v>0</v>
      </c>
      <c r="N1347" s="122">
        <f t="shared" si="262"/>
        <v>125394.24830794845</v>
      </c>
      <c r="O1347" s="122">
        <f t="shared" si="263"/>
        <v>125394.24830794845</v>
      </c>
      <c r="P1347" s="336">
        <f t="shared" si="255"/>
        <v>-102377.58164128178</v>
      </c>
      <c r="Q1347" s="336">
        <f t="shared" si="256"/>
        <v>106194.24830794845</v>
      </c>
      <c r="R1347" s="303">
        <f t="shared" si="257"/>
        <v>5.5309504327056489</v>
      </c>
    </row>
    <row r="1348" spans="1:18" x14ac:dyDescent="0.3">
      <c r="A1348" s="2">
        <v>3658</v>
      </c>
      <c r="B1348" s="41" t="s">
        <v>1093</v>
      </c>
      <c r="C1348" s="2">
        <v>7</v>
      </c>
      <c r="D1348" s="2" t="s">
        <v>21</v>
      </c>
      <c r="E1348" s="294">
        <v>2800</v>
      </c>
      <c r="F1348" s="296">
        <v>3483.3333333333335</v>
      </c>
      <c r="G1348" s="352">
        <v>19</v>
      </c>
      <c r="H1348" s="296">
        <f t="shared" ref="H1348:H1378" si="264">E1348*G1348</f>
        <v>53200</v>
      </c>
      <c r="I1348" s="122">
        <f t="shared" ref="I1348:I1378" si="265">F1348*G1348</f>
        <v>66183.333333333343</v>
      </c>
      <c r="J1348" s="331">
        <f t="shared" ref="J1348:J1378" si="266">I1348-H1348</f>
        <v>12983.333333333343</v>
      </c>
      <c r="K1348" s="292">
        <f>'09-RESUMEN'!$F$43/1375</f>
        <v>81431.961035221175</v>
      </c>
      <c r="L1348" s="122">
        <f>('ESTADO RESULTADOS'!$C$36+'ESTADO RESULTADOS'!$C$71)/1375</f>
        <v>24762.287272727273</v>
      </c>
      <c r="M1348" s="122">
        <v>0</v>
      </c>
      <c r="N1348" s="122">
        <f t="shared" si="262"/>
        <v>159394.24830794844</v>
      </c>
      <c r="O1348" s="122">
        <f t="shared" si="263"/>
        <v>8389.1709635762327</v>
      </c>
      <c r="P1348" s="336">
        <f t="shared" si="255"/>
        <v>-93210.914974615094</v>
      </c>
      <c r="Q1348" s="336">
        <f t="shared" si="256"/>
        <v>5589.1709635762327</v>
      </c>
      <c r="R1348" s="303">
        <f t="shared" si="257"/>
        <v>1.9961324869915116</v>
      </c>
    </row>
    <row r="1349" spans="1:18" x14ac:dyDescent="0.3">
      <c r="A1349" s="2">
        <v>3659</v>
      </c>
      <c r="B1349" s="41" t="s">
        <v>1094</v>
      </c>
      <c r="C1349" s="2">
        <v>7</v>
      </c>
      <c r="D1349" s="2" t="s">
        <v>5</v>
      </c>
      <c r="E1349" s="294">
        <v>17480</v>
      </c>
      <c r="F1349" s="296">
        <v>20583.333333333332</v>
      </c>
      <c r="G1349" s="352">
        <v>7</v>
      </c>
      <c r="H1349" s="296">
        <f t="shared" si="264"/>
        <v>122360</v>
      </c>
      <c r="I1349" s="122">
        <f t="shared" si="265"/>
        <v>144083.33333333331</v>
      </c>
      <c r="J1349" s="331">
        <f t="shared" si="266"/>
        <v>21723.333333333314</v>
      </c>
      <c r="K1349" s="292">
        <f>'09-RESUMEN'!$F$43/1375</f>
        <v>81431.961035221175</v>
      </c>
      <c r="L1349" s="122">
        <f>('ESTADO RESULTADOS'!$C$36+'ESTADO RESULTADOS'!$C$71)/1375</f>
        <v>24762.287272727273</v>
      </c>
      <c r="M1349" s="122">
        <v>0</v>
      </c>
      <c r="N1349" s="122">
        <f t="shared" si="262"/>
        <v>228554.24830794844</v>
      </c>
      <c r="O1349" s="122">
        <f t="shared" si="263"/>
        <v>32650.606901135492</v>
      </c>
      <c r="P1349" s="336">
        <f t="shared" ref="P1349:P1378" si="267">I1349-N1349</f>
        <v>-84470.914974615123</v>
      </c>
      <c r="Q1349" s="336">
        <f t="shared" ref="Q1349:Q1378" si="268">O1349-E1349</f>
        <v>15170.606901135492</v>
      </c>
      <c r="R1349" s="303">
        <f t="shared" ref="R1349:R1378" si="269">Q1349/E1349</f>
        <v>0.8678836899963096</v>
      </c>
    </row>
    <row r="1350" spans="1:18" x14ac:dyDescent="0.3">
      <c r="A1350" s="2">
        <v>3660</v>
      </c>
      <c r="B1350" s="41" t="s">
        <v>1095</v>
      </c>
      <c r="C1350" s="2">
        <v>5</v>
      </c>
      <c r="D1350" s="2" t="s">
        <v>23</v>
      </c>
      <c r="E1350" s="294">
        <v>34000</v>
      </c>
      <c r="F1350" s="296">
        <v>38000</v>
      </c>
      <c r="G1350" s="352">
        <v>884</v>
      </c>
      <c r="H1350" s="296">
        <f t="shared" si="264"/>
        <v>30056000</v>
      </c>
      <c r="I1350" s="122">
        <f t="shared" si="265"/>
        <v>33592000</v>
      </c>
      <c r="J1350" s="331">
        <f t="shared" si="266"/>
        <v>3536000</v>
      </c>
      <c r="K1350" s="292">
        <f>'09-RESUMEN'!$F$43/1375</f>
        <v>81431.961035221175</v>
      </c>
      <c r="L1350" s="122">
        <f>('ESTADO RESULTADOS'!$C$36+'ESTADO RESULTADOS'!$C$71)/1375</f>
        <v>24762.287272727273</v>
      </c>
      <c r="M1350" s="122">
        <v>0</v>
      </c>
      <c r="N1350" s="122">
        <f t="shared" si="262"/>
        <v>30162194.248307951</v>
      </c>
      <c r="O1350" s="122">
        <f t="shared" si="263"/>
        <v>34120.129240167364</v>
      </c>
      <c r="P1350" s="336">
        <f t="shared" si="267"/>
        <v>3429805.7516920492</v>
      </c>
      <c r="Q1350" s="336">
        <f t="shared" si="268"/>
        <v>120.1292401673636</v>
      </c>
      <c r="R1350" s="303">
        <f t="shared" si="269"/>
        <v>3.5332129460989297E-3</v>
      </c>
    </row>
    <row r="1351" spans="1:18" x14ac:dyDescent="0.3">
      <c r="A1351" s="2">
        <v>3661</v>
      </c>
      <c r="B1351" s="41" t="s">
        <v>1096</v>
      </c>
      <c r="C1351" s="2">
        <v>14</v>
      </c>
      <c r="D1351" s="2" t="s">
        <v>81</v>
      </c>
      <c r="E1351" s="294">
        <v>10181</v>
      </c>
      <c r="F1351" s="296">
        <v>15600</v>
      </c>
      <c r="G1351" s="352">
        <v>1</v>
      </c>
      <c r="H1351" s="296">
        <f t="shared" si="264"/>
        <v>10181</v>
      </c>
      <c r="I1351" s="122">
        <f t="shared" si="265"/>
        <v>15600</v>
      </c>
      <c r="J1351" s="331">
        <f t="shared" si="266"/>
        <v>5419</v>
      </c>
      <c r="K1351" s="292">
        <f>'09-RESUMEN'!$F$43/1375</f>
        <v>81431.961035221175</v>
      </c>
      <c r="L1351" s="122">
        <f>('ESTADO RESULTADOS'!$C$36+'ESTADO RESULTADOS'!$C$71)/1375</f>
        <v>24762.287272727273</v>
      </c>
      <c r="M1351" s="122">
        <v>0</v>
      </c>
      <c r="N1351" s="122">
        <f t="shared" si="262"/>
        <v>116375.24830794845</v>
      </c>
      <c r="O1351" s="122">
        <f t="shared" si="263"/>
        <v>116375.24830794845</v>
      </c>
      <c r="P1351" s="336">
        <f t="shared" si="267"/>
        <v>-100775.24830794845</v>
      </c>
      <c r="Q1351" s="336">
        <f t="shared" si="268"/>
        <v>106194.24830794845</v>
      </c>
      <c r="R1351" s="303">
        <f t="shared" si="269"/>
        <v>10.430630420189416</v>
      </c>
    </row>
    <row r="1352" spans="1:18" x14ac:dyDescent="0.3">
      <c r="A1352" s="2">
        <v>3662</v>
      </c>
      <c r="B1352" s="41" t="s">
        <v>1097</v>
      </c>
      <c r="C1352" s="2">
        <v>14</v>
      </c>
      <c r="D1352" s="2" t="s">
        <v>12</v>
      </c>
      <c r="E1352" s="294">
        <v>52152</v>
      </c>
      <c r="F1352" s="296">
        <v>72300</v>
      </c>
      <c r="G1352" s="352">
        <v>1</v>
      </c>
      <c r="H1352" s="296">
        <f t="shared" si="264"/>
        <v>52152</v>
      </c>
      <c r="I1352" s="122">
        <f t="shared" si="265"/>
        <v>72300</v>
      </c>
      <c r="J1352" s="331">
        <f t="shared" si="266"/>
        <v>20148</v>
      </c>
      <c r="K1352" s="292">
        <f>'09-RESUMEN'!$F$43/1375</f>
        <v>81431.961035221175</v>
      </c>
      <c r="L1352" s="122">
        <f>('ESTADO RESULTADOS'!$C$36+'ESTADO RESULTADOS'!$C$71)/1375</f>
        <v>24762.287272727273</v>
      </c>
      <c r="M1352" s="122">
        <v>0</v>
      </c>
      <c r="N1352" s="122">
        <f t="shared" si="262"/>
        <v>158346.24830794844</v>
      </c>
      <c r="O1352" s="122">
        <f t="shared" si="263"/>
        <v>158346.24830794844</v>
      </c>
      <c r="P1352" s="336">
        <f t="shared" si="267"/>
        <v>-86046.248307948437</v>
      </c>
      <c r="Q1352" s="336">
        <f t="shared" si="268"/>
        <v>106194.24830794844</v>
      </c>
      <c r="R1352" s="303">
        <f t="shared" si="269"/>
        <v>2.0362449821281721</v>
      </c>
    </row>
    <row r="1353" spans="1:18" x14ac:dyDescent="0.3">
      <c r="A1353" s="2">
        <v>3663</v>
      </c>
      <c r="B1353" s="41" t="s">
        <v>1098</v>
      </c>
      <c r="C1353" s="2">
        <v>14</v>
      </c>
      <c r="D1353" s="2" t="s">
        <v>12</v>
      </c>
      <c r="E1353" s="294">
        <v>29877</v>
      </c>
      <c r="F1353" s="296">
        <v>36200</v>
      </c>
      <c r="G1353" s="352">
        <v>1</v>
      </c>
      <c r="H1353" s="296">
        <f t="shared" si="264"/>
        <v>29877</v>
      </c>
      <c r="I1353" s="122">
        <f t="shared" si="265"/>
        <v>36200</v>
      </c>
      <c r="J1353" s="331">
        <f t="shared" si="266"/>
        <v>6323</v>
      </c>
      <c r="K1353" s="292">
        <f>'09-RESUMEN'!$F$43/1375</f>
        <v>81431.961035221175</v>
      </c>
      <c r="L1353" s="122">
        <f>('ESTADO RESULTADOS'!$C$36+'ESTADO RESULTADOS'!$C$71)/1375</f>
        <v>24762.287272727273</v>
      </c>
      <c r="M1353" s="122">
        <v>0</v>
      </c>
      <c r="N1353" s="122">
        <f t="shared" si="262"/>
        <v>136071.24830794844</v>
      </c>
      <c r="O1353" s="122">
        <f t="shared" si="263"/>
        <v>136071.24830794844</v>
      </c>
      <c r="P1353" s="336">
        <f t="shared" si="267"/>
        <v>-99871.248307948437</v>
      </c>
      <c r="Q1353" s="336">
        <f t="shared" si="268"/>
        <v>106194.24830794844</v>
      </c>
      <c r="R1353" s="303">
        <f t="shared" si="269"/>
        <v>3.5543812400156787</v>
      </c>
    </row>
    <row r="1354" spans="1:18" x14ac:dyDescent="0.3">
      <c r="A1354" s="2">
        <v>3664</v>
      </c>
      <c r="B1354" s="41" t="s">
        <v>1099</v>
      </c>
      <c r="C1354" s="2">
        <v>14</v>
      </c>
      <c r="D1354" s="2" t="s">
        <v>12</v>
      </c>
      <c r="E1354" s="294">
        <v>23015</v>
      </c>
      <c r="F1354" s="296">
        <v>32600</v>
      </c>
      <c r="G1354" s="352">
        <v>0</v>
      </c>
      <c r="H1354" s="296">
        <f t="shared" si="264"/>
        <v>0</v>
      </c>
      <c r="I1354" s="122">
        <f t="shared" si="265"/>
        <v>0</v>
      </c>
      <c r="J1354" s="331">
        <f t="shared" si="266"/>
        <v>0</v>
      </c>
      <c r="K1354" s="292">
        <f>'09-RESUMEN'!$F$43/1375</f>
        <v>81431.961035221175</v>
      </c>
      <c r="L1354" s="122">
        <f>('ESTADO RESULTADOS'!$C$36+'ESTADO RESULTADOS'!$C$71)/1375</f>
        <v>24762.287272727273</v>
      </c>
      <c r="M1354" s="122">
        <v>0</v>
      </c>
      <c r="N1354" s="122">
        <f>SUM(E1354+K1354+L1354+M1354)</f>
        <v>129209.24830794845</v>
      </c>
      <c r="O1354" s="122">
        <f>N1354</f>
        <v>129209.24830794845</v>
      </c>
      <c r="P1354" s="336">
        <f t="shared" si="267"/>
        <v>-129209.24830794845</v>
      </c>
      <c r="Q1354" s="336">
        <f t="shared" si="268"/>
        <v>106194.24830794845</v>
      </c>
      <c r="R1354" s="303">
        <f t="shared" si="269"/>
        <v>4.6141320142493356</v>
      </c>
    </row>
    <row r="1355" spans="1:18" x14ac:dyDescent="0.3">
      <c r="A1355" s="2">
        <v>3665</v>
      </c>
      <c r="B1355" s="41" t="s">
        <v>1100</v>
      </c>
      <c r="C1355" s="2">
        <v>5</v>
      </c>
      <c r="D1355" s="2" t="s">
        <v>176</v>
      </c>
      <c r="E1355" s="294">
        <v>48000</v>
      </c>
      <c r="F1355" s="296">
        <v>58300</v>
      </c>
      <c r="G1355" s="352">
        <v>3</v>
      </c>
      <c r="H1355" s="296">
        <f t="shared" si="264"/>
        <v>144000</v>
      </c>
      <c r="I1355" s="122">
        <f t="shared" si="265"/>
        <v>174900</v>
      </c>
      <c r="J1355" s="331">
        <f t="shared" si="266"/>
        <v>30900</v>
      </c>
      <c r="K1355" s="292">
        <f>'09-RESUMEN'!$F$43/1375</f>
        <v>81431.961035221175</v>
      </c>
      <c r="L1355" s="122">
        <f>('ESTADO RESULTADOS'!$C$36+'ESTADO RESULTADOS'!$C$71)/1375</f>
        <v>24762.287272727273</v>
      </c>
      <c r="M1355" s="122">
        <v>0</v>
      </c>
      <c r="N1355" s="122">
        <f>SUM(H1355+K1355+L1355+M1355)</f>
        <v>250194.24830794844</v>
      </c>
      <c r="O1355" s="122">
        <f>N1355/G1355</f>
        <v>83398.082769316141</v>
      </c>
      <c r="P1355" s="336">
        <f t="shared" si="267"/>
        <v>-75294.248307948437</v>
      </c>
      <c r="Q1355" s="336">
        <f t="shared" si="268"/>
        <v>35398.082769316141</v>
      </c>
      <c r="R1355" s="303">
        <f t="shared" si="269"/>
        <v>0.73746005769408629</v>
      </c>
    </row>
    <row r="1356" spans="1:18" x14ac:dyDescent="0.3">
      <c r="A1356" s="2">
        <v>3666</v>
      </c>
      <c r="B1356" s="41" t="s">
        <v>1101</v>
      </c>
      <c r="C1356" s="2">
        <v>5</v>
      </c>
      <c r="D1356" s="2" t="s">
        <v>16</v>
      </c>
      <c r="E1356" s="294">
        <v>61700</v>
      </c>
      <c r="F1356" s="296">
        <v>73083.333333333328</v>
      </c>
      <c r="G1356" s="352">
        <v>7</v>
      </c>
      <c r="H1356" s="296">
        <f t="shared" si="264"/>
        <v>431900</v>
      </c>
      <c r="I1356" s="122">
        <f t="shared" si="265"/>
        <v>511583.33333333331</v>
      </c>
      <c r="J1356" s="331">
        <f t="shared" si="266"/>
        <v>79683.333333333314</v>
      </c>
      <c r="K1356" s="292">
        <f>'09-RESUMEN'!$F$43/1375</f>
        <v>81431.961035221175</v>
      </c>
      <c r="L1356" s="122">
        <f>('ESTADO RESULTADOS'!$C$36+'ESTADO RESULTADOS'!$C$71)/1375</f>
        <v>24762.287272727273</v>
      </c>
      <c r="M1356" s="122">
        <v>0</v>
      </c>
      <c r="N1356" s="122">
        <f>SUM(H1356+K1356+L1356+M1356)</f>
        <v>538094.24830794847</v>
      </c>
      <c r="O1356" s="122">
        <f>N1356/G1356</f>
        <v>76870.606901135499</v>
      </c>
      <c r="P1356" s="336">
        <f t="shared" si="267"/>
        <v>-26510.914974615152</v>
      </c>
      <c r="Q1356" s="336">
        <f t="shared" si="268"/>
        <v>15170.606901135499</v>
      </c>
      <c r="R1356" s="303">
        <f t="shared" si="269"/>
        <v>0.24587693518858184</v>
      </c>
    </row>
    <row r="1357" spans="1:18" x14ac:dyDescent="0.3">
      <c r="A1357" s="2">
        <v>3667</v>
      </c>
      <c r="B1357" s="41" t="s">
        <v>1102</v>
      </c>
      <c r="C1357" s="2">
        <v>5</v>
      </c>
      <c r="D1357" s="2" t="s">
        <v>16</v>
      </c>
      <c r="E1357" s="294">
        <v>142500</v>
      </c>
      <c r="F1357" s="296">
        <v>160100</v>
      </c>
      <c r="G1357" s="352">
        <v>1</v>
      </c>
      <c r="H1357" s="296">
        <f t="shared" si="264"/>
        <v>142500</v>
      </c>
      <c r="I1357" s="122">
        <f t="shared" si="265"/>
        <v>160100</v>
      </c>
      <c r="J1357" s="331">
        <f t="shared" si="266"/>
        <v>17600</v>
      </c>
      <c r="K1357" s="292">
        <f>'09-RESUMEN'!$F$43/1375</f>
        <v>81431.961035221175</v>
      </c>
      <c r="L1357" s="122">
        <f>('ESTADO RESULTADOS'!$C$36+'ESTADO RESULTADOS'!$C$71)/1375</f>
        <v>24762.287272727273</v>
      </c>
      <c r="M1357" s="122">
        <v>0</v>
      </c>
      <c r="N1357" s="122">
        <f>SUM(H1357+K1357+L1357+M1357)</f>
        <v>248694.24830794844</v>
      </c>
      <c r="O1357" s="122">
        <f>N1357/G1357</f>
        <v>248694.24830794844</v>
      </c>
      <c r="P1357" s="336">
        <f t="shared" si="267"/>
        <v>-88594.248307948437</v>
      </c>
      <c r="Q1357" s="336">
        <f t="shared" si="268"/>
        <v>106194.24830794844</v>
      </c>
      <c r="R1357" s="303">
        <f t="shared" si="269"/>
        <v>0.74522279514349776</v>
      </c>
    </row>
    <row r="1358" spans="1:18" x14ac:dyDescent="0.3">
      <c r="A1358" s="2">
        <v>3668</v>
      </c>
      <c r="B1358" s="41" t="s">
        <v>1911</v>
      </c>
      <c r="C1358" s="2">
        <v>5</v>
      </c>
      <c r="D1358" s="2" t="s">
        <v>5</v>
      </c>
      <c r="E1358" s="294">
        <v>22400</v>
      </c>
      <c r="F1358" s="296">
        <v>32100</v>
      </c>
      <c r="G1358" s="352">
        <v>10</v>
      </c>
      <c r="H1358" s="296">
        <f t="shared" si="264"/>
        <v>224000</v>
      </c>
      <c r="I1358" s="122">
        <f t="shared" si="265"/>
        <v>321000</v>
      </c>
      <c r="J1358" s="331">
        <f t="shared" si="266"/>
        <v>97000</v>
      </c>
      <c r="K1358" s="292">
        <f>'09-RESUMEN'!$F$43/1375</f>
        <v>81431.961035221175</v>
      </c>
      <c r="L1358" s="122">
        <f>('ESTADO RESULTADOS'!$C$36+'ESTADO RESULTADOS'!$C$71)/1375</f>
        <v>24762.287272727273</v>
      </c>
      <c r="M1358" s="122">
        <v>0</v>
      </c>
      <c r="N1358" s="122">
        <f>SUM(H1358+K1358+L1358+M1358)</f>
        <v>330194.24830794847</v>
      </c>
      <c r="O1358" s="122">
        <f>N1358/G1358</f>
        <v>33019.424830794844</v>
      </c>
      <c r="P1358" s="336">
        <f t="shared" si="267"/>
        <v>-9194.2483079484664</v>
      </c>
      <c r="Q1358" s="336">
        <f t="shared" si="268"/>
        <v>10619.424830794844</v>
      </c>
      <c r="R1358" s="303">
        <f t="shared" si="269"/>
        <v>0.47408146566048409</v>
      </c>
    </row>
    <row r="1359" spans="1:18" x14ac:dyDescent="0.3">
      <c r="A1359" s="2">
        <v>3670</v>
      </c>
      <c r="B1359" s="41" t="s">
        <v>1103</v>
      </c>
      <c r="C1359" s="2">
        <v>14</v>
      </c>
      <c r="D1359" s="2" t="s">
        <v>81</v>
      </c>
      <c r="E1359" s="294">
        <v>63167</v>
      </c>
      <c r="F1359" s="296">
        <v>76883.333333333328</v>
      </c>
      <c r="G1359" s="352">
        <v>1</v>
      </c>
      <c r="H1359" s="296">
        <f t="shared" si="264"/>
        <v>63167</v>
      </c>
      <c r="I1359" s="122">
        <f t="shared" si="265"/>
        <v>76883.333333333328</v>
      </c>
      <c r="J1359" s="331">
        <f t="shared" si="266"/>
        <v>13716.333333333328</v>
      </c>
      <c r="K1359" s="292">
        <f>'09-RESUMEN'!$F$43/1375</f>
        <v>81431.961035221175</v>
      </c>
      <c r="L1359" s="122">
        <f>('ESTADO RESULTADOS'!$C$36+'ESTADO RESULTADOS'!$C$71)/1375</f>
        <v>24762.287272727273</v>
      </c>
      <c r="M1359" s="122">
        <v>0</v>
      </c>
      <c r="N1359" s="122">
        <f>SUM(H1359+K1359+L1359+M1359)</f>
        <v>169361.24830794844</v>
      </c>
      <c r="O1359" s="122">
        <f>N1359/G1359</f>
        <v>169361.24830794844</v>
      </c>
      <c r="P1359" s="336">
        <f t="shared" si="267"/>
        <v>-92477.914974615109</v>
      </c>
      <c r="Q1359" s="336">
        <f t="shared" si="268"/>
        <v>106194.24830794844</v>
      </c>
      <c r="R1359" s="303">
        <f t="shared" si="269"/>
        <v>1.6811665633629653</v>
      </c>
    </row>
    <row r="1360" spans="1:18" x14ac:dyDescent="0.3">
      <c r="A1360" s="2">
        <v>3671</v>
      </c>
      <c r="B1360" s="41" t="s">
        <v>1104</v>
      </c>
      <c r="C1360" s="2">
        <v>14</v>
      </c>
      <c r="D1360" s="2" t="s">
        <v>12</v>
      </c>
      <c r="E1360" s="294">
        <v>16455.666700000002</v>
      </c>
      <c r="F1360" s="296">
        <v>22500</v>
      </c>
      <c r="G1360" s="352">
        <v>0</v>
      </c>
      <c r="H1360" s="296">
        <f t="shared" si="264"/>
        <v>0</v>
      </c>
      <c r="I1360" s="122">
        <f t="shared" si="265"/>
        <v>0</v>
      </c>
      <c r="J1360" s="331">
        <f t="shared" si="266"/>
        <v>0</v>
      </c>
      <c r="K1360" s="292">
        <f>'09-RESUMEN'!$F$43/1375</f>
        <v>81431.961035221175</v>
      </c>
      <c r="L1360" s="122">
        <f>('ESTADO RESULTADOS'!$C$36+'ESTADO RESULTADOS'!$C$71)/1375</f>
        <v>24762.287272727273</v>
      </c>
      <c r="M1360" s="122">
        <v>0</v>
      </c>
      <c r="N1360" s="122">
        <f>SUM(E1360+K1360+L1360+M1360)</f>
        <v>122649.91500794845</v>
      </c>
      <c r="O1360" s="122">
        <f>N1360</f>
        <v>122649.91500794845</v>
      </c>
      <c r="P1360" s="336">
        <f t="shared" si="267"/>
        <v>-122649.91500794845</v>
      </c>
      <c r="Q1360" s="336">
        <f t="shared" si="268"/>
        <v>106194.24830794845</v>
      </c>
      <c r="R1360" s="303">
        <f t="shared" si="269"/>
        <v>6.4533543516622416</v>
      </c>
    </row>
    <row r="1361" spans="1:18" x14ac:dyDescent="0.3">
      <c r="A1361" s="2">
        <v>3672</v>
      </c>
      <c r="B1361" s="41" t="s">
        <v>1105</v>
      </c>
      <c r="C1361" s="2">
        <v>14</v>
      </c>
      <c r="D1361" s="2" t="s">
        <v>181</v>
      </c>
      <c r="E1361" s="294">
        <v>17239.333299999998</v>
      </c>
      <c r="F1361" s="296">
        <v>21800</v>
      </c>
      <c r="G1361" s="352">
        <v>1</v>
      </c>
      <c r="H1361" s="296">
        <f t="shared" si="264"/>
        <v>17239.333299999998</v>
      </c>
      <c r="I1361" s="122">
        <f t="shared" si="265"/>
        <v>21800</v>
      </c>
      <c r="J1361" s="331">
        <f t="shared" si="266"/>
        <v>4560.6667000000016</v>
      </c>
      <c r="K1361" s="292">
        <f>'09-RESUMEN'!$F$43/1375</f>
        <v>81431.961035221175</v>
      </c>
      <c r="L1361" s="122">
        <f>('ESTADO RESULTADOS'!$C$36+'ESTADO RESULTADOS'!$C$71)/1375</f>
        <v>24762.287272727273</v>
      </c>
      <c r="M1361" s="122">
        <v>0</v>
      </c>
      <c r="N1361" s="122">
        <f>SUM(H1361+K1361+L1361+M1361)</f>
        <v>123433.58160794845</v>
      </c>
      <c r="O1361" s="122">
        <f>N1361/G1361</f>
        <v>123433.58160794845</v>
      </c>
      <c r="P1361" s="336">
        <f t="shared" si="267"/>
        <v>-101633.58160794845</v>
      </c>
      <c r="Q1361" s="336">
        <f t="shared" si="268"/>
        <v>106194.24830794845</v>
      </c>
      <c r="R1361" s="303">
        <f t="shared" si="269"/>
        <v>6.1599974001284874</v>
      </c>
    </row>
    <row r="1362" spans="1:18" x14ac:dyDescent="0.3">
      <c r="A1362" s="2">
        <v>3673</v>
      </c>
      <c r="B1362" s="41" t="s">
        <v>1106</v>
      </c>
      <c r="C1362" s="2">
        <v>14</v>
      </c>
      <c r="D1362" s="2" t="s">
        <v>12</v>
      </c>
      <c r="E1362" s="294">
        <v>19590.333299999998</v>
      </c>
      <c r="F1362" s="296">
        <v>28600</v>
      </c>
      <c r="G1362" s="352">
        <v>1</v>
      </c>
      <c r="H1362" s="296">
        <f t="shared" si="264"/>
        <v>19590.333299999998</v>
      </c>
      <c r="I1362" s="122">
        <f t="shared" si="265"/>
        <v>28600</v>
      </c>
      <c r="J1362" s="331">
        <f t="shared" si="266"/>
        <v>9009.6667000000016</v>
      </c>
      <c r="K1362" s="292">
        <f>'09-RESUMEN'!$F$43/1375</f>
        <v>81431.961035221175</v>
      </c>
      <c r="L1362" s="122">
        <f>('ESTADO RESULTADOS'!$C$36+'ESTADO RESULTADOS'!$C$71)/1375</f>
        <v>24762.287272727273</v>
      </c>
      <c r="M1362" s="122">
        <v>0</v>
      </c>
      <c r="N1362" s="122">
        <f>SUM(H1362+K1362+L1362+M1362)</f>
        <v>125784.58160794845</v>
      </c>
      <c r="O1362" s="122">
        <f>N1362/G1362</f>
        <v>125784.58160794845</v>
      </c>
      <c r="P1362" s="336">
        <f t="shared" si="267"/>
        <v>-97184.58160794845</v>
      </c>
      <c r="Q1362" s="336">
        <f t="shared" si="268"/>
        <v>106194.24830794845</v>
      </c>
      <c r="R1362" s="303">
        <f t="shared" si="269"/>
        <v>5.4207474003491543</v>
      </c>
    </row>
    <row r="1363" spans="1:18" x14ac:dyDescent="0.3">
      <c r="A1363" s="2">
        <v>3674</v>
      </c>
      <c r="B1363" s="41" t="s">
        <v>1107</v>
      </c>
      <c r="C1363" s="2">
        <v>14</v>
      </c>
      <c r="D1363" s="2" t="s">
        <v>12</v>
      </c>
      <c r="E1363" s="294">
        <v>23124.333299999998</v>
      </c>
      <c r="F1363" s="296">
        <v>32600</v>
      </c>
      <c r="G1363" s="352">
        <v>3</v>
      </c>
      <c r="H1363" s="296">
        <f t="shared" si="264"/>
        <v>69372.999899999995</v>
      </c>
      <c r="I1363" s="122">
        <f t="shared" si="265"/>
        <v>97800</v>
      </c>
      <c r="J1363" s="331">
        <f t="shared" si="266"/>
        <v>28427.000100000005</v>
      </c>
      <c r="K1363" s="292">
        <f>'09-RESUMEN'!$F$43/1375</f>
        <v>81431.961035221175</v>
      </c>
      <c r="L1363" s="122">
        <f>('ESTADO RESULTADOS'!$C$36+'ESTADO RESULTADOS'!$C$71)/1375</f>
        <v>24762.287272727273</v>
      </c>
      <c r="M1363" s="122">
        <v>0</v>
      </c>
      <c r="N1363" s="122">
        <f>SUM(H1363+K1363+L1363+M1363)</f>
        <v>175567.24820794843</v>
      </c>
      <c r="O1363" s="122">
        <f>N1363/G1363</f>
        <v>58522.416069316147</v>
      </c>
      <c r="P1363" s="336">
        <f t="shared" si="267"/>
        <v>-77767.248207948433</v>
      </c>
      <c r="Q1363" s="336">
        <f t="shared" si="268"/>
        <v>35398.082769316148</v>
      </c>
      <c r="R1363" s="303">
        <f t="shared" si="269"/>
        <v>1.530772036109519</v>
      </c>
    </row>
    <row r="1364" spans="1:18" x14ac:dyDescent="0.3">
      <c r="A1364" s="2">
        <v>3675</v>
      </c>
      <c r="B1364" s="41" t="s">
        <v>1108</v>
      </c>
      <c r="C1364" s="2">
        <v>14</v>
      </c>
      <c r="D1364" s="2" t="s">
        <v>12</v>
      </c>
      <c r="E1364" s="294">
        <v>70446</v>
      </c>
      <c r="F1364" s="296">
        <v>85383.333333333328</v>
      </c>
      <c r="G1364" s="352">
        <v>1</v>
      </c>
      <c r="H1364" s="296">
        <f t="shared" si="264"/>
        <v>70446</v>
      </c>
      <c r="I1364" s="122">
        <f t="shared" si="265"/>
        <v>85383.333333333328</v>
      </c>
      <c r="J1364" s="331">
        <f t="shared" si="266"/>
        <v>14937.333333333328</v>
      </c>
      <c r="K1364" s="292">
        <f>'09-RESUMEN'!$F$43/1375</f>
        <v>81431.961035221175</v>
      </c>
      <c r="L1364" s="122">
        <f>('ESTADO RESULTADOS'!$C$36+'ESTADO RESULTADOS'!$C$71)/1375</f>
        <v>24762.287272727273</v>
      </c>
      <c r="M1364" s="122">
        <v>0</v>
      </c>
      <c r="N1364" s="122">
        <f>SUM(H1364+K1364+L1364+M1364)</f>
        <v>176640.24830794844</v>
      </c>
      <c r="O1364" s="122">
        <f>N1364/G1364</f>
        <v>176640.24830794844</v>
      </c>
      <c r="P1364" s="336">
        <f t="shared" si="267"/>
        <v>-91256.914974615109</v>
      </c>
      <c r="Q1364" s="336">
        <f t="shared" si="268"/>
        <v>106194.24830794844</v>
      </c>
      <c r="R1364" s="303">
        <f t="shared" si="269"/>
        <v>1.5074560416198002</v>
      </c>
    </row>
    <row r="1365" spans="1:18" x14ac:dyDescent="0.3">
      <c r="A1365" s="2">
        <v>3676</v>
      </c>
      <c r="B1365" s="41" t="s">
        <v>1109</v>
      </c>
      <c r="C1365" s="2">
        <v>12</v>
      </c>
      <c r="D1365" s="2" t="s">
        <v>12</v>
      </c>
      <c r="E1365" s="294">
        <v>13799.24</v>
      </c>
      <c r="F1365" s="296">
        <v>19500</v>
      </c>
      <c r="G1365" s="352">
        <v>0</v>
      </c>
      <c r="H1365" s="296">
        <f t="shared" si="264"/>
        <v>0</v>
      </c>
      <c r="I1365" s="122">
        <f t="shared" si="265"/>
        <v>0</v>
      </c>
      <c r="J1365" s="331">
        <f t="shared" si="266"/>
        <v>0</v>
      </c>
      <c r="K1365" s="292">
        <f>'09-RESUMEN'!$F$43/1375</f>
        <v>81431.961035221175</v>
      </c>
      <c r="L1365" s="122">
        <f>('ESTADO RESULTADOS'!$C$36+'ESTADO RESULTADOS'!$C$71)/1375</f>
        <v>24762.287272727273</v>
      </c>
      <c r="M1365" s="122">
        <v>0</v>
      </c>
      <c r="N1365" s="122">
        <f>SUM(E1365+K1365+L1365+M1365)</f>
        <v>119993.48830794846</v>
      </c>
      <c r="O1365" s="122">
        <f>N1365</f>
        <v>119993.48830794846</v>
      </c>
      <c r="P1365" s="336">
        <f t="shared" si="267"/>
        <v>-119993.48830794846</v>
      </c>
      <c r="Q1365" s="336">
        <f t="shared" si="268"/>
        <v>106194.24830794845</v>
      </c>
      <c r="R1365" s="303">
        <f t="shared" si="269"/>
        <v>7.6956592035466054</v>
      </c>
    </row>
    <row r="1366" spans="1:18" x14ac:dyDescent="0.3">
      <c r="A1366" s="2">
        <v>3677</v>
      </c>
      <c r="B1366" s="41" t="s">
        <v>1110</v>
      </c>
      <c r="C1366" s="2">
        <v>12</v>
      </c>
      <c r="D1366" s="2" t="s">
        <v>12</v>
      </c>
      <c r="E1366" s="294">
        <v>17255</v>
      </c>
      <c r="F1366" s="296">
        <v>21416.666666666668</v>
      </c>
      <c r="G1366" s="352">
        <v>1</v>
      </c>
      <c r="H1366" s="296">
        <f t="shared" si="264"/>
        <v>17255</v>
      </c>
      <c r="I1366" s="122">
        <f t="shared" si="265"/>
        <v>21416.666666666668</v>
      </c>
      <c r="J1366" s="331">
        <f t="shared" si="266"/>
        <v>4161.6666666666679</v>
      </c>
      <c r="K1366" s="292">
        <f>'09-RESUMEN'!$F$43/1375</f>
        <v>81431.961035221175</v>
      </c>
      <c r="L1366" s="122">
        <f>('ESTADO RESULTADOS'!$C$36+'ESTADO RESULTADOS'!$C$71)/1375</f>
        <v>24762.287272727273</v>
      </c>
      <c r="M1366" s="122">
        <v>0</v>
      </c>
      <c r="N1366" s="122">
        <f>SUM(H1366+K1366+L1366+M1366)</f>
        <v>123449.24830794845</v>
      </c>
      <c r="O1366" s="122">
        <f>N1366/G1366</f>
        <v>123449.24830794845</v>
      </c>
      <c r="P1366" s="336">
        <f t="shared" si="267"/>
        <v>-102032.58164128178</v>
      </c>
      <c r="Q1366" s="336">
        <f t="shared" si="268"/>
        <v>106194.24830794845</v>
      </c>
      <c r="R1366" s="303">
        <f t="shared" si="269"/>
        <v>6.1544044223673398</v>
      </c>
    </row>
    <row r="1367" spans="1:18" x14ac:dyDescent="0.3">
      <c r="A1367" s="2">
        <v>3678</v>
      </c>
      <c r="B1367" s="41" t="s">
        <v>1111</v>
      </c>
      <c r="C1367" s="2">
        <v>5</v>
      </c>
      <c r="D1367" s="2" t="s">
        <v>12</v>
      </c>
      <c r="E1367" s="294">
        <v>11527</v>
      </c>
      <c r="F1367" s="296">
        <v>18000</v>
      </c>
      <c r="G1367" s="352">
        <v>27</v>
      </c>
      <c r="H1367" s="296">
        <f t="shared" si="264"/>
        <v>311229</v>
      </c>
      <c r="I1367" s="122">
        <f t="shared" si="265"/>
        <v>486000</v>
      </c>
      <c r="J1367" s="331">
        <f t="shared" si="266"/>
        <v>174771</v>
      </c>
      <c r="K1367" s="292">
        <f>'09-RESUMEN'!$F$43/1375</f>
        <v>81431.961035221175</v>
      </c>
      <c r="L1367" s="122">
        <f>('ESTADO RESULTADOS'!$C$36+'ESTADO RESULTADOS'!$C$71)/1375</f>
        <v>24762.287272727273</v>
      </c>
      <c r="M1367" s="122">
        <v>0</v>
      </c>
      <c r="N1367" s="122">
        <f>SUM(H1367+K1367+L1367+M1367)</f>
        <v>417423.24830794847</v>
      </c>
      <c r="O1367" s="122">
        <f>N1367/G1367</f>
        <v>15460.120307701794</v>
      </c>
      <c r="P1367" s="336">
        <f t="shared" si="267"/>
        <v>68576.751692051534</v>
      </c>
      <c r="Q1367" s="336">
        <f t="shared" si="268"/>
        <v>3933.1203077017944</v>
      </c>
      <c r="R1367" s="303">
        <f t="shared" si="269"/>
        <v>0.34120936129971324</v>
      </c>
    </row>
    <row r="1368" spans="1:18" x14ac:dyDescent="0.3">
      <c r="A1368" s="2">
        <v>3679</v>
      </c>
      <c r="B1368" s="41" t="s">
        <v>1112</v>
      </c>
      <c r="C1368" s="2">
        <v>14</v>
      </c>
      <c r="D1368" s="2" t="s">
        <v>12</v>
      </c>
      <c r="E1368" s="294">
        <v>8047</v>
      </c>
      <c r="F1368" s="296">
        <v>11050</v>
      </c>
      <c r="G1368" s="352">
        <v>2</v>
      </c>
      <c r="H1368" s="296">
        <f t="shared" si="264"/>
        <v>16094</v>
      </c>
      <c r="I1368" s="122">
        <f t="shared" si="265"/>
        <v>22100</v>
      </c>
      <c r="J1368" s="331">
        <f t="shared" si="266"/>
        <v>6006</v>
      </c>
      <c r="K1368" s="292">
        <f>'09-RESUMEN'!$F$43/1375</f>
        <v>81431.961035221175</v>
      </c>
      <c r="L1368" s="122">
        <f>('ESTADO RESULTADOS'!$C$36+'ESTADO RESULTADOS'!$C$71)/1375</f>
        <v>24762.287272727273</v>
      </c>
      <c r="M1368" s="122">
        <v>0</v>
      </c>
      <c r="N1368" s="122">
        <f>SUM(H1368+K1368+L1368+M1368)</f>
        <v>122288.24830794845</v>
      </c>
      <c r="O1368" s="122">
        <f>N1368/G1368</f>
        <v>61144.124153974226</v>
      </c>
      <c r="P1368" s="336">
        <f t="shared" si="267"/>
        <v>-100188.24830794845</v>
      </c>
      <c r="Q1368" s="336">
        <f t="shared" si="268"/>
        <v>53097.124153974226</v>
      </c>
      <c r="R1368" s="303">
        <f t="shared" si="269"/>
        <v>6.5983750657355813</v>
      </c>
    </row>
    <row r="1369" spans="1:18" x14ac:dyDescent="0.3">
      <c r="A1369" s="2">
        <v>3680</v>
      </c>
      <c r="B1369" s="41" t="s">
        <v>1113</v>
      </c>
      <c r="C1369" s="2">
        <v>14</v>
      </c>
      <c r="D1369" s="2" t="s">
        <v>12</v>
      </c>
      <c r="E1369" s="294">
        <v>10417</v>
      </c>
      <c r="F1369" s="296">
        <v>14100</v>
      </c>
      <c r="G1369" s="352">
        <v>1</v>
      </c>
      <c r="H1369" s="296">
        <f t="shared" si="264"/>
        <v>10417</v>
      </c>
      <c r="I1369" s="122">
        <f t="shared" si="265"/>
        <v>14100</v>
      </c>
      <c r="J1369" s="331">
        <f t="shared" si="266"/>
        <v>3683</v>
      </c>
      <c r="K1369" s="292">
        <f>'09-RESUMEN'!$F$43/1375</f>
        <v>81431.961035221175</v>
      </c>
      <c r="L1369" s="122">
        <f>('ESTADO RESULTADOS'!$C$36+'ESTADO RESULTADOS'!$C$71)/1375</f>
        <v>24762.287272727273</v>
      </c>
      <c r="M1369" s="122">
        <v>0</v>
      </c>
      <c r="N1369" s="122">
        <f>SUM(H1369+K1369+L1369+M1369)</f>
        <v>116611.24830794845</v>
      </c>
      <c r="O1369" s="122">
        <f>N1369/G1369</f>
        <v>116611.24830794845</v>
      </c>
      <c r="P1369" s="336">
        <f t="shared" si="267"/>
        <v>-102511.24830794845</v>
      </c>
      <c r="Q1369" s="336">
        <f t="shared" si="268"/>
        <v>106194.24830794845</v>
      </c>
      <c r="R1369" s="303">
        <f t="shared" si="269"/>
        <v>10.194321619271234</v>
      </c>
    </row>
    <row r="1370" spans="1:18" x14ac:dyDescent="0.3">
      <c r="A1370" s="2">
        <v>3681</v>
      </c>
      <c r="B1370" s="41" t="s">
        <v>1114</v>
      </c>
      <c r="C1370" s="2">
        <v>14</v>
      </c>
      <c r="D1370" s="2" t="s">
        <v>12</v>
      </c>
      <c r="E1370" s="294">
        <v>13672</v>
      </c>
      <c r="F1370" s="296">
        <v>18266.666666666668</v>
      </c>
      <c r="G1370" s="352">
        <v>0</v>
      </c>
      <c r="H1370" s="296">
        <f t="shared" si="264"/>
        <v>0</v>
      </c>
      <c r="I1370" s="122">
        <f t="shared" si="265"/>
        <v>0</v>
      </c>
      <c r="J1370" s="331">
        <f t="shared" si="266"/>
        <v>0</v>
      </c>
      <c r="K1370" s="292">
        <f>'09-RESUMEN'!$F$43/1375</f>
        <v>81431.961035221175</v>
      </c>
      <c r="L1370" s="122">
        <f>('ESTADO RESULTADOS'!$C$36+'ESTADO RESULTADOS'!$C$71)/1375</f>
        <v>24762.287272727273</v>
      </c>
      <c r="M1370" s="122">
        <v>0</v>
      </c>
      <c r="N1370" s="122">
        <f>SUM(E1370+K1370+L1370+M1370)</f>
        <v>119866.24830794845</v>
      </c>
      <c r="O1370" s="122">
        <f>N1370</f>
        <v>119866.24830794845</v>
      </c>
      <c r="P1370" s="336">
        <f t="shared" si="267"/>
        <v>-119866.24830794845</v>
      </c>
      <c r="Q1370" s="336">
        <f t="shared" si="268"/>
        <v>106194.24830794845</v>
      </c>
      <c r="R1370" s="303">
        <f t="shared" si="269"/>
        <v>7.7672797182525199</v>
      </c>
    </row>
    <row r="1371" spans="1:18" x14ac:dyDescent="0.3">
      <c r="A1371" s="2">
        <v>3682</v>
      </c>
      <c r="B1371" s="41" t="s">
        <v>1115</v>
      </c>
      <c r="C1371" s="2">
        <v>14</v>
      </c>
      <c r="D1371" s="2" t="s">
        <v>12</v>
      </c>
      <c r="E1371" s="294">
        <v>7513</v>
      </c>
      <c r="F1371" s="296">
        <v>10800</v>
      </c>
      <c r="G1371" s="352">
        <v>2</v>
      </c>
      <c r="H1371" s="296">
        <f t="shared" si="264"/>
        <v>15026</v>
      </c>
      <c r="I1371" s="122">
        <f t="shared" si="265"/>
        <v>21600</v>
      </c>
      <c r="J1371" s="331">
        <f t="shared" si="266"/>
        <v>6574</v>
      </c>
      <c r="K1371" s="292">
        <f>'09-RESUMEN'!$F$43/1375</f>
        <v>81431.961035221175</v>
      </c>
      <c r="L1371" s="122">
        <f>('ESTADO RESULTADOS'!$C$36+'ESTADO RESULTADOS'!$C$71)/1375</f>
        <v>24762.287272727273</v>
      </c>
      <c r="M1371" s="122">
        <v>0</v>
      </c>
      <c r="N1371" s="122">
        <f t="shared" ref="N1371:N1378" si="270">SUM(H1371+K1371+L1371+M1371)</f>
        <v>121220.24830794845</v>
      </c>
      <c r="O1371" s="122">
        <f t="shared" ref="O1371:O1378" si="271">N1371/G1371</f>
        <v>60610.124153974226</v>
      </c>
      <c r="P1371" s="336">
        <f t="shared" si="267"/>
        <v>-99620.248307948452</v>
      </c>
      <c r="Q1371" s="336">
        <f t="shared" si="268"/>
        <v>53097.124153974226</v>
      </c>
      <c r="R1371" s="303">
        <f t="shared" si="269"/>
        <v>7.0673664520130739</v>
      </c>
    </row>
    <row r="1372" spans="1:18" x14ac:dyDescent="0.3">
      <c r="A1372" s="2">
        <v>3683</v>
      </c>
      <c r="B1372" s="41" t="s">
        <v>1116</v>
      </c>
      <c r="C1372" s="2">
        <v>14</v>
      </c>
      <c r="D1372" s="2" t="s">
        <v>12</v>
      </c>
      <c r="E1372" s="294">
        <v>7513</v>
      </c>
      <c r="F1372" s="296">
        <v>10833.333333333334</v>
      </c>
      <c r="G1372" s="352">
        <v>1</v>
      </c>
      <c r="H1372" s="296">
        <f t="shared" si="264"/>
        <v>7513</v>
      </c>
      <c r="I1372" s="122">
        <f t="shared" si="265"/>
        <v>10833.333333333334</v>
      </c>
      <c r="J1372" s="331">
        <f t="shared" si="266"/>
        <v>3320.3333333333339</v>
      </c>
      <c r="K1372" s="292">
        <f>'09-RESUMEN'!$F$43/1375</f>
        <v>81431.961035221175</v>
      </c>
      <c r="L1372" s="122">
        <f>('ESTADO RESULTADOS'!$C$36+'ESTADO RESULTADOS'!$C$71)/1375</f>
        <v>24762.287272727273</v>
      </c>
      <c r="M1372" s="122">
        <v>0</v>
      </c>
      <c r="N1372" s="122">
        <f t="shared" si="270"/>
        <v>113707.24830794845</v>
      </c>
      <c r="O1372" s="122">
        <f t="shared" si="271"/>
        <v>113707.24830794845</v>
      </c>
      <c r="P1372" s="336">
        <f t="shared" si="267"/>
        <v>-102873.91497461512</v>
      </c>
      <c r="Q1372" s="336">
        <f t="shared" si="268"/>
        <v>106194.24830794845</v>
      </c>
      <c r="R1372" s="303">
        <f t="shared" si="269"/>
        <v>14.134732904026148</v>
      </c>
    </row>
    <row r="1373" spans="1:18" x14ac:dyDescent="0.3">
      <c r="A1373" s="2">
        <v>3684</v>
      </c>
      <c r="B1373" s="41" t="s">
        <v>1912</v>
      </c>
      <c r="C1373" s="2">
        <v>14</v>
      </c>
      <c r="D1373" s="2" t="s">
        <v>12</v>
      </c>
      <c r="E1373" s="294">
        <v>109873</v>
      </c>
      <c r="F1373" s="296">
        <v>119000</v>
      </c>
      <c r="G1373" s="352">
        <v>1</v>
      </c>
      <c r="H1373" s="296">
        <f t="shared" si="264"/>
        <v>109873</v>
      </c>
      <c r="I1373" s="122">
        <f t="shared" si="265"/>
        <v>119000</v>
      </c>
      <c r="J1373" s="331">
        <f t="shared" si="266"/>
        <v>9127</v>
      </c>
      <c r="K1373" s="292">
        <f>'09-RESUMEN'!$F$43/1375</f>
        <v>81431.961035221175</v>
      </c>
      <c r="L1373" s="122">
        <f>('ESTADO RESULTADOS'!$C$36+'ESTADO RESULTADOS'!$C$71)/1375</f>
        <v>24762.287272727273</v>
      </c>
      <c r="M1373" s="122">
        <v>0</v>
      </c>
      <c r="N1373" s="122">
        <f t="shared" si="270"/>
        <v>216067.24830794844</v>
      </c>
      <c r="O1373" s="122">
        <f t="shared" si="271"/>
        <v>216067.24830794844</v>
      </c>
      <c r="P1373" s="336">
        <f t="shared" si="267"/>
        <v>-97067.248307948437</v>
      </c>
      <c r="Q1373" s="336">
        <f t="shared" si="268"/>
        <v>106194.24830794844</v>
      </c>
      <c r="R1373" s="303">
        <f t="shared" si="269"/>
        <v>0.96651814647773737</v>
      </c>
    </row>
    <row r="1374" spans="1:18" x14ac:dyDescent="0.3">
      <c r="A1374" s="2">
        <v>3685</v>
      </c>
      <c r="B1374" s="41" t="s">
        <v>1117</v>
      </c>
      <c r="C1374" s="2">
        <v>14</v>
      </c>
      <c r="D1374" s="2" t="s">
        <v>12</v>
      </c>
      <c r="E1374" s="294">
        <v>32745</v>
      </c>
      <c r="F1374" s="296">
        <v>38183.333333333336</v>
      </c>
      <c r="G1374" s="352">
        <v>2</v>
      </c>
      <c r="H1374" s="296">
        <f t="shared" si="264"/>
        <v>65490</v>
      </c>
      <c r="I1374" s="122">
        <f t="shared" si="265"/>
        <v>76366.666666666672</v>
      </c>
      <c r="J1374" s="331">
        <f t="shared" si="266"/>
        <v>10876.666666666672</v>
      </c>
      <c r="K1374" s="292">
        <f>'09-RESUMEN'!$F$43/1375</f>
        <v>81431.961035221175</v>
      </c>
      <c r="L1374" s="122">
        <f>('ESTADO RESULTADOS'!$C$36+'ESTADO RESULTADOS'!$C$71)/1375</f>
        <v>24762.287272727273</v>
      </c>
      <c r="M1374" s="122">
        <v>0</v>
      </c>
      <c r="N1374" s="122">
        <f t="shared" si="270"/>
        <v>171684.24830794844</v>
      </c>
      <c r="O1374" s="122">
        <f t="shared" si="271"/>
        <v>85842.124153974219</v>
      </c>
      <c r="P1374" s="336">
        <f t="shared" si="267"/>
        <v>-95317.581641281766</v>
      </c>
      <c r="Q1374" s="336">
        <f t="shared" si="268"/>
        <v>53097.124153974219</v>
      </c>
      <c r="R1374" s="303">
        <f t="shared" si="269"/>
        <v>1.6215337961207579</v>
      </c>
    </row>
    <row r="1375" spans="1:18" x14ac:dyDescent="0.3">
      <c r="A1375" s="2">
        <v>3686</v>
      </c>
      <c r="B1375" s="41" t="s">
        <v>1118</v>
      </c>
      <c r="C1375" s="2">
        <v>4</v>
      </c>
      <c r="D1375" s="2" t="s">
        <v>12</v>
      </c>
      <c r="E1375" s="294">
        <v>90900</v>
      </c>
      <c r="F1375" s="296">
        <v>122000</v>
      </c>
      <c r="G1375" s="352">
        <v>1</v>
      </c>
      <c r="H1375" s="296">
        <f t="shared" si="264"/>
        <v>90900</v>
      </c>
      <c r="I1375" s="122">
        <f t="shared" si="265"/>
        <v>122000</v>
      </c>
      <c r="J1375" s="331">
        <f t="shared" si="266"/>
        <v>31100</v>
      </c>
      <c r="K1375" s="292">
        <f>'09-RESUMEN'!$F$43/1375</f>
        <v>81431.961035221175</v>
      </c>
      <c r="L1375" s="122">
        <f>('ESTADO RESULTADOS'!$C$36+'ESTADO RESULTADOS'!$C$71)/1375</f>
        <v>24762.287272727273</v>
      </c>
      <c r="M1375" s="122">
        <v>0</v>
      </c>
      <c r="N1375" s="122">
        <f t="shared" si="270"/>
        <v>197094.24830794844</v>
      </c>
      <c r="O1375" s="122">
        <f t="shared" si="271"/>
        <v>197094.24830794844</v>
      </c>
      <c r="P1375" s="336">
        <f t="shared" si="267"/>
        <v>-75094.248307948437</v>
      </c>
      <c r="Q1375" s="336">
        <f t="shared" si="268"/>
        <v>106194.24830794844</v>
      </c>
      <c r="R1375" s="303">
        <f t="shared" si="269"/>
        <v>1.1682535567431072</v>
      </c>
    </row>
    <row r="1376" spans="1:18" x14ac:dyDescent="0.3">
      <c r="A1376" s="2">
        <v>3687</v>
      </c>
      <c r="B1376" s="41" t="s">
        <v>1119</v>
      </c>
      <c r="C1376" s="2">
        <v>8</v>
      </c>
      <c r="D1376" s="2" t="s">
        <v>12</v>
      </c>
      <c r="E1376" s="294">
        <v>65000</v>
      </c>
      <c r="F1376" s="296">
        <v>77000</v>
      </c>
      <c r="G1376" s="352">
        <v>10</v>
      </c>
      <c r="H1376" s="296">
        <f t="shared" si="264"/>
        <v>650000</v>
      </c>
      <c r="I1376" s="122">
        <f t="shared" si="265"/>
        <v>770000</v>
      </c>
      <c r="J1376" s="331">
        <f t="shared" si="266"/>
        <v>120000</v>
      </c>
      <c r="K1376" s="292">
        <f>'09-RESUMEN'!$F$43/1375</f>
        <v>81431.961035221175</v>
      </c>
      <c r="L1376" s="122">
        <f>('ESTADO RESULTADOS'!$C$36+'ESTADO RESULTADOS'!$C$71)/1375</f>
        <v>24762.287272727273</v>
      </c>
      <c r="M1376" s="122">
        <v>0</v>
      </c>
      <c r="N1376" s="122">
        <f t="shared" si="270"/>
        <v>756194.24830794835</v>
      </c>
      <c r="O1376" s="122">
        <f t="shared" si="271"/>
        <v>75619.424830794829</v>
      </c>
      <c r="P1376" s="336">
        <f t="shared" si="267"/>
        <v>13805.75169205165</v>
      </c>
      <c r="Q1376" s="336">
        <f t="shared" si="268"/>
        <v>10619.424830794829</v>
      </c>
      <c r="R1376" s="303">
        <f t="shared" si="269"/>
        <v>0.16337576662761275</v>
      </c>
    </row>
    <row r="1377" spans="1:18" x14ac:dyDescent="0.3">
      <c r="A1377" s="2">
        <v>3688</v>
      </c>
      <c r="B1377" s="41" t="s">
        <v>1120</v>
      </c>
      <c r="C1377" s="2">
        <v>4</v>
      </c>
      <c r="D1377" s="2" t="s">
        <v>12</v>
      </c>
      <c r="E1377" s="294">
        <v>76500</v>
      </c>
      <c r="F1377" s="296">
        <v>92000</v>
      </c>
      <c r="G1377" s="352">
        <v>4</v>
      </c>
      <c r="H1377" s="296">
        <f t="shared" si="264"/>
        <v>306000</v>
      </c>
      <c r="I1377" s="122">
        <f t="shared" si="265"/>
        <v>368000</v>
      </c>
      <c r="J1377" s="331">
        <f t="shared" si="266"/>
        <v>62000</v>
      </c>
      <c r="K1377" s="292">
        <f>'09-RESUMEN'!$F$43/1375</f>
        <v>81431.961035221175</v>
      </c>
      <c r="L1377" s="122">
        <f>('ESTADO RESULTADOS'!$C$36+'ESTADO RESULTADOS'!$C$71)/1375</f>
        <v>24762.287272727273</v>
      </c>
      <c r="M1377" s="122">
        <v>0</v>
      </c>
      <c r="N1377" s="122">
        <f t="shared" si="270"/>
        <v>412194.24830794847</v>
      </c>
      <c r="O1377" s="122">
        <f t="shared" si="271"/>
        <v>103048.56207698712</v>
      </c>
      <c r="P1377" s="336">
        <f t="shared" si="267"/>
        <v>-44194.248307948466</v>
      </c>
      <c r="Q1377" s="336">
        <f t="shared" si="268"/>
        <v>26548.562076987117</v>
      </c>
      <c r="R1377" s="303">
        <f t="shared" si="269"/>
        <v>0.34704002715015841</v>
      </c>
    </row>
    <row r="1378" spans="1:18" x14ac:dyDescent="0.3">
      <c r="A1378" s="2">
        <v>3689</v>
      </c>
      <c r="B1378" s="41" t="s">
        <v>1121</v>
      </c>
      <c r="C1378" s="2">
        <v>9</v>
      </c>
      <c r="D1378" s="2" t="s">
        <v>12</v>
      </c>
      <c r="E1378" s="294">
        <v>20951.14</v>
      </c>
      <c r="F1378" s="296">
        <v>23666.666666666668</v>
      </c>
      <c r="G1378" s="352">
        <v>8</v>
      </c>
      <c r="H1378" s="296">
        <f t="shared" si="264"/>
        <v>167609.12</v>
      </c>
      <c r="I1378" s="122">
        <f t="shared" si="265"/>
        <v>189333.33333333334</v>
      </c>
      <c r="J1378" s="331">
        <f t="shared" si="266"/>
        <v>21724.213333333348</v>
      </c>
      <c r="K1378" s="292">
        <f>'09-RESUMEN'!$F$43/1375</f>
        <v>81431.961035221175</v>
      </c>
      <c r="L1378" s="122">
        <f>('ESTADO RESULTADOS'!$C$36+'ESTADO RESULTADOS'!$C$71)/1375</f>
        <v>24762.287272727273</v>
      </c>
      <c r="M1378" s="122">
        <v>0</v>
      </c>
      <c r="N1378" s="122">
        <f t="shared" si="270"/>
        <v>273803.36830794846</v>
      </c>
      <c r="O1378" s="122">
        <f t="shared" si="271"/>
        <v>34225.421038493558</v>
      </c>
      <c r="P1378" s="336">
        <f t="shared" si="267"/>
        <v>-84470.034974615119</v>
      </c>
      <c r="Q1378" s="336">
        <f t="shared" si="268"/>
        <v>13274.281038493558</v>
      </c>
      <c r="R1378" s="303">
        <f t="shared" si="269"/>
        <v>0.6335827567613771</v>
      </c>
    </row>
    <row r="1379" spans="1:18" x14ac:dyDescent="0.3">
      <c r="D1379" s="300" t="s">
        <v>1157</v>
      </c>
      <c r="E1379" s="301">
        <f>SUM(E$4:$E$1378)</f>
        <v>65725915.712799981</v>
      </c>
      <c r="F1379" s="301">
        <f>SUM(F$4:$F$1378)</f>
        <v>76227005.333333328</v>
      </c>
      <c r="G1379" s="355">
        <f ca="1">SUM(G$3:G1379)</f>
        <v>64001.999999970198</v>
      </c>
      <c r="H1379" s="301">
        <f>SUM(H$4:$H$1378)</f>
        <v>1602407461.7245145</v>
      </c>
      <c r="I1379" s="301">
        <f>SUM(I$4:$I$1378)</f>
        <v>1809917162.3259408</v>
      </c>
      <c r="J1379" s="330">
        <f>SUM(J4:J1378)</f>
        <v>207509700.60142761</v>
      </c>
      <c r="K1379" s="301">
        <f>SUM(K$4:$K$1378)</f>
        <v>115404433.30480079</v>
      </c>
      <c r="L1379" s="301">
        <f>SUM(L$4:$L$1378)</f>
        <v>34048145.000001103</v>
      </c>
      <c r="M1379" s="301">
        <f>SUM(M$4:$M$1378)</f>
        <v>1698785.882352941</v>
      </c>
      <c r="N1379" s="301">
        <f>SUM(N$4:$N$1378)</f>
        <v>1765767416.8776624</v>
      </c>
      <c r="O1379" s="301">
        <f>SUM(O$4:$O$1378)</f>
        <v>118125391.87414797</v>
      </c>
      <c r="P1379" s="336">
        <f>SUM(P$4:$P$1378)</f>
        <v>44495939.696582153</v>
      </c>
      <c r="Q1379" s="336"/>
      <c r="R1379" s="336"/>
    </row>
    <row r="1380" spans="1:18" x14ac:dyDescent="0.3">
      <c r="H1380" s="257"/>
      <c r="I1380" s="257"/>
      <c r="J1380" s="257"/>
    </row>
  </sheetData>
  <autoFilter ref="A3:P1379" xr:uid="{0CE40CD6-73D8-45EB-98E8-CF5467495374}">
    <sortState xmlns:xlrd2="http://schemas.microsoft.com/office/spreadsheetml/2017/richdata2" ref="A4:P1379">
      <sortCondition ref="A3:A1379"/>
    </sortState>
  </autoFilter>
  <mergeCells count="4">
    <mergeCell ref="A1:P2"/>
    <mergeCell ref="U26:V26"/>
    <mergeCell ref="U45:V45"/>
    <mergeCell ref="U6:V6"/>
  </mergeCells>
  <conditionalFormatting sqref="P4:R1379">
    <cfRule type="cellIs" dxfId="48" priority="2" operator="lessThan">
      <formula>0</formula>
    </cfRule>
  </conditionalFormatting>
  <conditionalFormatting sqref="V7:V21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2FCF-B852-46A2-89DE-560C58E64D2E}">
  <dimension ref="N1:Q150"/>
  <sheetViews>
    <sheetView showGridLines="0" showRowColHeaders="0" tabSelected="1" topLeftCell="B26" zoomScale="115" zoomScaleNormal="115" workbookViewId="0">
      <selection activeCell="O157" sqref="O157"/>
    </sheetView>
  </sheetViews>
  <sheetFormatPr baseColWidth="10" defaultRowHeight="14.4" x14ac:dyDescent="0.3"/>
  <cols>
    <col min="13" max="13" width="15.77734375" customWidth="1"/>
    <col min="15" max="15" width="35.6640625" customWidth="1"/>
    <col min="16" max="16" width="17.44140625" customWidth="1"/>
    <col min="17" max="17" width="15.77734375" customWidth="1"/>
  </cols>
  <sheetData>
    <row r="1" spans="14:15" x14ac:dyDescent="0.3">
      <c r="N1" s="17" t="s">
        <v>1970</v>
      </c>
    </row>
    <row r="2" spans="14:15" x14ac:dyDescent="0.3">
      <c r="N2" s="328" t="s">
        <v>1960</v>
      </c>
      <c r="O2" s="328" t="s">
        <v>1150</v>
      </c>
    </row>
    <row r="3" spans="14:15" x14ac:dyDescent="0.3">
      <c r="N3" s="2" t="s">
        <v>1252</v>
      </c>
      <c r="O3" s="2" t="str">
        <f>LOOKUP(N3,'01-ACTIVIDADES'!D4:D43,'01-ACTIVIDADES'!E4:E43)</f>
        <v>Venta de mercancia</v>
      </c>
    </row>
    <row r="21" spans="14:15" x14ac:dyDescent="0.3">
      <c r="N21" s="17" t="s">
        <v>1970</v>
      </c>
    </row>
    <row r="22" spans="14:15" x14ac:dyDescent="0.3">
      <c r="N22" s="328" t="s">
        <v>1960</v>
      </c>
      <c r="O22" s="328" t="s">
        <v>1540</v>
      </c>
    </row>
    <row r="23" spans="14:15" x14ac:dyDescent="0.3">
      <c r="N23" s="2" t="s">
        <v>1190</v>
      </c>
      <c r="O23" s="2" t="str">
        <f>LOOKUP(N23,'01-ACTIVIDADES'!B4:B43,'01-ACTIVIDADES'!C4:C43)</f>
        <v>ADMINISTRACION</v>
      </c>
    </row>
    <row r="41" spans="14:15" x14ac:dyDescent="0.3">
      <c r="N41" s="17" t="s">
        <v>1970</v>
      </c>
    </row>
    <row r="42" spans="14:15" x14ac:dyDescent="0.3">
      <c r="N42" s="328" t="s">
        <v>1960</v>
      </c>
      <c r="O42" s="328" t="s">
        <v>1963</v>
      </c>
    </row>
    <row r="43" spans="14:15" x14ac:dyDescent="0.3">
      <c r="N43" s="2">
        <v>14</v>
      </c>
      <c r="O43" s="2" t="str">
        <f>LOOKUP(N43,'03-INVENTARIO'!$K$9:$K$22,'03-INVENTARIO'!$L$9:$L$22)</f>
        <v xml:space="preserve">Medicamentos </v>
      </c>
    </row>
    <row r="69" spans="14:15" x14ac:dyDescent="0.3">
      <c r="N69" s="17" t="s">
        <v>1970</v>
      </c>
    </row>
    <row r="70" spans="14:15" x14ac:dyDescent="0.3">
      <c r="N70" s="328" t="s">
        <v>1960</v>
      </c>
      <c r="O70" s="328" t="s">
        <v>1963</v>
      </c>
    </row>
    <row r="71" spans="14:15" x14ac:dyDescent="0.3">
      <c r="N71" s="2">
        <v>2</v>
      </c>
      <c r="O71" s="2" t="str">
        <f>LOOKUP('11-GRAFICAS'!$N$71,'03-INVENTARIO'!$K$9:$K$22,'03-INVENTARIO'!$L$9:$L$22)</f>
        <v>Concentrados</v>
      </c>
    </row>
    <row r="91" spans="14:17" x14ac:dyDescent="0.3">
      <c r="N91" s="17" t="s">
        <v>1970</v>
      </c>
    </row>
    <row r="92" spans="14:17" x14ac:dyDescent="0.3">
      <c r="N92" s="328" t="s">
        <v>1960</v>
      </c>
      <c r="O92" s="328" t="s">
        <v>1962</v>
      </c>
      <c r="P92" s="328" t="s">
        <v>1961</v>
      </c>
      <c r="Q92" s="328" t="s">
        <v>1966</v>
      </c>
    </row>
    <row r="93" spans="14:17" x14ac:dyDescent="0.3">
      <c r="N93" s="2">
        <v>207</v>
      </c>
      <c r="O93" s="2" t="str">
        <f>LOOKUP('11-GRAFICAS'!N93,'03-INVENTARIO'!B5:B1379,'03-INVENTARIO'!C5:C1379)</f>
        <v>F CERDO LEVANTE 25-30  X 40kl</v>
      </c>
      <c r="P93" s="2">
        <f>LOOKUP('11-GRAFICAS'!N93,'03-INVENTARIO'!B5:B1379,'03-INVENTARIO'!D5:D1379)</f>
        <v>2</v>
      </c>
      <c r="Q93" s="2" t="str">
        <f>LOOKUP(P93,'03-INVENTARIO'!$K$9:$K$22,'03-INVENTARIO'!$L$9:$L$22)</f>
        <v>Concentrados</v>
      </c>
    </row>
    <row r="117" spans="14:17" x14ac:dyDescent="0.3">
      <c r="N117" s="17" t="s">
        <v>1970</v>
      </c>
    </row>
    <row r="118" spans="14:17" x14ac:dyDescent="0.3">
      <c r="N118" s="328" t="s">
        <v>1960</v>
      </c>
      <c r="O118" s="328" t="s">
        <v>1962</v>
      </c>
      <c r="P118" s="328" t="s">
        <v>1961</v>
      </c>
      <c r="Q118" s="328" t="s">
        <v>1966</v>
      </c>
    </row>
    <row r="119" spans="14:17" x14ac:dyDescent="0.3">
      <c r="N119" s="2">
        <v>1230</v>
      </c>
      <c r="O119" s="2" t="str">
        <f>LOOKUP('11-GRAFICAS'!N119,'03-INVENTARIO'!B31:B1405,'03-INVENTARIO'!C31:C1405)</f>
        <v>JERINGA DESECH. X 20</v>
      </c>
      <c r="P119" s="2">
        <f>LOOKUP('11-GRAFICAS'!N119,'03-INVENTARIO'!B31:B1405,'03-INVENTARIO'!D31:D1405)</f>
        <v>16</v>
      </c>
      <c r="Q119" s="2" t="str">
        <f>LOOKUP(P119,'03-INVENTARIO'!$K$9:$K$22,'03-INVENTARIO'!$L$9:$L$22)</f>
        <v xml:space="preserve">Instrumental </v>
      </c>
    </row>
    <row r="148" spans="14:17" x14ac:dyDescent="0.3">
      <c r="N148" s="17" t="s">
        <v>1970</v>
      </c>
    </row>
    <row r="149" spans="14:17" x14ac:dyDescent="0.3">
      <c r="N149" s="328" t="s">
        <v>1960</v>
      </c>
      <c r="O149" s="328" t="s">
        <v>1962</v>
      </c>
      <c r="P149" s="328" t="s">
        <v>1961</v>
      </c>
      <c r="Q149" s="328" t="s">
        <v>1966</v>
      </c>
    </row>
    <row r="150" spans="14:17" x14ac:dyDescent="0.3">
      <c r="N150" s="2">
        <v>8</v>
      </c>
      <c r="O150" s="2" t="str">
        <f>LOOKUP(N150,'03-INVENTARIO'!B5:B1379,'03-INVENTARIO'!C5:C1379)</f>
        <v>RCA-346 LANZA FLEXIBLE</v>
      </c>
      <c r="P150" s="2">
        <f>LOOKUP(N150,'03-INVENTARIO'!B5:B1379,'03-INVENTARIO'!D5:D1379)</f>
        <v>12</v>
      </c>
      <c r="Q150" s="2" t="str">
        <f>LOOKUP(P150,'03-INVENTARIO'!$K$9:$K$22,'03-INVENTARIO'!$L$9:$L$22)</f>
        <v>Royal cóndor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0452-9109-4FB4-BA41-855C4367C09C}">
  <dimension ref="A1:AB88"/>
  <sheetViews>
    <sheetView showGridLines="0" zoomScaleNormal="100" workbookViewId="0">
      <pane ySplit="1" topLeftCell="A2" activePane="bottomLeft" state="frozen"/>
      <selection pane="bottomLeft" activeCell="E9" sqref="E9"/>
    </sheetView>
  </sheetViews>
  <sheetFormatPr baseColWidth="10" defaultRowHeight="14.4" x14ac:dyDescent="0.3"/>
  <cols>
    <col min="1" max="1" width="23.5546875" customWidth="1"/>
    <col min="2" max="2" width="36.77734375" customWidth="1"/>
    <col min="4" max="4" width="18.88671875" customWidth="1"/>
    <col min="5" max="5" width="25" customWidth="1"/>
    <col min="6" max="6" width="18.109375" customWidth="1"/>
    <col min="7" max="7" width="17.109375" customWidth="1"/>
  </cols>
  <sheetData>
    <row r="1" spans="1:28" ht="78.599999999999994" customHeight="1" x14ac:dyDescent="0.3">
      <c r="A1" s="358" t="s">
        <v>1183</v>
      </c>
      <c r="B1" s="358" t="s">
        <v>1184</v>
      </c>
      <c r="C1" s="358" t="s">
        <v>1182</v>
      </c>
      <c r="D1" s="358" t="s">
        <v>1976</v>
      </c>
      <c r="E1" s="358" t="s">
        <v>1977</v>
      </c>
      <c r="F1" s="358" t="s">
        <v>1978</v>
      </c>
      <c r="G1" s="358" t="s">
        <v>1979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x14ac:dyDescent="0.3">
      <c r="A2" s="263">
        <v>621</v>
      </c>
      <c r="B2" s="41" t="s">
        <v>305</v>
      </c>
      <c r="C2" s="263">
        <v>1</v>
      </c>
      <c r="D2" s="359">
        <v>4580.54</v>
      </c>
      <c r="E2" s="359">
        <v>5643.2472552950221</v>
      </c>
      <c r="F2" s="360">
        <v>1062.7072552950222</v>
      </c>
      <c r="G2" s="361">
        <v>0.23200479753370173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x14ac:dyDescent="0.3">
      <c r="A3" s="263">
        <v>3</v>
      </c>
      <c r="B3" s="41" t="s">
        <v>4</v>
      </c>
      <c r="C3" s="263">
        <v>1</v>
      </c>
      <c r="D3" s="359">
        <v>4900</v>
      </c>
      <c r="E3" s="359">
        <v>6641.4110485926822</v>
      </c>
      <c r="F3" s="360">
        <v>1741.4110485926822</v>
      </c>
      <c r="G3" s="361">
        <v>0.35539000991687392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x14ac:dyDescent="0.3">
      <c r="A4" s="263">
        <v>1123</v>
      </c>
      <c r="B4" s="41" t="s">
        <v>480</v>
      </c>
      <c r="C4" s="263">
        <v>1</v>
      </c>
      <c r="D4" s="359">
        <v>4300</v>
      </c>
      <c r="E4" s="359">
        <v>6321.735753975895</v>
      </c>
      <c r="F4" s="360">
        <v>2021.735753975895</v>
      </c>
      <c r="G4" s="361">
        <v>0.47017110557578956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x14ac:dyDescent="0.3">
      <c r="A5" s="263">
        <v>974</v>
      </c>
      <c r="B5" s="41" t="s">
        <v>426</v>
      </c>
      <c r="C5" s="263">
        <v>2</v>
      </c>
      <c r="D5" s="359">
        <v>2291.66</v>
      </c>
      <c r="E5" s="359">
        <v>2352.3077717349788</v>
      </c>
      <c r="F5" s="360">
        <v>60.64777173497896</v>
      </c>
      <c r="G5" s="361">
        <v>2.6464559199435765E-2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x14ac:dyDescent="0.3">
      <c r="A6" s="263">
        <v>702</v>
      </c>
      <c r="B6" s="41" t="s">
        <v>332</v>
      </c>
      <c r="C6" s="263">
        <v>2</v>
      </c>
      <c r="D6" s="359">
        <v>2353.8000000000002</v>
      </c>
      <c r="E6" s="359">
        <v>2871.2230081960779</v>
      </c>
      <c r="F6" s="360">
        <v>517.42300819607772</v>
      </c>
      <c r="G6" s="361">
        <v>0.21982454252531128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x14ac:dyDescent="0.3">
      <c r="A7" s="263">
        <v>715</v>
      </c>
      <c r="B7" s="41" t="s">
        <v>339</v>
      </c>
      <c r="C7" s="263">
        <v>2</v>
      </c>
      <c r="D7" s="359">
        <v>4187</v>
      </c>
      <c r="E7" s="359">
        <v>5013.4925252493285</v>
      </c>
      <c r="F7" s="360">
        <v>826.49252524932854</v>
      </c>
      <c r="G7" s="361">
        <v>0.19739491885582244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x14ac:dyDescent="0.3">
      <c r="A8" s="263">
        <v>171</v>
      </c>
      <c r="B8" s="41" t="s">
        <v>98</v>
      </c>
      <c r="C8" s="263">
        <v>4</v>
      </c>
      <c r="D8" s="359">
        <v>19558</v>
      </c>
      <c r="E8" s="359">
        <v>21640.240162900951</v>
      </c>
      <c r="F8" s="360">
        <v>2082.240162900951</v>
      </c>
      <c r="G8" s="361">
        <v>0.10646488203808932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28" x14ac:dyDescent="0.3">
      <c r="A9" s="263">
        <v>3425</v>
      </c>
      <c r="B9" s="41" t="s">
        <v>935</v>
      </c>
      <c r="C9" s="263">
        <v>4</v>
      </c>
      <c r="D9" s="359">
        <v>16800</v>
      </c>
      <c r="E9" s="359">
        <v>20461.870631308564</v>
      </c>
      <c r="F9" s="360">
        <v>3661.870631308564</v>
      </c>
      <c r="G9" s="361">
        <v>0.2179684899588431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1:28" x14ac:dyDescent="0.3">
      <c r="A10" s="263">
        <v>3524</v>
      </c>
      <c r="B10" s="41" t="s">
        <v>995</v>
      </c>
      <c r="C10" s="263">
        <v>4</v>
      </c>
      <c r="D10" s="359">
        <v>16500</v>
      </c>
      <c r="E10" s="359">
        <v>24085.303450567746</v>
      </c>
      <c r="F10" s="360">
        <v>7585.303450567746</v>
      </c>
      <c r="G10" s="361">
        <v>0.45971536064046947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28" x14ac:dyDescent="0.3">
      <c r="A11" s="263">
        <v>3168</v>
      </c>
      <c r="B11" s="41" t="s">
        <v>769</v>
      </c>
      <c r="C11" s="263">
        <v>5</v>
      </c>
      <c r="D11" s="359">
        <v>4950</v>
      </c>
      <c r="E11" s="359">
        <v>5556.8242760454195</v>
      </c>
      <c r="F11" s="360">
        <v>606.82427604541954</v>
      </c>
      <c r="G11" s="361">
        <v>0.1225907628374585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x14ac:dyDescent="0.3">
      <c r="A12" s="263">
        <v>407</v>
      </c>
      <c r="B12" s="41" t="s">
        <v>210</v>
      </c>
      <c r="C12" s="263">
        <v>5</v>
      </c>
      <c r="D12" s="359">
        <v>6551.82</v>
      </c>
      <c r="E12" s="359">
        <v>7459.463147931182</v>
      </c>
      <c r="F12" s="360">
        <v>907.64314793118228</v>
      </c>
      <c r="G12" s="361">
        <v>0.13853297983326501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28" x14ac:dyDescent="0.3">
      <c r="A13" s="263">
        <v>3426</v>
      </c>
      <c r="B13" s="41" t="s">
        <v>936</v>
      </c>
      <c r="C13" s="263">
        <v>5</v>
      </c>
      <c r="D13" s="359">
        <v>981</v>
      </c>
      <c r="E13" s="359">
        <v>3450.633681580196</v>
      </c>
      <c r="F13" s="360">
        <v>2469.633681580196</v>
      </c>
      <c r="G13" s="361">
        <v>2.5174655265853172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28" x14ac:dyDescent="0.3">
      <c r="A14" s="263">
        <v>166</v>
      </c>
      <c r="B14" s="41" t="s">
        <v>92</v>
      </c>
      <c r="C14" s="263">
        <v>6</v>
      </c>
      <c r="D14" s="359">
        <v>385.28530000000001</v>
      </c>
      <c r="E14" s="359">
        <v>750.21398834346542</v>
      </c>
      <c r="F14" s="360">
        <v>364.92868834346541</v>
      </c>
      <c r="G14" s="361">
        <v>0.94716483692335374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</row>
    <row r="15" spans="1:28" x14ac:dyDescent="0.3">
      <c r="A15" s="263">
        <v>197</v>
      </c>
      <c r="B15" s="41" t="s">
        <v>1607</v>
      </c>
      <c r="C15" s="263">
        <v>6</v>
      </c>
      <c r="D15" s="359">
        <v>12800</v>
      </c>
      <c r="E15" s="359">
        <v>15834.121380227096</v>
      </c>
      <c r="F15" s="360">
        <v>3034.1213802270959</v>
      </c>
      <c r="G15" s="361">
        <v>0.23704073283024185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  <row r="16" spans="1:28" x14ac:dyDescent="0.3">
      <c r="A16" s="263">
        <v>1134</v>
      </c>
      <c r="B16" s="41" t="s">
        <v>482</v>
      </c>
      <c r="C16" s="263">
        <v>6</v>
      </c>
      <c r="D16" s="359">
        <v>6000</v>
      </c>
      <c r="E16" s="359">
        <v>10084.394165690326</v>
      </c>
      <c r="F16" s="360">
        <v>4084.3941656903262</v>
      </c>
      <c r="G16" s="361">
        <v>0.68073236094838774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</row>
    <row r="17" spans="1:28" x14ac:dyDescent="0.3">
      <c r="A17" s="263">
        <v>998</v>
      </c>
      <c r="B17" s="41" t="s">
        <v>1695</v>
      </c>
      <c r="C17" s="263">
        <v>7</v>
      </c>
      <c r="D17" s="359">
        <v>7140</v>
      </c>
      <c r="E17" s="359">
        <v>7893.1506972194929</v>
      </c>
      <c r="F17" s="360">
        <v>753.15069721949294</v>
      </c>
      <c r="G17" s="361">
        <v>0.10548329092709985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x14ac:dyDescent="0.3">
      <c r="A18" s="263">
        <v>1695</v>
      </c>
      <c r="B18" s="41" t="s">
        <v>631</v>
      </c>
      <c r="C18" s="263">
        <v>7</v>
      </c>
      <c r="D18" s="359">
        <v>3300</v>
      </c>
      <c r="E18" s="359">
        <v>6518.007524483286</v>
      </c>
      <c r="F18" s="360">
        <v>3218.007524483286</v>
      </c>
      <c r="G18" s="361">
        <v>0.97515379529796542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x14ac:dyDescent="0.3">
      <c r="A19" s="263">
        <v>1777</v>
      </c>
      <c r="B19" s="41" t="s">
        <v>653</v>
      </c>
      <c r="C19" s="263">
        <v>7</v>
      </c>
      <c r="D19" s="359">
        <v>18700</v>
      </c>
      <c r="E19" s="359">
        <v>21918.007524483284</v>
      </c>
      <c r="F19" s="360">
        <v>3218.0075244832842</v>
      </c>
      <c r="G19" s="361">
        <v>0.17208596387611144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1:28" x14ac:dyDescent="0.3">
      <c r="A20" s="263">
        <v>43</v>
      </c>
      <c r="B20" s="41" t="s">
        <v>40</v>
      </c>
      <c r="C20" s="263">
        <v>8</v>
      </c>
      <c r="D20" s="359">
        <v>90000</v>
      </c>
      <c r="E20" s="359">
        <v>94827.011286724926</v>
      </c>
      <c r="F20" s="360">
        <v>4827.0112867249263</v>
      </c>
      <c r="G20" s="361">
        <v>5.3633458741388071E-2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x14ac:dyDescent="0.3">
      <c r="A21" s="263">
        <v>1982</v>
      </c>
      <c r="B21" s="41" t="s">
        <v>690</v>
      </c>
      <c r="C21" s="263">
        <v>8</v>
      </c>
      <c r="D21" s="359">
        <v>18790</v>
      </c>
      <c r="E21" s="359">
        <v>25036.720488702849</v>
      </c>
      <c r="F21" s="360">
        <v>6246.7204887028493</v>
      </c>
      <c r="G21" s="361">
        <v>0.33244920110180143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x14ac:dyDescent="0.3">
      <c r="A22" s="263">
        <v>3094</v>
      </c>
      <c r="B22" s="41" t="s">
        <v>733</v>
      </c>
      <c r="C22" s="263">
        <v>8</v>
      </c>
      <c r="D22" s="359">
        <v>76800</v>
      </c>
      <c r="E22" s="359">
        <v>83879.616553863234</v>
      </c>
      <c r="F22" s="360">
        <v>7079.616553863234</v>
      </c>
      <c r="G22" s="361">
        <v>9.2182507211760856E-2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x14ac:dyDescent="0.3">
      <c r="A23" s="263">
        <v>402</v>
      </c>
      <c r="B23" s="41" t="s">
        <v>207</v>
      </c>
      <c r="C23" s="263">
        <v>9</v>
      </c>
      <c r="D23" s="359">
        <v>100</v>
      </c>
      <c r="E23" s="359">
        <v>274.08893165237447</v>
      </c>
      <c r="F23" s="360">
        <v>174.08893165237447</v>
      </c>
      <c r="G23" s="361">
        <v>1.7408893165237447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x14ac:dyDescent="0.3">
      <c r="A24" s="263">
        <v>3119</v>
      </c>
      <c r="B24" s="41" t="s">
        <v>744</v>
      </c>
      <c r="C24" s="263">
        <v>9</v>
      </c>
      <c r="D24" s="359">
        <v>1336.4358999999999</v>
      </c>
      <c r="E24" s="359">
        <v>1690.4167276931614</v>
      </c>
      <c r="F24" s="360">
        <v>353.98082769316147</v>
      </c>
      <c r="G24" s="361">
        <v>0.26486928979770857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3">
      <c r="A25" s="263">
        <v>1032</v>
      </c>
      <c r="B25" s="41" t="s">
        <v>447</v>
      </c>
      <c r="C25" s="263">
        <v>9</v>
      </c>
      <c r="D25" s="359">
        <v>2313.9549999999999</v>
      </c>
      <c r="E25" s="359">
        <v>2732.0425917635766</v>
      </c>
      <c r="F25" s="360">
        <v>418.08759176357671</v>
      </c>
      <c r="G25" s="361">
        <v>0.18068095177459229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3">
      <c r="A26" s="263">
        <v>600</v>
      </c>
      <c r="B26" s="41" t="s">
        <v>295</v>
      </c>
      <c r="C26" s="263">
        <v>10</v>
      </c>
      <c r="D26" s="359">
        <v>2000</v>
      </c>
      <c r="E26" s="359">
        <v>2372.6113975717485</v>
      </c>
      <c r="F26" s="360">
        <v>372.61139757174851</v>
      </c>
      <c r="G26" s="361">
        <v>0.18630569878587425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3">
      <c r="A27" s="263">
        <v>343</v>
      </c>
      <c r="B27" s="41" t="s">
        <v>172</v>
      </c>
      <c r="C27" s="263">
        <v>10</v>
      </c>
      <c r="D27" s="359">
        <v>248.42</v>
      </c>
      <c r="E27" s="359">
        <v>816.30368079116818</v>
      </c>
      <c r="F27" s="360">
        <v>567.88368079116822</v>
      </c>
      <c r="G27" s="361">
        <v>2.2859821302277119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3">
      <c r="A28" s="263">
        <v>69</v>
      </c>
      <c r="B28" s="41" t="s">
        <v>55</v>
      </c>
      <c r="C28" s="263">
        <v>10</v>
      </c>
      <c r="D28" s="359">
        <v>11300.1</v>
      </c>
      <c r="E28" s="359">
        <v>14839.908276931616</v>
      </c>
      <c r="F28" s="360">
        <v>3539.8082769316152</v>
      </c>
      <c r="G28" s="361">
        <v>0.31325459747538653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3">
      <c r="A29" s="263">
        <v>918</v>
      </c>
      <c r="B29" s="41" t="s">
        <v>1684</v>
      </c>
      <c r="C29" s="263">
        <v>11</v>
      </c>
      <c r="D29" s="359">
        <v>23500</v>
      </c>
      <c r="E29" s="359">
        <v>27039.808276931613</v>
      </c>
      <c r="F29" s="360">
        <v>3539.8082769316134</v>
      </c>
      <c r="G29" s="361">
        <v>0.15063013944389844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3">
      <c r="A30" s="263">
        <v>1132</v>
      </c>
      <c r="B30" s="41" t="s">
        <v>1712</v>
      </c>
      <c r="C30" s="263">
        <v>11</v>
      </c>
      <c r="D30" s="359">
        <v>2400</v>
      </c>
      <c r="E30" s="359">
        <v>2496.8925623247706</v>
      </c>
      <c r="F30" s="360">
        <v>96.892562324770552</v>
      </c>
      <c r="G30" s="361">
        <v>4.0371900968654395E-2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3">
      <c r="A31" s="263">
        <v>3096</v>
      </c>
      <c r="B31" s="41" t="s">
        <v>1808</v>
      </c>
      <c r="C31" s="263">
        <v>11</v>
      </c>
      <c r="D31" s="359">
        <v>4920</v>
      </c>
      <c r="E31" s="359">
        <v>4945.7503026934892</v>
      </c>
      <c r="F31" s="360">
        <v>25.750302693489175</v>
      </c>
      <c r="G31" s="361">
        <v>5.2338013604652798E-3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3">
      <c r="A32" s="263">
        <v>2025</v>
      </c>
      <c r="B32" s="41" t="s">
        <v>701</v>
      </c>
      <c r="C32" s="263">
        <v>12</v>
      </c>
      <c r="D32" s="359">
        <v>900</v>
      </c>
      <c r="E32" s="359">
        <v>1994.7860650303962</v>
      </c>
      <c r="F32" s="360">
        <v>1094.7860650303962</v>
      </c>
      <c r="G32" s="361">
        <v>1.2164289611448846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1:28" x14ac:dyDescent="0.3">
      <c r="A33" s="263">
        <v>83</v>
      </c>
      <c r="B33" s="41" t="s">
        <v>60</v>
      </c>
      <c r="C33" s="263">
        <v>12</v>
      </c>
      <c r="D33" s="359">
        <v>5400</v>
      </c>
      <c r="E33" s="359">
        <v>7990.1036172670356</v>
      </c>
      <c r="F33" s="360">
        <v>2590.1036172670356</v>
      </c>
      <c r="G33" s="361">
        <v>0.47964881801241399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1:28" x14ac:dyDescent="0.3">
      <c r="A34" s="263">
        <v>981</v>
      </c>
      <c r="B34" s="41" t="s">
        <v>432</v>
      </c>
      <c r="C34" s="263">
        <v>12</v>
      </c>
      <c r="D34" s="359">
        <v>2700</v>
      </c>
      <c r="E34" s="359">
        <v>7527.0112867249291</v>
      </c>
      <c r="F34" s="360">
        <v>4827.0112867249291</v>
      </c>
      <c r="G34" s="361">
        <v>1.7877819580462699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1:28" x14ac:dyDescent="0.3">
      <c r="A35" s="263">
        <v>1827</v>
      </c>
      <c r="B35" s="41" t="s">
        <v>670</v>
      </c>
      <c r="C35" s="263">
        <v>12</v>
      </c>
      <c r="D35" s="359">
        <v>10115</v>
      </c>
      <c r="E35" s="359">
        <v>15704.170963576234</v>
      </c>
      <c r="F35" s="360">
        <v>5589.1709635762345</v>
      </c>
      <c r="G35" s="361">
        <v>0.55256262615682006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1:28" x14ac:dyDescent="0.3">
      <c r="A36" s="263">
        <v>3320</v>
      </c>
      <c r="B36" s="41" t="s">
        <v>853</v>
      </c>
      <c r="C36" s="263">
        <v>13</v>
      </c>
      <c r="D36" s="359">
        <v>841.33</v>
      </c>
      <c r="E36" s="359">
        <v>1354.3456923089298</v>
      </c>
      <c r="F36" s="360">
        <v>513.01569230892972</v>
      </c>
      <c r="G36" s="361">
        <v>0.60976750182322004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1:28" x14ac:dyDescent="0.3">
      <c r="A37" s="263">
        <v>3318</v>
      </c>
      <c r="B37" s="41" t="s">
        <v>850</v>
      </c>
      <c r="C37" s="263">
        <v>13</v>
      </c>
      <c r="D37" s="359">
        <v>587.86</v>
      </c>
      <c r="E37" s="359">
        <v>1465.4984157681688</v>
      </c>
      <c r="F37" s="360">
        <v>877.63841576816878</v>
      </c>
      <c r="G37" s="361">
        <v>1.4929378011230034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1:28" x14ac:dyDescent="0.3">
      <c r="A38" s="263">
        <v>3323</v>
      </c>
      <c r="B38" s="41" t="s">
        <v>856</v>
      </c>
      <c r="C38" s="263">
        <v>13</v>
      </c>
      <c r="D38" s="359">
        <v>4702.88</v>
      </c>
      <c r="E38" s="359">
        <v>6472.7841384658077</v>
      </c>
      <c r="F38" s="360">
        <v>1769.9041384658076</v>
      </c>
      <c r="G38" s="361">
        <v>0.37634473736642388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1:28" x14ac:dyDescent="0.3">
      <c r="A39" s="263">
        <v>526</v>
      </c>
      <c r="B39" s="41" t="s">
        <v>266</v>
      </c>
      <c r="C39" s="263">
        <v>14</v>
      </c>
      <c r="D39" s="359">
        <v>213.4</v>
      </c>
      <c r="E39" s="359">
        <v>596.77273757382102</v>
      </c>
      <c r="F39" s="360">
        <v>383.37273757382104</v>
      </c>
      <c r="G39" s="361">
        <v>1.796498301658018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1:28" x14ac:dyDescent="0.3">
      <c r="A40" s="263">
        <v>3131</v>
      </c>
      <c r="B40" s="41" t="s">
        <v>751</v>
      </c>
      <c r="C40" s="263">
        <v>14</v>
      </c>
      <c r="D40" s="359">
        <v>2913.0880000000002</v>
      </c>
      <c r="E40" s="359">
        <v>3339.5709249315196</v>
      </c>
      <c r="F40" s="360">
        <v>426.48292493151939</v>
      </c>
      <c r="G40" s="361">
        <v>0.14640234861820836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1:28" x14ac:dyDescent="0.3">
      <c r="A41" s="263">
        <v>1811</v>
      </c>
      <c r="B41" s="41" t="s">
        <v>665</v>
      </c>
      <c r="C41" s="263">
        <v>14</v>
      </c>
      <c r="D41" s="359">
        <v>1253.6774</v>
      </c>
      <c r="E41" s="359">
        <v>1986.0515262617137</v>
      </c>
      <c r="F41" s="360">
        <v>732.37412626171363</v>
      </c>
      <c r="G41" s="361">
        <v>0.58418068815926139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1:28" x14ac:dyDescent="0.3">
      <c r="A42" s="263">
        <v>1230</v>
      </c>
      <c r="B42" s="41" t="s">
        <v>509</v>
      </c>
      <c r="C42" s="263">
        <v>16</v>
      </c>
      <c r="D42" s="359">
        <v>672.35</v>
      </c>
      <c r="E42" s="359">
        <v>2754.59016290095</v>
      </c>
      <c r="F42" s="360">
        <v>2082.2401629009501</v>
      </c>
      <c r="G42" s="361">
        <v>3.0969586716753921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1:28" x14ac:dyDescent="0.3">
      <c r="A43" s="263">
        <v>344</v>
      </c>
      <c r="B43" s="41" t="s">
        <v>173</v>
      </c>
      <c r="C43" s="263">
        <v>16</v>
      </c>
      <c r="D43" s="359">
        <v>368.9</v>
      </c>
      <c r="E43" s="359">
        <v>2492.7849661589689</v>
      </c>
      <c r="F43" s="360">
        <v>2123.8849661589688</v>
      </c>
      <c r="G43" s="361">
        <v>5.7573460725371888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1:28" x14ac:dyDescent="0.3">
      <c r="A44" s="263">
        <v>3251</v>
      </c>
      <c r="B44" s="41" t="s">
        <v>817</v>
      </c>
      <c r="C44" s="263">
        <v>16</v>
      </c>
      <c r="D44" s="359">
        <v>182.07</v>
      </c>
      <c r="E44" s="359">
        <v>2394.4501730822594</v>
      </c>
      <c r="F44" s="360">
        <v>2212.3801730822593</v>
      </c>
      <c r="G44" s="361">
        <v>12.151261454837476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1:28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1:28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1:28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1:28" x14ac:dyDescent="0.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1:28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1:28" x14ac:dyDescent="0.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1:28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1:28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1:28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1:28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1:28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1:28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1:28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1:28" x14ac:dyDescent="0.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1:28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1:28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1:28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1:28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1:28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1:28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1:28" x14ac:dyDescent="0.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1:28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1:28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1:28" x14ac:dyDescent="0.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1:28" x14ac:dyDescent="0.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1:28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1:28" x14ac:dyDescent="0.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1:28" x14ac:dyDescent="0.3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1:28" x14ac:dyDescent="0.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1:28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1:28" x14ac:dyDescent="0.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1:28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1:28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1:28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1:28" x14ac:dyDescent="0.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1:28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1:28" x14ac:dyDescent="0.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1:28" x14ac:dyDescent="0.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1:28" x14ac:dyDescent="0.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1:28" x14ac:dyDescent="0.3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1:28" x14ac:dyDescent="0.3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1:28" x14ac:dyDescent="0.3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1:28" x14ac:dyDescent="0.3"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1:28" x14ac:dyDescent="0.3"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F03A-A1A3-4C8E-AE17-39960DCBC8D3}">
  <dimension ref="A1:O137"/>
  <sheetViews>
    <sheetView showGridLines="0" showRowColHeaders="0" zoomScale="85" zoomScaleNormal="85" workbookViewId="0">
      <selection activeCell="B44" sqref="B44"/>
    </sheetView>
  </sheetViews>
  <sheetFormatPr baseColWidth="10" defaultRowHeight="14.4" x14ac:dyDescent="0.3"/>
  <cols>
    <col min="1" max="1" width="64" bestFit="1" customWidth="1"/>
    <col min="2" max="2" width="49" bestFit="1" customWidth="1"/>
    <col min="3" max="3" width="16.6640625" style="71" bestFit="1" customWidth="1"/>
    <col min="4" max="4" width="11.5546875" style="71"/>
    <col min="5" max="5" width="16.6640625" style="71" bestFit="1" customWidth="1"/>
    <col min="6" max="6" width="12.88671875" bestFit="1" customWidth="1"/>
    <col min="9" max="9" width="40" bestFit="1" customWidth="1"/>
    <col min="11" max="11" width="14.5546875" customWidth="1"/>
    <col min="15" max="15" width="18.5546875" customWidth="1"/>
  </cols>
  <sheetData>
    <row r="1" spans="1:5" s="259" customFormat="1" x14ac:dyDescent="0.3">
      <c r="B1" s="259" t="s">
        <v>1292</v>
      </c>
      <c r="C1" s="306"/>
      <c r="D1" s="306"/>
      <c r="E1" s="306"/>
    </row>
    <row r="2" spans="1:5" s="259" customFormat="1" x14ac:dyDescent="0.3">
      <c r="B2" s="259" t="s">
        <v>1293</v>
      </c>
      <c r="C2" s="306"/>
      <c r="D2" s="306"/>
      <c r="E2" s="306"/>
    </row>
    <row r="3" spans="1:5" s="259" customFormat="1" x14ac:dyDescent="0.3">
      <c r="C3" s="306"/>
      <c r="D3" s="306"/>
      <c r="E3" s="306"/>
    </row>
    <row r="4" spans="1:5" s="259" customFormat="1" x14ac:dyDescent="0.3">
      <c r="B4" s="259" t="s">
        <v>1294</v>
      </c>
      <c r="C4" s="306"/>
      <c r="D4" s="306"/>
      <c r="E4" s="306"/>
    </row>
    <row r="5" spans="1:5" s="259" customFormat="1" x14ac:dyDescent="0.3">
      <c r="C5" s="306"/>
      <c r="D5" s="306"/>
      <c r="E5" s="306"/>
    </row>
    <row r="6" spans="1:5" s="259" customFormat="1" x14ac:dyDescent="0.3">
      <c r="B6" s="259" t="s">
        <v>1459</v>
      </c>
      <c r="C6" s="306"/>
      <c r="D6" s="306"/>
      <c r="E6" s="306"/>
    </row>
    <row r="9" spans="1:5" s="260" customFormat="1" x14ac:dyDescent="0.3">
      <c r="A9" s="260" t="s">
        <v>1295</v>
      </c>
      <c r="C9" s="306"/>
      <c r="D9" s="306"/>
      <c r="E9" s="306"/>
    </row>
    <row r="10" spans="1:5" s="260" customFormat="1" x14ac:dyDescent="0.3">
      <c r="C10" s="306"/>
      <c r="D10" s="306"/>
      <c r="E10" s="306"/>
    </row>
    <row r="11" spans="1:5" s="260" customFormat="1" x14ac:dyDescent="0.3">
      <c r="A11" s="260" t="s">
        <v>1296</v>
      </c>
      <c r="C11" s="306"/>
      <c r="D11" s="306"/>
      <c r="E11" s="306">
        <v>1809332725.5049</v>
      </c>
    </row>
    <row r="13" spans="1:5" s="260" customFormat="1" x14ac:dyDescent="0.3">
      <c r="A13" s="260" t="s">
        <v>1297</v>
      </c>
      <c r="B13" s="260" t="s">
        <v>1298</v>
      </c>
      <c r="C13" s="306">
        <v>1810167899.3145001</v>
      </c>
      <c r="D13" s="306"/>
      <c r="E13" s="306"/>
    </row>
    <row r="14" spans="1:5" s="260" customFormat="1" x14ac:dyDescent="0.3">
      <c r="A14" s="260" t="s">
        <v>1299</v>
      </c>
      <c r="B14" s="260" t="s">
        <v>1300</v>
      </c>
      <c r="C14" s="306">
        <v>1810167899.3145001</v>
      </c>
      <c r="D14" s="306"/>
      <c r="E14" s="306"/>
    </row>
    <row r="15" spans="1:5" s="260" customFormat="1" x14ac:dyDescent="0.3">
      <c r="A15" s="260" t="s">
        <v>1460</v>
      </c>
      <c r="B15" s="260" t="s">
        <v>1304</v>
      </c>
      <c r="C15" s="306">
        <v>919525967.31449997</v>
      </c>
      <c r="D15" s="306"/>
      <c r="E15" s="306"/>
    </row>
    <row r="16" spans="1:5" x14ac:dyDescent="0.3">
      <c r="A16" t="s">
        <v>1461</v>
      </c>
      <c r="B16" t="s">
        <v>1462</v>
      </c>
      <c r="C16" s="71">
        <v>881964429.49960005</v>
      </c>
    </row>
    <row r="17" spans="1:15" x14ac:dyDescent="0.3">
      <c r="A17" t="s">
        <v>1463</v>
      </c>
      <c r="B17" t="s">
        <v>1464</v>
      </c>
      <c r="C17" s="71">
        <v>37561537.814900003</v>
      </c>
    </row>
    <row r="18" spans="1:15" s="260" customFormat="1" x14ac:dyDescent="0.3">
      <c r="A18" s="260" t="s">
        <v>1465</v>
      </c>
      <c r="B18" s="260" t="s">
        <v>1306</v>
      </c>
      <c r="C18" s="306">
        <v>890641932</v>
      </c>
      <c r="D18" s="306"/>
      <c r="E18" s="306"/>
    </row>
    <row r="19" spans="1:15" ht="15.6" x14ac:dyDescent="0.3">
      <c r="A19" t="s">
        <v>1466</v>
      </c>
      <c r="B19" t="s">
        <v>1467</v>
      </c>
      <c r="C19" s="71">
        <v>780335632</v>
      </c>
      <c r="I19" s="324"/>
      <c r="J19" s="488"/>
      <c r="K19" s="489"/>
      <c r="L19" s="490"/>
      <c r="M19" s="490"/>
      <c r="N19" s="490"/>
      <c r="O19" s="482"/>
    </row>
    <row r="20" spans="1:15" ht="15.6" x14ac:dyDescent="0.3">
      <c r="A20" t="s">
        <v>1468</v>
      </c>
      <c r="B20" t="s">
        <v>1469</v>
      </c>
      <c r="C20" s="71">
        <v>110306300</v>
      </c>
      <c r="I20" s="324"/>
      <c r="J20" s="488"/>
      <c r="K20" s="489"/>
      <c r="L20" s="490"/>
      <c r="M20" s="490"/>
      <c r="N20" s="490"/>
      <c r="O20" s="482"/>
    </row>
    <row r="21" spans="1:15" s="260" customFormat="1" x14ac:dyDescent="0.3">
      <c r="A21" s="260" t="s">
        <v>1301</v>
      </c>
      <c r="B21" s="260" t="s">
        <v>1302</v>
      </c>
      <c r="C21" s="306">
        <v>-835173.80960000004</v>
      </c>
      <c r="D21" s="306"/>
      <c r="E21" s="306"/>
    </row>
    <row r="22" spans="1:15" x14ac:dyDescent="0.3">
      <c r="A22" t="s">
        <v>1303</v>
      </c>
      <c r="B22" t="s">
        <v>1304</v>
      </c>
      <c r="C22" s="71">
        <v>-421523.80959999998</v>
      </c>
    </row>
    <row r="23" spans="1:15" ht="16.2" customHeight="1" x14ac:dyDescent="0.3">
      <c r="A23" t="s">
        <v>1470</v>
      </c>
      <c r="B23" t="s">
        <v>1471</v>
      </c>
      <c r="C23" s="71">
        <v>-421523.80959999998</v>
      </c>
      <c r="I23" s="40"/>
      <c r="J23" s="461"/>
      <c r="K23" s="490"/>
      <c r="L23" s="461"/>
      <c r="M23" s="490"/>
      <c r="N23" s="461"/>
      <c r="O23" s="482"/>
    </row>
    <row r="24" spans="1:15" s="260" customFormat="1" x14ac:dyDescent="0.3">
      <c r="A24" s="260" t="s">
        <v>1305</v>
      </c>
      <c r="B24" s="260" t="s">
        <v>1306</v>
      </c>
      <c r="C24" s="306">
        <v>-413650</v>
      </c>
      <c r="D24" s="306"/>
      <c r="E24" s="306"/>
      <c r="I24" s="40"/>
      <c r="J24" s="461"/>
      <c r="K24" s="490"/>
      <c r="L24" s="461"/>
      <c r="M24" s="490"/>
      <c r="N24" s="461"/>
      <c r="O24" s="482"/>
    </row>
    <row r="25" spans="1:15" x14ac:dyDescent="0.3">
      <c r="A25" t="s">
        <v>1472</v>
      </c>
      <c r="B25" t="s">
        <v>1473</v>
      </c>
      <c r="C25" s="71">
        <v>-413650</v>
      </c>
    </row>
    <row r="27" spans="1:15" s="260" customFormat="1" x14ac:dyDescent="0.3">
      <c r="A27" s="260" t="s">
        <v>1307</v>
      </c>
      <c r="C27" s="306"/>
      <c r="D27" s="306"/>
      <c r="E27" s="306">
        <v>1638821586</v>
      </c>
    </row>
    <row r="29" spans="1:15" s="260" customFormat="1" x14ac:dyDescent="0.3">
      <c r="A29" s="260" t="s">
        <v>1308</v>
      </c>
      <c r="B29" s="260" t="s">
        <v>1298</v>
      </c>
      <c r="C29" s="306">
        <v>1638821586</v>
      </c>
      <c r="D29" s="306"/>
      <c r="E29" s="306"/>
    </row>
    <row r="30" spans="1:15" s="260" customFormat="1" x14ac:dyDescent="0.3">
      <c r="A30" s="260" t="s">
        <v>1309</v>
      </c>
      <c r="B30" s="260" t="s">
        <v>1310</v>
      </c>
      <c r="C30" s="306">
        <v>1612029265</v>
      </c>
      <c r="D30" s="306"/>
      <c r="E30" s="306"/>
    </row>
    <row r="31" spans="1:15" x14ac:dyDescent="0.3">
      <c r="A31" t="s">
        <v>1474</v>
      </c>
      <c r="B31" t="s">
        <v>1475</v>
      </c>
      <c r="C31" s="71">
        <v>805392332</v>
      </c>
    </row>
    <row r="32" spans="1:15" x14ac:dyDescent="0.3">
      <c r="A32" t="s">
        <v>1476</v>
      </c>
      <c r="B32" t="s">
        <v>1477</v>
      </c>
      <c r="C32" s="71">
        <v>30807221</v>
      </c>
    </row>
    <row r="33" spans="1:5" x14ac:dyDescent="0.3">
      <c r="A33" t="s">
        <v>1478</v>
      </c>
      <c r="B33" t="s">
        <v>1479</v>
      </c>
      <c r="C33" s="71">
        <v>774784991</v>
      </c>
    </row>
    <row r="34" spans="1:5" x14ac:dyDescent="0.3">
      <c r="A34" t="s">
        <v>1480</v>
      </c>
      <c r="B34" t="s">
        <v>1481</v>
      </c>
      <c r="C34" s="71">
        <v>1044721</v>
      </c>
    </row>
    <row r="35" spans="1:5" s="260" customFormat="1" x14ac:dyDescent="0.3">
      <c r="A35" s="260" t="s">
        <v>1311</v>
      </c>
      <c r="B35" s="260" t="s">
        <v>1300</v>
      </c>
      <c r="C35" s="306">
        <v>26792321</v>
      </c>
      <c r="D35" s="306"/>
      <c r="E35" s="306"/>
    </row>
    <row r="36" spans="1:5" x14ac:dyDescent="0.3">
      <c r="A36" t="s">
        <v>1482</v>
      </c>
      <c r="B36" t="s">
        <v>1483</v>
      </c>
      <c r="C36" s="71">
        <v>24987361</v>
      </c>
    </row>
    <row r="37" spans="1:5" s="260" customFormat="1" x14ac:dyDescent="0.3">
      <c r="A37" s="260" t="s">
        <v>1484</v>
      </c>
      <c r="B37" s="260" t="s">
        <v>1485</v>
      </c>
      <c r="C37" s="306">
        <v>1804960</v>
      </c>
      <c r="D37" s="306"/>
      <c r="E37" s="306"/>
    </row>
    <row r="38" spans="1:5" x14ac:dyDescent="0.3">
      <c r="A38" t="s">
        <v>1486</v>
      </c>
      <c r="B38" t="s">
        <v>1487</v>
      </c>
      <c r="C38" s="71">
        <v>1541538</v>
      </c>
    </row>
    <row r="39" spans="1:5" x14ac:dyDescent="0.3">
      <c r="A39" t="s">
        <v>1488</v>
      </c>
      <c r="B39" t="s">
        <v>1489</v>
      </c>
      <c r="C39" s="71">
        <v>263422</v>
      </c>
    </row>
    <row r="41" spans="1:5" s="260" customFormat="1" x14ac:dyDescent="0.3">
      <c r="A41" s="260" t="s">
        <v>1312</v>
      </c>
      <c r="C41" s="306"/>
      <c r="D41" s="306"/>
      <c r="E41" s="306">
        <v>170511139.50490001</v>
      </c>
    </row>
    <row r="42" spans="1:5" s="260" customFormat="1" x14ac:dyDescent="0.3">
      <c r="C42" s="306"/>
      <c r="D42" s="306"/>
      <c r="E42" s="306"/>
    </row>
    <row r="43" spans="1:5" s="260" customFormat="1" x14ac:dyDescent="0.3">
      <c r="A43" s="260" t="s">
        <v>1313</v>
      </c>
      <c r="C43" s="306"/>
      <c r="D43" s="306"/>
      <c r="E43" s="306"/>
    </row>
    <row r="44" spans="1:5" s="260" customFormat="1" x14ac:dyDescent="0.3">
      <c r="A44" s="260" t="s">
        <v>1314</v>
      </c>
      <c r="C44" s="306"/>
      <c r="D44" s="306"/>
      <c r="E44" s="306">
        <v>87463426</v>
      </c>
    </row>
    <row r="46" spans="1:5" s="260" customFormat="1" x14ac:dyDescent="0.3">
      <c r="A46" s="260" t="s">
        <v>1315</v>
      </c>
      <c r="B46" s="260" t="s">
        <v>1316</v>
      </c>
      <c r="C46" s="306">
        <v>33569765</v>
      </c>
      <c r="D46" s="306"/>
      <c r="E46" s="306"/>
    </row>
    <row r="47" spans="1:5" x14ac:dyDescent="0.3">
      <c r="A47" t="s">
        <v>1317</v>
      </c>
      <c r="B47" t="s">
        <v>1318</v>
      </c>
      <c r="C47" s="71">
        <v>23100000</v>
      </c>
    </row>
    <row r="48" spans="1:5" x14ac:dyDescent="0.3">
      <c r="A48" t="s">
        <v>1319</v>
      </c>
      <c r="B48" t="s">
        <v>1320</v>
      </c>
      <c r="C48" s="71">
        <v>820204</v>
      </c>
    </row>
    <row r="49" spans="1:5" x14ac:dyDescent="0.3">
      <c r="A49" t="s">
        <v>1321</v>
      </c>
      <c r="B49" t="s">
        <v>1322</v>
      </c>
      <c r="C49" s="71">
        <v>1924993</v>
      </c>
    </row>
    <row r="50" spans="1:5" x14ac:dyDescent="0.3">
      <c r="A50" t="s">
        <v>1323</v>
      </c>
      <c r="B50" t="s">
        <v>1324</v>
      </c>
      <c r="C50" s="71">
        <v>231000</v>
      </c>
    </row>
    <row r="51" spans="1:5" x14ac:dyDescent="0.3">
      <c r="A51" t="s">
        <v>1325</v>
      </c>
      <c r="B51" t="s">
        <v>1326</v>
      </c>
      <c r="C51" s="71">
        <v>1924993</v>
      </c>
    </row>
    <row r="52" spans="1:5" x14ac:dyDescent="0.3">
      <c r="A52" t="s">
        <v>1327</v>
      </c>
      <c r="B52" t="s">
        <v>1328</v>
      </c>
      <c r="C52" s="71">
        <v>962493</v>
      </c>
    </row>
    <row r="53" spans="1:5" x14ac:dyDescent="0.3">
      <c r="A53" t="s">
        <v>1490</v>
      </c>
      <c r="B53" t="s">
        <v>1491</v>
      </c>
      <c r="C53" s="71">
        <v>500000</v>
      </c>
    </row>
    <row r="54" spans="1:5" x14ac:dyDescent="0.3">
      <c r="A54" t="s">
        <v>1329</v>
      </c>
      <c r="B54" t="s">
        <v>1492</v>
      </c>
      <c r="C54" s="71">
        <v>120582</v>
      </c>
    </row>
    <row r="55" spans="1:5" x14ac:dyDescent="0.3">
      <c r="A55" t="s">
        <v>1330</v>
      </c>
      <c r="B55" t="s">
        <v>1331</v>
      </c>
      <c r="C55" s="71">
        <v>2772000</v>
      </c>
    </row>
    <row r="56" spans="1:5" x14ac:dyDescent="0.3">
      <c r="A56" t="s">
        <v>1332</v>
      </c>
      <c r="B56" t="s">
        <v>1333</v>
      </c>
      <c r="C56" s="71">
        <v>924000</v>
      </c>
    </row>
    <row r="57" spans="1:5" x14ac:dyDescent="0.3">
      <c r="A57" t="s">
        <v>1493</v>
      </c>
      <c r="B57" t="s">
        <v>1494</v>
      </c>
      <c r="C57" s="71">
        <v>20100</v>
      </c>
    </row>
    <row r="58" spans="1:5" x14ac:dyDescent="0.3">
      <c r="A58" t="s">
        <v>1495</v>
      </c>
      <c r="B58" t="s">
        <v>1496</v>
      </c>
      <c r="C58" s="71">
        <v>13400</v>
      </c>
    </row>
    <row r="59" spans="1:5" x14ac:dyDescent="0.3">
      <c r="A59" t="s">
        <v>1334</v>
      </c>
      <c r="B59" t="s">
        <v>1335</v>
      </c>
      <c r="C59" s="71">
        <v>256000</v>
      </c>
    </row>
    <row r="60" spans="1:5" s="260" customFormat="1" x14ac:dyDescent="0.3">
      <c r="A60" s="260" t="s">
        <v>1336</v>
      </c>
      <c r="B60" s="260" t="s">
        <v>1337</v>
      </c>
      <c r="C60" s="306">
        <v>8117987</v>
      </c>
      <c r="D60" s="306"/>
      <c r="E60" s="306"/>
    </row>
    <row r="61" spans="1:5" x14ac:dyDescent="0.3">
      <c r="A61" t="s">
        <v>1338</v>
      </c>
      <c r="B61" t="s">
        <v>1339</v>
      </c>
      <c r="C61" s="71">
        <v>6773000</v>
      </c>
    </row>
    <row r="62" spans="1:5" x14ac:dyDescent="0.3">
      <c r="A62" t="s">
        <v>1340</v>
      </c>
      <c r="B62" t="s">
        <v>1341</v>
      </c>
      <c r="C62" s="71">
        <v>1344987</v>
      </c>
    </row>
    <row r="63" spans="1:5" s="260" customFormat="1" x14ac:dyDescent="0.3">
      <c r="A63" s="260" t="s">
        <v>1342</v>
      </c>
      <c r="B63" s="260" t="s">
        <v>1343</v>
      </c>
      <c r="C63" s="306">
        <v>12000000</v>
      </c>
      <c r="D63" s="306"/>
      <c r="E63" s="306"/>
    </row>
    <row r="64" spans="1:5" x14ac:dyDescent="0.3">
      <c r="A64" t="s">
        <v>1344</v>
      </c>
      <c r="B64" t="s">
        <v>1345</v>
      </c>
      <c r="C64" s="71">
        <v>12000000</v>
      </c>
    </row>
    <row r="65" spans="1:6" s="260" customFormat="1" x14ac:dyDescent="0.3">
      <c r="A65" s="260" t="s">
        <v>1346</v>
      </c>
      <c r="B65" s="260" t="s">
        <v>1347</v>
      </c>
      <c r="C65" s="306">
        <v>17553924</v>
      </c>
      <c r="D65" s="306"/>
      <c r="E65" s="306"/>
    </row>
    <row r="66" spans="1:6" x14ac:dyDescent="0.3">
      <c r="A66" t="s">
        <v>1348</v>
      </c>
      <c r="B66" t="s">
        <v>1349</v>
      </c>
      <c r="C66" s="71">
        <v>5457196</v>
      </c>
      <c r="F66" s="4"/>
    </row>
    <row r="67" spans="1:6" x14ac:dyDescent="0.3">
      <c r="A67" t="s">
        <v>1497</v>
      </c>
      <c r="B67" t="s">
        <v>1498</v>
      </c>
      <c r="C67" s="71">
        <v>354800</v>
      </c>
    </row>
    <row r="68" spans="1:6" x14ac:dyDescent="0.3">
      <c r="A68" t="s">
        <v>1350</v>
      </c>
      <c r="B68" t="s">
        <v>1351</v>
      </c>
      <c r="C68" s="71">
        <v>218000</v>
      </c>
    </row>
    <row r="69" spans="1:6" x14ac:dyDescent="0.3">
      <c r="A69" t="s">
        <v>1352</v>
      </c>
      <c r="B69" t="s">
        <v>1353</v>
      </c>
      <c r="C69" s="71">
        <v>2014700</v>
      </c>
    </row>
    <row r="70" spans="1:6" x14ac:dyDescent="0.3">
      <c r="A70" t="s">
        <v>1354</v>
      </c>
      <c r="B70" t="s">
        <v>1355</v>
      </c>
      <c r="C70" s="71">
        <v>253444</v>
      </c>
    </row>
    <row r="71" spans="1:6" x14ac:dyDescent="0.3">
      <c r="A71" t="s">
        <v>1499</v>
      </c>
      <c r="B71" t="s">
        <v>1500</v>
      </c>
      <c r="C71" s="71">
        <v>9060784</v>
      </c>
    </row>
    <row r="72" spans="1:6" x14ac:dyDescent="0.3">
      <c r="A72" t="s">
        <v>1501</v>
      </c>
      <c r="B72" t="s">
        <v>1502</v>
      </c>
      <c r="C72" s="71">
        <v>195000</v>
      </c>
    </row>
    <row r="73" spans="1:6" s="260" customFormat="1" x14ac:dyDescent="0.3">
      <c r="A73" s="260" t="s">
        <v>1356</v>
      </c>
      <c r="B73" s="260" t="s">
        <v>1357</v>
      </c>
      <c r="C73" s="306">
        <v>6400</v>
      </c>
      <c r="D73" s="306"/>
      <c r="E73" s="306"/>
    </row>
    <row r="74" spans="1:6" x14ac:dyDescent="0.3">
      <c r="A74" t="s">
        <v>1503</v>
      </c>
      <c r="B74" t="s">
        <v>1504</v>
      </c>
      <c r="C74" s="71">
        <v>6400</v>
      </c>
    </row>
    <row r="75" spans="1:6" s="260" customFormat="1" x14ac:dyDescent="0.3">
      <c r="A75" s="260" t="s">
        <v>1358</v>
      </c>
      <c r="B75" s="260" t="s">
        <v>1359</v>
      </c>
      <c r="C75" s="306">
        <v>3872277</v>
      </c>
      <c r="D75" s="306"/>
      <c r="E75" s="306"/>
    </row>
    <row r="76" spans="1:6" x14ac:dyDescent="0.3">
      <c r="A76" t="s">
        <v>1505</v>
      </c>
      <c r="B76" t="s">
        <v>1345</v>
      </c>
      <c r="C76" s="71">
        <v>3035966</v>
      </c>
    </row>
    <row r="77" spans="1:6" x14ac:dyDescent="0.3">
      <c r="A77" t="s">
        <v>1360</v>
      </c>
      <c r="B77" t="s">
        <v>1361</v>
      </c>
      <c r="C77" s="71">
        <v>92673</v>
      </c>
    </row>
    <row r="78" spans="1:6" x14ac:dyDescent="0.3">
      <c r="A78" t="s">
        <v>1362</v>
      </c>
      <c r="B78" t="s">
        <v>1363</v>
      </c>
      <c r="C78" s="71">
        <v>302754</v>
      </c>
      <c r="F78" s="4"/>
    </row>
    <row r="79" spans="1:6" x14ac:dyDescent="0.3">
      <c r="A79" t="s">
        <v>1506</v>
      </c>
      <c r="B79" t="s">
        <v>1507</v>
      </c>
      <c r="C79" s="71">
        <v>349034</v>
      </c>
    </row>
    <row r="80" spans="1:6" x14ac:dyDescent="0.3">
      <c r="A80" t="s">
        <v>1364</v>
      </c>
      <c r="B80" t="s">
        <v>1365</v>
      </c>
      <c r="C80" s="71">
        <v>91850</v>
      </c>
    </row>
    <row r="81" spans="1:5" s="260" customFormat="1" x14ac:dyDescent="0.3">
      <c r="A81" s="260" t="s">
        <v>1366</v>
      </c>
      <c r="B81" s="260" t="s">
        <v>1367</v>
      </c>
      <c r="C81" s="306">
        <v>4410937</v>
      </c>
      <c r="D81" s="306"/>
      <c r="E81" s="306"/>
    </row>
    <row r="82" spans="1:5" x14ac:dyDescent="0.3">
      <c r="A82" t="s">
        <v>1508</v>
      </c>
      <c r="B82" t="s">
        <v>1509</v>
      </c>
      <c r="C82" s="71">
        <v>800000</v>
      </c>
    </row>
    <row r="83" spans="1:5" x14ac:dyDescent="0.3">
      <c r="A83" t="s">
        <v>1368</v>
      </c>
      <c r="B83" t="s">
        <v>1369</v>
      </c>
      <c r="C83" s="71">
        <v>316178</v>
      </c>
    </row>
    <row r="84" spans="1:5" x14ac:dyDescent="0.3">
      <c r="A84" t="s">
        <v>1370</v>
      </c>
      <c r="B84" t="s">
        <v>1371</v>
      </c>
      <c r="C84" s="71">
        <v>2711271.27</v>
      </c>
    </row>
    <row r="85" spans="1:5" x14ac:dyDescent="0.3">
      <c r="A85" t="s">
        <v>1510</v>
      </c>
      <c r="B85" t="s">
        <v>1385</v>
      </c>
      <c r="C85" s="71">
        <v>48000</v>
      </c>
    </row>
    <row r="86" spans="1:5" x14ac:dyDescent="0.3">
      <c r="A86" t="s">
        <v>1372</v>
      </c>
      <c r="B86" t="s">
        <v>1365</v>
      </c>
      <c r="C86" s="71">
        <v>535487.73</v>
      </c>
    </row>
    <row r="87" spans="1:5" s="260" customFormat="1" x14ac:dyDescent="0.3">
      <c r="A87" s="260" t="s">
        <v>1373</v>
      </c>
      <c r="B87" s="260" t="s">
        <v>1374</v>
      </c>
      <c r="C87" s="306">
        <v>7932136</v>
      </c>
      <c r="D87" s="306"/>
      <c r="E87" s="306"/>
    </row>
    <row r="88" spans="1:5" x14ac:dyDescent="0.3">
      <c r="A88" t="s">
        <v>1375</v>
      </c>
      <c r="B88" t="s">
        <v>1376</v>
      </c>
      <c r="C88" s="71">
        <v>233099</v>
      </c>
    </row>
    <row r="89" spans="1:5" x14ac:dyDescent="0.3">
      <c r="A89" t="s">
        <v>1377</v>
      </c>
      <c r="B89" t="s">
        <v>1378</v>
      </c>
      <c r="C89" s="71">
        <v>575134</v>
      </c>
    </row>
    <row r="90" spans="1:5" x14ac:dyDescent="0.3">
      <c r="A90" t="s">
        <v>1379</v>
      </c>
      <c r="B90" t="s">
        <v>1511</v>
      </c>
      <c r="C90" s="71">
        <v>493029</v>
      </c>
    </row>
    <row r="91" spans="1:5" x14ac:dyDescent="0.3">
      <c r="A91" t="s">
        <v>1380</v>
      </c>
      <c r="B91" t="s">
        <v>1381</v>
      </c>
      <c r="C91" s="71">
        <v>2484410</v>
      </c>
    </row>
    <row r="92" spans="1:5" x14ac:dyDescent="0.3">
      <c r="A92" t="s">
        <v>1382</v>
      </c>
      <c r="B92" t="s">
        <v>1383</v>
      </c>
      <c r="C92" s="71">
        <v>3499122</v>
      </c>
    </row>
    <row r="93" spans="1:5" x14ac:dyDescent="0.3">
      <c r="A93" t="s">
        <v>1384</v>
      </c>
      <c r="B93" t="s">
        <v>1385</v>
      </c>
      <c r="C93" s="71">
        <v>374999</v>
      </c>
    </row>
    <row r="94" spans="1:5" x14ac:dyDescent="0.3">
      <c r="A94" t="s">
        <v>1386</v>
      </c>
      <c r="B94" t="s">
        <v>1387</v>
      </c>
      <c r="C94" s="71">
        <v>272343</v>
      </c>
    </row>
    <row r="96" spans="1:5" s="260" customFormat="1" x14ac:dyDescent="0.3">
      <c r="A96" s="260" t="s">
        <v>1388</v>
      </c>
      <c r="C96" s="306"/>
      <c r="D96" s="306"/>
      <c r="E96" s="306">
        <v>34177895</v>
      </c>
    </row>
    <row r="98" spans="1:5" s="260" customFormat="1" x14ac:dyDescent="0.3">
      <c r="A98" s="260" t="s">
        <v>1389</v>
      </c>
      <c r="B98" s="260" t="s">
        <v>1316</v>
      </c>
      <c r="C98" s="306">
        <v>33846062</v>
      </c>
      <c r="D98" s="306"/>
      <c r="E98" s="306"/>
    </row>
    <row r="99" spans="1:5" x14ac:dyDescent="0.3">
      <c r="A99" t="s">
        <v>1390</v>
      </c>
      <c r="B99" t="s">
        <v>1318</v>
      </c>
      <c r="C99" s="71">
        <v>22600000</v>
      </c>
    </row>
    <row r="100" spans="1:5" x14ac:dyDescent="0.3">
      <c r="A100" t="s">
        <v>1391</v>
      </c>
      <c r="B100" t="s">
        <v>1320</v>
      </c>
      <c r="C100" s="71">
        <v>2577784</v>
      </c>
    </row>
    <row r="101" spans="1:5" x14ac:dyDescent="0.3">
      <c r="A101" t="s">
        <v>1392</v>
      </c>
      <c r="B101" t="s">
        <v>1322</v>
      </c>
      <c r="C101" s="71">
        <v>1883326</v>
      </c>
    </row>
    <row r="102" spans="1:5" x14ac:dyDescent="0.3">
      <c r="A102" t="s">
        <v>1393</v>
      </c>
      <c r="B102" t="s">
        <v>1324</v>
      </c>
      <c r="C102" s="71">
        <v>226000</v>
      </c>
    </row>
    <row r="103" spans="1:5" x14ac:dyDescent="0.3">
      <c r="A103" t="s">
        <v>1394</v>
      </c>
      <c r="B103" t="s">
        <v>1326</v>
      </c>
      <c r="C103" s="71">
        <v>1883326</v>
      </c>
    </row>
    <row r="104" spans="1:5" x14ac:dyDescent="0.3">
      <c r="A104" t="s">
        <v>1395</v>
      </c>
      <c r="B104" t="s">
        <v>1328</v>
      </c>
      <c r="C104" s="71">
        <v>941654</v>
      </c>
    </row>
    <row r="105" spans="1:5" x14ac:dyDescent="0.3">
      <c r="A105" t="s">
        <v>1396</v>
      </c>
      <c r="B105" t="s">
        <v>1512</v>
      </c>
      <c r="C105" s="71">
        <v>117972</v>
      </c>
    </row>
    <row r="106" spans="1:5" x14ac:dyDescent="0.3">
      <c r="A106" t="s">
        <v>1397</v>
      </c>
      <c r="B106" t="s">
        <v>1331</v>
      </c>
      <c r="C106" s="71">
        <v>2712000</v>
      </c>
    </row>
    <row r="107" spans="1:5" x14ac:dyDescent="0.3">
      <c r="A107" t="s">
        <v>1398</v>
      </c>
      <c r="B107" t="s">
        <v>1399</v>
      </c>
      <c r="C107" s="71">
        <v>904000</v>
      </c>
    </row>
    <row r="108" spans="1:5" s="260" customFormat="1" x14ac:dyDescent="0.3">
      <c r="A108" s="260" t="s">
        <v>1400</v>
      </c>
      <c r="B108" s="260" t="s">
        <v>1347</v>
      </c>
      <c r="C108" s="306">
        <v>331833</v>
      </c>
      <c r="D108" s="306"/>
      <c r="E108" s="306"/>
    </row>
    <row r="109" spans="1:5" x14ac:dyDescent="0.3">
      <c r="A109" t="s">
        <v>1401</v>
      </c>
      <c r="B109" t="s">
        <v>1355</v>
      </c>
      <c r="C109" s="71">
        <v>331833</v>
      </c>
    </row>
    <row r="112" spans="1:5" s="260" customFormat="1" x14ac:dyDescent="0.3">
      <c r="A112" s="260" t="s">
        <v>1402</v>
      </c>
      <c r="C112" s="306"/>
      <c r="D112" s="306"/>
      <c r="E112" s="306">
        <v>48869818.504900001</v>
      </c>
    </row>
    <row r="113" spans="1:5" s="260" customFormat="1" x14ac:dyDescent="0.3">
      <c r="C113" s="306"/>
      <c r="D113" s="306"/>
      <c r="E113" s="306"/>
    </row>
    <row r="114" spans="1:5" s="260" customFormat="1" x14ac:dyDescent="0.3">
      <c r="C114" s="306"/>
      <c r="D114" s="306"/>
      <c r="E114" s="306"/>
    </row>
    <row r="115" spans="1:5" s="260" customFormat="1" x14ac:dyDescent="0.3">
      <c r="A115" s="260" t="s">
        <v>1403</v>
      </c>
      <c r="C115" s="306"/>
      <c r="D115" s="306"/>
      <c r="E115" s="306">
        <v>0</v>
      </c>
    </row>
    <row r="116" spans="1:5" s="260" customFormat="1" x14ac:dyDescent="0.3">
      <c r="A116" s="260" t="s">
        <v>1404</v>
      </c>
      <c r="C116" s="306"/>
      <c r="D116" s="306"/>
      <c r="E116" s="306">
        <v>11249244</v>
      </c>
    </row>
    <row r="118" spans="1:5" s="260" customFormat="1" x14ac:dyDescent="0.3">
      <c r="A118" s="260" t="s">
        <v>1405</v>
      </c>
      <c r="B118" s="260" t="s">
        <v>1406</v>
      </c>
      <c r="C118" s="306">
        <v>8760332</v>
      </c>
      <c r="D118" s="306"/>
      <c r="E118" s="306"/>
    </row>
    <row r="119" spans="1:5" s="260" customFormat="1" x14ac:dyDescent="0.3">
      <c r="A119" s="260" t="s">
        <v>1407</v>
      </c>
      <c r="B119" s="260" t="s">
        <v>1408</v>
      </c>
      <c r="C119" s="306">
        <v>525287</v>
      </c>
      <c r="D119" s="306"/>
      <c r="E119" s="306"/>
    </row>
    <row r="120" spans="1:5" x14ac:dyDescent="0.3">
      <c r="A120" t="s">
        <v>1513</v>
      </c>
      <c r="B120" t="s">
        <v>1514</v>
      </c>
      <c r="C120" s="71">
        <v>525287</v>
      </c>
    </row>
    <row r="121" spans="1:5" s="260" customFormat="1" x14ac:dyDescent="0.3">
      <c r="A121" s="260" t="s">
        <v>1409</v>
      </c>
      <c r="B121" s="260" t="s">
        <v>1410</v>
      </c>
      <c r="C121" s="306">
        <v>8235045</v>
      </c>
      <c r="D121" s="306"/>
      <c r="E121" s="306"/>
    </row>
    <row r="122" spans="1:5" x14ac:dyDescent="0.3">
      <c r="A122" t="s">
        <v>1515</v>
      </c>
      <c r="B122" t="s">
        <v>1516</v>
      </c>
      <c r="C122" s="71">
        <v>7290730</v>
      </c>
    </row>
    <row r="123" spans="1:5" x14ac:dyDescent="0.3">
      <c r="A123" t="s">
        <v>1517</v>
      </c>
      <c r="B123" t="s">
        <v>1518</v>
      </c>
      <c r="C123" s="71">
        <v>944315</v>
      </c>
    </row>
    <row r="124" spans="1:5" s="260" customFormat="1" x14ac:dyDescent="0.3">
      <c r="A124" s="260" t="s">
        <v>1519</v>
      </c>
      <c r="B124" s="260" t="s">
        <v>1520</v>
      </c>
      <c r="C124" s="306">
        <v>1176912</v>
      </c>
      <c r="D124" s="306"/>
      <c r="E124" s="306"/>
    </row>
    <row r="125" spans="1:5" s="260" customFormat="1" x14ac:dyDescent="0.3">
      <c r="A125" s="260" t="s">
        <v>1521</v>
      </c>
      <c r="B125" s="260" t="s">
        <v>1522</v>
      </c>
      <c r="C125" s="306">
        <v>81912</v>
      </c>
      <c r="D125" s="306"/>
      <c r="E125" s="306"/>
    </row>
    <row r="126" spans="1:5" x14ac:dyDescent="0.3">
      <c r="A126" t="s">
        <v>1523</v>
      </c>
      <c r="B126" t="s">
        <v>1524</v>
      </c>
      <c r="C126" s="71">
        <v>81912</v>
      </c>
    </row>
    <row r="127" spans="1:5" s="260" customFormat="1" x14ac:dyDescent="0.3">
      <c r="A127" s="260" t="s">
        <v>1525</v>
      </c>
      <c r="B127" s="260" t="s">
        <v>1526</v>
      </c>
      <c r="C127" s="306">
        <v>1095000</v>
      </c>
      <c r="D127" s="306"/>
      <c r="E127" s="306"/>
    </row>
    <row r="128" spans="1:5" s="260" customFormat="1" x14ac:dyDescent="0.3">
      <c r="A128" s="260" t="s">
        <v>1527</v>
      </c>
      <c r="B128" s="260" t="s">
        <v>1528</v>
      </c>
      <c r="C128" s="306">
        <v>1312000</v>
      </c>
      <c r="D128" s="306"/>
      <c r="E128" s="306"/>
    </row>
    <row r="129" spans="1:5" x14ac:dyDescent="0.3">
      <c r="A129" t="s">
        <v>1529</v>
      </c>
      <c r="B129" t="s">
        <v>1530</v>
      </c>
      <c r="C129" s="71">
        <v>1312000</v>
      </c>
    </row>
    <row r="131" spans="1:5" s="260" customFormat="1" x14ac:dyDescent="0.3">
      <c r="A131" s="260" t="s">
        <v>1411</v>
      </c>
      <c r="C131" s="306"/>
      <c r="D131" s="306"/>
      <c r="E131" s="306">
        <v>0</v>
      </c>
    </row>
    <row r="132" spans="1:5" s="260" customFormat="1" x14ac:dyDescent="0.3">
      <c r="A132" s="260" t="s">
        <v>1412</v>
      </c>
      <c r="C132" s="306"/>
      <c r="D132" s="306"/>
      <c r="E132" s="306">
        <v>37620574.504900001</v>
      </c>
    </row>
    <row r="133" spans="1:5" s="260" customFormat="1" x14ac:dyDescent="0.3">
      <c r="C133" s="306"/>
      <c r="D133" s="306"/>
      <c r="E133" s="306"/>
    </row>
    <row r="134" spans="1:5" s="260" customFormat="1" x14ac:dyDescent="0.3">
      <c r="A134" s="260" t="s">
        <v>1413</v>
      </c>
      <c r="C134" s="306"/>
      <c r="D134" s="306"/>
      <c r="E134" s="306">
        <v>9405143.6261999998</v>
      </c>
    </row>
    <row r="135" spans="1:5" s="260" customFormat="1" x14ac:dyDescent="0.3">
      <c r="A135" s="260" t="s">
        <v>1414</v>
      </c>
      <c r="C135" s="306"/>
      <c r="D135" s="306"/>
      <c r="E135" s="306">
        <v>3385851.7053999999</v>
      </c>
    </row>
    <row r="136" spans="1:5" s="260" customFormat="1" x14ac:dyDescent="0.3">
      <c r="C136" s="306"/>
      <c r="D136" s="306"/>
      <c r="E136" s="306"/>
    </row>
    <row r="137" spans="1:5" s="260" customFormat="1" x14ac:dyDescent="0.3">
      <c r="A137" s="260" t="s">
        <v>1415</v>
      </c>
      <c r="C137" s="306"/>
      <c r="D137" s="306"/>
      <c r="E137" s="306">
        <v>24829579.173300002</v>
      </c>
    </row>
  </sheetData>
  <mergeCells count="12">
    <mergeCell ref="O23:O24"/>
    <mergeCell ref="J19:J20"/>
    <mergeCell ref="K19:K20"/>
    <mergeCell ref="L19:L20"/>
    <mergeCell ref="M19:M20"/>
    <mergeCell ref="N19:N20"/>
    <mergeCell ref="O19:O20"/>
    <mergeCell ref="J23:J24"/>
    <mergeCell ref="K23:K24"/>
    <mergeCell ref="L23:L24"/>
    <mergeCell ref="M23:M24"/>
    <mergeCell ref="N23:N2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9A18-F935-4B31-81B5-EC75D690B658}">
  <dimension ref="B2:E27"/>
  <sheetViews>
    <sheetView showGridLines="0" showRowColHeaders="0" topLeftCell="A18" zoomScaleNormal="100" workbookViewId="0">
      <selection activeCell="G4" sqref="G4"/>
    </sheetView>
  </sheetViews>
  <sheetFormatPr baseColWidth="10" defaultRowHeight="14.4" x14ac:dyDescent="0.3"/>
  <sheetData>
    <row r="2" spans="2:5" x14ac:dyDescent="0.3">
      <c r="B2" s="39"/>
      <c r="C2" s="39"/>
      <c r="D2" s="39"/>
      <c r="E2" s="39"/>
    </row>
    <row r="3" spans="2:5" x14ac:dyDescent="0.3">
      <c r="B3" s="39"/>
      <c r="C3" s="39"/>
      <c r="D3" s="39"/>
      <c r="E3" s="39"/>
    </row>
    <row r="4" spans="2:5" x14ac:dyDescent="0.3">
      <c r="B4" s="39"/>
      <c r="C4" s="39"/>
      <c r="D4" s="39"/>
      <c r="E4" s="39"/>
    </row>
    <row r="5" spans="2:5" x14ac:dyDescent="0.3">
      <c r="B5" s="39"/>
      <c r="C5" s="39"/>
      <c r="D5" s="39"/>
      <c r="E5" s="39"/>
    </row>
    <row r="6" spans="2:5" x14ac:dyDescent="0.3">
      <c r="B6" s="39"/>
      <c r="C6" s="39"/>
      <c r="D6" s="39"/>
      <c r="E6" s="39"/>
    </row>
    <row r="7" spans="2:5" x14ac:dyDescent="0.3">
      <c r="B7" s="39"/>
      <c r="C7" s="39"/>
      <c r="D7" s="39"/>
      <c r="E7" s="39"/>
    </row>
    <row r="8" spans="2:5" x14ac:dyDescent="0.3">
      <c r="B8" s="39"/>
      <c r="C8" s="39"/>
      <c r="D8" s="39"/>
      <c r="E8" s="39"/>
    </row>
    <row r="9" spans="2:5" x14ac:dyDescent="0.3">
      <c r="B9" s="39"/>
      <c r="C9" s="39"/>
      <c r="D9" s="39"/>
      <c r="E9" s="39"/>
    </row>
    <row r="10" spans="2:5" x14ac:dyDescent="0.3">
      <c r="B10" s="39"/>
      <c r="C10" s="39"/>
      <c r="D10" s="39"/>
      <c r="E10" s="39"/>
    </row>
    <row r="11" spans="2:5" x14ac:dyDescent="0.3">
      <c r="B11" s="39"/>
      <c r="C11" s="39"/>
      <c r="D11" s="39"/>
      <c r="E11" s="39"/>
    </row>
    <row r="12" spans="2:5" x14ac:dyDescent="0.3">
      <c r="B12" s="39"/>
      <c r="C12" s="39"/>
      <c r="D12" s="39"/>
      <c r="E12" s="39"/>
    </row>
    <row r="13" spans="2:5" x14ac:dyDescent="0.3">
      <c r="B13" s="39"/>
      <c r="C13" s="39"/>
      <c r="D13" s="39"/>
      <c r="E13" s="39"/>
    </row>
    <row r="14" spans="2:5" x14ac:dyDescent="0.3">
      <c r="B14" s="39"/>
      <c r="C14" s="39"/>
      <c r="D14" s="39"/>
      <c r="E14" s="39"/>
    </row>
    <row r="15" spans="2:5" x14ac:dyDescent="0.3">
      <c r="B15" s="39"/>
      <c r="C15" s="39"/>
      <c r="D15" s="39"/>
      <c r="E15" s="39"/>
    </row>
    <row r="16" spans="2:5" x14ac:dyDescent="0.3">
      <c r="B16" s="39"/>
      <c r="C16" s="39"/>
      <c r="D16" s="39"/>
      <c r="E16" s="39"/>
    </row>
    <row r="17" spans="2:5" x14ac:dyDescent="0.3">
      <c r="B17" s="39"/>
      <c r="C17" s="39"/>
      <c r="D17" s="39"/>
      <c r="E17" s="39"/>
    </row>
    <row r="18" spans="2:5" x14ac:dyDescent="0.3">
      <c r="B18" s="39"/>
      <c r="C18" s="39"/>
      <c r="D18" s="39"/>
      <c r="E18" s="39"/>
    </row>
    <row r="19" spans="2:5" x14ac:dyDescent="0.3">
      <c r="B19" s="39"/>
      <c r="C19" s="39"/>
      <c r="D19" s="39"/>
      <c r="E19" s="39"/>
    </row>
    <row r="20" spans="2:5" x14ac:dyDescent="0.3">
      <c r="B20" s="39"/>
      <c r="C20" s="39"/>
      <c r="D20" s="39"/>
      <c r="E20" s="39"/>
    </row>
    <row r="21" spans="2:5" x14ac:dyDescent="0.3">
      <c r="B21" s="39"/>
      <c r="C21" s="39"/>
      <c r="D21" s="39"/>
      <c r="E21" s="39"/>
    </row>
    <row r="22" spans="2:5" x14ac:dyDescent="0.3">
      <c r="B22" s="39"/>
      <c r="C22" s="39"/>
      <c r="D22" s="39"/>
      <c r="E22" s="39"/>
    </row>
    <row r="23" spans="2:5" x14ac:dyDescent="0.3">
      <c r="B23" s="39"/>
      <c r="C23" s="39"/>
      <c r="D23" s="39"/>
      <c r="E23" s="39"/>
    </row>
    <row r="24" spans="2:5" x14ac:dyDescent="0.3">
      <c r="B24" s="39"/>
      <c r="C24" s="39"/>
      <c r="D24" s="39"/>
      <c r="E24" s="39"/>
    </row>
    <row r="25" spans="2:5" x14ac:dyDescent="0.3">
      <c r="B25" s="39"/>
      <c r="C25" s="39"/>
      <c r="D25" s="39"/>
      <c r="E25" s="39"/>
    </row>
    <row r="26" spans="2:5" x14ac:dyDescent="0.3">
      <c r="B26" s="39"/>
      <c r="C26" s="39"/>
      <c r="D26" s="39"/>
      <c r="E26" s="39"/>
    </row>
    <row r="27" spans="2:5" x14ac:dyDescent="0.3">
      <c r="B27" s="39"/>
      <c r="C27" s="39"/>
      <c r="D27" s="39"/>
      <c r="E27" s="3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PRESENTACION</vt:lpstr>
      <vt:lpstr>01-ACTIVIDADES</vt:lpstr>
      <vt:lpstr>02-INDUCTORES</vt:lpstr>
      <vt:lpstr>03-INVENTARIO</vt:lpstr>
      <vt:lpstr>04-MO</vt:lpstr>
      <vt:lpstr>05-EQUIPOS</vt:lpstr>
      <vt:lpstr>06-CIC</vt:lpstr>
      <vt:lpstr>07-CONSUMO DE RECURSOS</vt:lpstr>
      <vt:lpstr>08-DIRECCIONAMIENTO</vt:lpstr>
      <vt:lpstr>09-RESUMEN</vt:lpstr>
      <vt:lpstr>10-ASIGNACION AL PRODUCTO</vt:lpstr>
      <vt:lpstr>11-GRAFICAS</vt:lpstr>
      <vt:lpstr>12-VARIACIONES DESTACADAS</vt:lpstr>
      <vt:lpstr>ESTADO RESULTADOS</vt:lpstr>
      <vt:lpstr>FASES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Sanchez</dc:creator>
  <cp:lastModifiedBy>Carlos Sanchez</cp:lastModifiedBy>
  <dcterms:created xsi:type="dcterms:W3CDTF">2022-07-01T17:24:45Z</dcterms:created>
  <dcterms:modified xsi:type="dcterms:W3CDTF">2023-05-02T18:31:26Z</dcterms:modified>
</cp:coreProperties>
</file>