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PRESENTAR\"/>
    </mc:Choice>
  </mc:AlternateContent>
  <xr:revisionPtr revIDLastSave="0" documentId="13_ncr:1_{5BD4BB11-F5E7-4EB5-A42A-5DD832D9AA7C}" xr6:coauthVersionLast="47" xr6:coauthVersionMax="47" xr10:uidLastSave="{00000000-0000-0000-0000-000000000000}"/>
  <bookViews>
    <workbookView xWindow="-120" yWindow="-120" windowWidth="20730" windowHeight="11160" tabRatio="599" firstSheet="16" activeTab="17" xr2:uid="{82530E58-775B-418E-9667-19AD95C07035}"/>
  </bookViews>
  <sheets>
    <sheet name="PLANOS" sheetId="11" r:id="rId1"/>
    <sheet name="ESTADO DE SITUANCION F INICIAL " sheetId="2" r:id="rId2"/>
    <sheet name="MATRIZ ABC" sheetId="1" r:id="rId3"/>
    <sheet name=" R. MATRIZ DIARIA " sheetId="12" r:id="rId4"/>
    <sheet name=" R. MATRIZ MENSUAL " sheetId="23" r:id="rId5"/>
    <sheet name=" R. MATRIZ ANUAL " sheetId="24" r:id="rId6"/>
    <sheet name="DEPRECIACION" sheetId="3" r:id="rId7"/>
    <sheet name="CIF" sheetId="7" r:id="rId8"/>
    <sheet name="GASTOS ANUALES" sheetId="14" r:id="rId9"/>
    <sheet name="COMPRA DE MP ANUAL" sheetId="18" r:id="rId10"/>
    <sheet name="COSTO DE PRODUCTO DIARIO " sheetId="5" r:id="rId11"/>
    <sheet name="COSTO DE PRODUCTO  ANUAL" sheetId="25" r:id="rId12"/>
    <sheet name="VTA- UTILIDAD ANUAL " sheetId="21" r:id="rId13"/>
    <sheet name="EFECTIVO MENSUAL " sheetId="29" r:id="rId14"/>
    <sheet name="NOMINA   MENSUAL" sheetId="4" r:id="rId15"/>
    <sheet name="NOMINA ANUAL" sheetId="15" r:id="rId16"/>
    <sheet name="R.COSTOS ANUALES" sheetId="13" r:id="rId17"/>
    <sheet name="ESTADO SITUACION FINANCIERA" sheetId="28" r:id="rId18"/>
    <sheet name="ESTADO DE RESULTADO " sheetId="26" r:id="rId19"/>
  </sheets>
  <definedNames>
    <definedName name="_xlnm._FilterDatabase" localSheetId="9" hidden="1">'COMPRA DE MP ANUAL'!$B$8:$AW$8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25" l="1"/>
  <c r="D42" i="21"/>
  <c r="AK22" i="1"/>
  <c r="G41" i="3"/>
  <c r="H41" i="28" l="1"/>
  <c r="G40" i="28" s="1"/>
  <c r="D26" i="3"/>
  <c r="D32" i="3"/>
  <c r="D33" i="3"/>
  <c r="D34" i="3"/>
  <c r="D35" i="3"/>
  <c r="D36" i="3"/>
  <c r="D31" i="3"/>
  <c r="D37" i="3" s="1"/>
  <c r="D25" i="3"/>
  <c r="D24" i="3"/>
  <c r="D23" i="3"/>
  <c r="D22" i="3"/>
  <c r="D21" i="3"/>
  <c r="D20" i="3"/>
  <c r="D19" i="3"/>
  <c r="D18" i="3"/>
  <c r="D17" i="3"/>
  <c r="F17" i="3" s="1"/>
  <c r="H82" i="2"/>
  <c r="H81" i="2" s="1"/>
  <c r="I79" i="2" s="1"/>
  <c r="H75" i="2"/>
  <c r="H74" i="2" s="1"/>
  <c r="I72" i="2" s="1"/>
  <c r="I26" i="2"/>
  <c r="H25" i="2" s="1"/>
  <c r="I20" i="2"/>
  <c r="H19" i="2" s="1"/>
  <c r="I63" i="2"/>
  <c r="H62" i="2" s="1"/>
  <c r="H52" i="2"/>
  <c r="H49" i="2"/>
  <c r="I30" i="2"/>
  <c r="H29" i="2"/>
  <c r="I16" i="2"/>
  <c r="I15" i="2" s="1"/>
  <c r="H13" i="2" s="1"/>
  <c r="G74" i="28"/>
  <c r="H69" i="28"/>
  <c r="G68" i="28" s="1"/>
  <c r="H21" i="28"/>
  <c r="G20" i="28"/>
  <c r="G18" i="28" s="1"/>
  <c r="G48" i="28"/>
  <c r="G59" i="28"/>
  <c r="G44" i="28"/>
  <c r="K42" i="7"/>
  <c r="H16" i="4"/>
  <c r="F28" i="26" s="1"/>
  <c r="F27" i="26" s="1"/>
  <c r="L39" i="7"/>
  <c r="S23" i="13" s="1"/>
  <c r="S25" i="13" s="1"/>
  <c r="D33" i="13"/>
  <c r="B39" i="13"/>
  <c r="B34" i="13"/>
  <c r="B35" i="13"/>
  <c r="B36" i="13"/>
  <c r="B37" i="13"/>
  <c r="B38" i="13"/>
  <c r="B33" i="13"/>
  <c r="E47" i="25"/>
  <c r="C62" i="25" s="1"/>
  <c r="R21" i="21"/>
  <c r="U21" i="21"/>
  <c r="DK39" i="25"/>
  <c r="DP39" i="25" s="1"/>
  <c r="Y39" i="25"/>
  <c r="Y40" i="25"/>
  <c r="AD40" i="25" s="1"/>
  <c r="E39" i="25"/>
  <c r="J39" i="25" s="1"/>
  <c r="DJ56" i="25"/>
  <c r="DH56" i="25"/>
  <c r="CZ56" i="25"/>
  <c r="CX56" i="25"/>
  <c r="DJ55" i="25"/>
  <c r="CZ55" i="25"/>
  <c r="DJ54" i="25"/>
  <c r="CZ54" i="25"/>
  <c r="DJ53" i="25"/>
  <c r="CZ53" i="25"/>
  <c r="DK47" i="25"/>
  <c r="DI62" i="25" s="1"/>
  <c r="T20" i="21" s="1"/>
  <c r="V20" i="21" s="1"/>
  <c r="DA47" i="25"/>
  <c r="CY62" i="25" s="1"/>
  <c r="T19" i="21" s="1"/>
  <c r="V19" i="21" s="1"/>
  <c r="DO42" i="25"/>
  <c r="DJ42" i="25"/>
  <c r="DI42" i="25"/>
  <c r="DE42" i="25"/>
  <c r="CZ42" i="25"/>
  <c r="CY42" i="25"/>
  <c r="DK41" i="25"/>
  <c r="DA41" i="25"/>
  <c r="DK40" i="25"/>
  <c r="DA40" i="25"/>
  <c r="DA39" i="25"/>
  <c r="DK38" i="25"/>
  <c r="DP38" i="25" s="1"/>
  <c r="DA38" i="25"/>
  <c r="DK37" i="25"/>
  <c r="DP37" i="25" s="1"/>
  <c r="DA37" i="25"/>
  <c r="DK36" i="25"/>
  <c r="DA36" i="25"/>
  <c r="DK35" i="25"/>
  <c r="DP35" i="25" s="1"/>
  <c r="DA35" i="25"/>
  <c r="DK34" i="25"/>
  <c r="DP34" i="25" s="1"/>
  <c r="DA34" i="25"/>
  <c r="DK33" i="25"/>
  <c r="DA33" i="25"/>
  <c r="DK32" i="25"/>
  <c r="DP32" i="25" s="1"/>
  <c r="DA32" i="25"/>
  <c r="DK31" i="25"/>
  <c r="DA31" i="25"/>
  <c r="DF31" i="25" s="1"/>
  <c r="DK30" i="25"/>
  <c r="DP30" i="25" s="1"/>
  <c r="DA30" i="25"/>
  <c r="DK29" i="25"/>
  <c r="DA29" i="25"/>
  <c r="DF29" i="25" s="1"/>
  <c r="DK28" i="25"/>
  <c r="DA28" i="25"/>
  <c r="DK27" i="25"/>
  <c r="DA27" i="25"/>
  <c r="DF27" i="25" s="1"/>
  <c r="DK26" i="25"/>
  <c r="DA26" i="25"/>
  <c r="DF26" i="25" s="1"/>
  <c r="DK25" i="25"/>
  <c r="DA25" i="25"/>
  <c r="DK24" i="25"/>
  <c r="DP24" i="25" s="1"/>
  <c r="DA24" i="25"/>
  <c r="DK23" i="25"/>
  <c r="DA23" i="25"/>
  <c r="CP56" i="25"/>
  <c r="CN56" i="25"/>
  <c r="CF56" i="25"/>
  <c r="CD56" i="25"/>
  <c r="BV56" i="25"/>
  <c r="BT56" i="25"/>
  <c r="BL56" i="25"/>
  <c r="BJ56" i="25"/>
  <c r="BB56" i="25"/>
  <c r="AZ56" i="25"/>
  <c r="CP55" i="25"/>
  <c r="CF55" i="25"/>
  <c r="BV55" i="25"/>
  <c r="BL55" i="25"/>
  <c r="BB55" i="25"/>
  <c r="CP54" i="25"/>
  <c r="CF54" i="25"/>
  <c r="BV54" i="25"/>
  <c r="BL54" i="25"/>
  <c r="BB54" i="25"/>
  <c r="CP53" i="25"/>
  <c r="CF53" i="25"/>
  <c r="BV53" i="25"/>
  <c r="BL53" i="25"/>
  <c r="BB53" i="25"/>
  <c r="CQ47" i="25"/>
  <c r="CO62" i="25" s="1"/>
  <c r="T18" i="21" s="1"/>
  <c r="V18" i="21" s="1"/>
  <c r="CG47" i="25"/>
  <c r="CE62" i="25" s="1"/>
  <c r="T17" i="21" s="1"/>
  <c r="V17" i="21" s="1"/>
  <c r="BW47" i="25"/>
  <c r="BU62" i="25" s="1"/>
  <c r="T16" i="21" s="1"/>
  <c r="V16" i="21" s="1"/>
  <c r="BM47" i="25"/>
  <c r="BK62" i="25" s="1"/>
  <c r="T15" i="21" s="1"/>
  <c r="V15" i="21" s="1"/>
  <c r="BC47" i="25"/>
  <c r="BA62" i="25" s="1"/>
  <c r="T14" i="21" s="1"/>
  <c r="V14" i="21" s="1"/>
  <c r="CU42" i="25"/>
  <c r="CP42" i="25"/>
  <c r="CO42" i="25"/>
  <c r="CK42" i="25"/>
  <c r="CF42" i="25"/>
  <c r="CE42" i="25"/>
  <c r="CA42" i="25"/>
  <c r="BV42" i="25"/>
  <c r="BU42" i="25"/>
  <c r="BQ42" i="25"/>
  <c r="BL42" i="25"/>
  <c r="BK42" i="25"/>
  <c r="BG42" i="25"/>
  <c r="BB42" i="25"/>
  <c r="BA42" i="25"/>
  <c r="CQ41" i="25"/>
  <c r="CV41" i="25" s="1"/>
  <c r="CG41" i="25"/>
  <c r="BW41" i="25"/>
  <c r="BM41" i="25"/>
  <c r="BR41" i="25" s="1"/>
  <c r="BC41" i="25"/>
  <c r="BH41" i="25" s="1"/>
  <c r="CQ40" i="25"/>
  <c r="CG40" i="25"/>
  <c r="BW40" i="25"/>
  <c r="BM40" i="25"/>
  <c r="BC40" i="25"/>
  <c r="BH40" i="25" s="1"/>
  <c r="CQ39" i="25"/>
  <c r="CV39" i="25" s="1"/>
  <c r="CG39" i="25"/>
  <c r="BW39" i="25"/>
  <c r="BM39" i="25"/>
  <c r="BC39" i="25"/>
  <c r="CQ38" i="25"/>
  <c r="CV38" i="25" s="1"/>
  <c r="CG38" i="25"/>
  <c r="CL38" i="25" s="1"/>
  <c r="BW38" i="25"/>
  <c r="BM38" i="25"/>
  <c r="BR38" i="25" s="1"/>
  <c r="BC38" i="25"/>
  <c r="BH38" i="25" s="1"/>
  <c r="CQ37" i="25"/>
  <c r="CV37" i="25" s="1"/>
  <c r="CG37" i="25"/>
  <c r="BW37" i="25"/>
  <c r="BM37" i="25"/>
  <c r="BC37" i="25"/>
  <c r="CQ36" i="25"/>
  <c r="CV36" i="25" s="1"/>
  <c r="CG36" i="25"/>
  <c r="BW36" i="25"/>
  <c r="BM36" i="25"/>
  <c r="BC36" i="25"/>
  <c r="CQ35" i="25"/>
  <c r="CG35" i="25"/>
  <c r="BW35" i="25"/>
  <c r="BM35" i="25"/>
  <c r="BC35" i="25"/>
  <c r="BH35" i="25" s="1"/>
  <c r="CQ34" i="25"/>
  <c r="CV34" i="25" s="1"/>
  <c r="CG34" i="25"/>
  <c r="CL34" i="25" s="1"/>
  <c r="BW34" i="25"/>
  <c r="BM34" i="25"/>
  <c r="BC34" i="25"/>
  <c r="CQ33" i="25"/>
  <c r="CG33" i="25"/>
  <c r="BW33" i="25"/>
  <c r="CB33" i="25" s="1"/>
  <c r="BM33" i="25"/>
  <c r="BC33" i="25"/>
  <c r="CQ32" i="25"/>
  <c r="CG32" i="25"/>
  <c r="BW32" i="25"/>
  <c r="CB32" i="25" s="1"/>
  <c r="BM32" i="25"/>
  <c r="BC32" i="25"/>
  <c r="CQ31" i="25"/>
  <c r="CG31" i="25"/>
  <c r="BW31" i="25"/>
  <c r="BM31" i="25"/>
  <c r="BC31" i="25"/>
  <c r="CQ30" i="25"/>
  <c r="CV30" i="25" s="1"/>
  <c r="CG30" i="25"/>
  <c r="BW30" i="25"/>
  <c r="BM30" i="25"/>
  <c r="BC30" i="25"/>
  <c r="BH30" i="25" s="1"/>
  <c r="CQ29" i="25"/>
  <c r="CG29" i="25"/>
  <c r="BW29" i="25"/>
  <c r="CB29" i="25" s="1"/>
  <c r="BM29" i="25"/>
  <c r="BR29" i="25" s="1"/>
  <c r="BC29" i="25"/>
  <c r="CQ28" i="25"/>
  <c r="CG28" i="25"/>
  <c r="BW28" i="25"/>
  <c r="BM28" i="25"/>
  <c r="BR28" i="25" s="1"/>
  <c r="BC28" i="25"/>
  <c r="CQ27" i="25"/>
  <c r="CV27" i="25" s="1"/>
  <c r="CG27" i="25"/>
  <c r="BW27" i="25"/>
  <c r="CB27" i="25" s="1"/>
  <c r="BM27" i="25"/>
  <c r="BC27" i="25"/>
  <c r="CQ26" i="25"/>
  <c r="CG26" i="25"/>
  <c r="BW26" i="25"/>
  <c r="BM26" i="25"/>
  <c r="BC26" i="25"/>
  <c r="BH26" i="25" s="1"/>
  <c r="CQ25" i="25"/>
  <c r="CV25" i="25" s="1"/>
  <c r="CG25" i="25"/>
  <c r="BW25" i="25"/>
  <c r="BM25" i="25"/>
  <c r="BR25" i="25" s="1"/>
  <c r="BC25" i="25"/>
  <c r="BH25" i="25" s="1"/>
  <c r="CQ24" i="25"/>
  <c r="CG24" i="25"/>
  <c r="CL24" i="25" s="1"/>
  <c r="BW24" i="25"/>
  <c r="CB24" i="25" s="1"/>
  <c r="BM24" i="25"/>
  <c r="BR24" i="25" s="1"/>
  <c r="BC24" i="25"/>
  <c r="CQ23" i="25"/>
  <c r="CV23" i="25" s="1"/>
  <c r="CG23" i="25"/>
  <c r="CL23" i="25" s="1"/>
  <c r="BW23" i="25"/>
  <c r="BM23" i="25"/>
  <c r="BC23" i="25"/>
  <c r="BH23" i="25" s="1"/>
  <c r="AR56" i="25"/>
  <c r="AP56" i="25"/>
  <c r="AR55" i="25"/>
  <c r="AR54" i="25"/>
  <c r="AR53" i="25"/>
  <c r="AS47" i="25"/>
  <c r="AQ62" i="25" s="1"/>
  <c r="T13" i="21" s="1"/>
  <c r="V13" i="21" s="1"/>
  <c r="AW42" i="25"/>
  <c r="AR42" i="25"/>
  <c r="AQ42" i="25"/>
  <c r="AS41" i="25"/>
  <c r="AX41" i="25" s="1"/>
  <c r="AS40" i="25"/>
  <c r="AS39" i="25"/>
  <c r="AX39" i="25" s="1"/>
  <c r="AS38" i="25"/>
  <c r="AX38" i="25" s="1"/>
  <c r="AS37" i="25"/>
  <c r="AX37" i="25" s="1"/>
  <c r="AS36" i="25"/>
  <c r="AS35" i="25"/>
  <c r="AX35" i="25" s="1"/>
  <c r="AS34" i="25"/>
  <c r="AX34" i="25" s="1"/>
  <c r="AS33" i="25"/>
  <c r="AX33" i="25" s="1"/>
  <c r="AS32" i="25"/>
  <c r="AS31" i="25"/>
  <c r="AX31" i="25" s="1"/>
  <c r="AS30" i="25"/>
  <c r="AX30" i="25" s="1"/>
  <c r="AS29" i="25"/>
  <c r="AX29" i="25" s="1"/>
  <c r="AS28" i="25"/>
  <c r="AS27" i="25"/>
  <c r="AX27" i="25" s="1"/>
  <c r="AS26" i="25"/>
  <c r="AX26" i="25" s="1"/>
  <c r="AS25" i="25"/>
  <c r="AX25" i="25" s="1"/>
  <c r="AS24" i="25"/>
  <c r="AS23" i="25"/>
  <c r="AH56" i="25"/>
  <c r="AF56" i="25"/>
  <c r="AH55" i="25"/>
  <c r="AH54" i="25"/>
  <c r="AH53" i="25"/>
  <c r="AI47" i="25"/>
  <c r="AG62" i="25" s="1"/>
  <c r="T12" i="21" s="1"/>
  <c r="V12" i="21" s="1"/>
  <c r="AM42" i="25"/>
  <c r="AH42" i="25"/>
  <c r="AG42" i="25"/>
  <c r="AI41" i="25"/>
  <c r="AN41" i="25" s="1"/>
  <c r="AI40" i="25"/>
  <c r="AI39" i="25"/>
  <c r="AN39" i="25" s="1"/>
  <c r="AI38" i="25"/>
  <c r="AI37" i="25"/>
  <c r="AN37" i="25" s="1"/>
  <c r="AI36" i="25"/>
  <c r="AN36" i="25" s="1"/>
  <c r="AI35" i="25"/>
  <c r="AN35" i="25" s="1"/>
  <c r="AI34" i="25"/>
  <c r="AN34" i="25" s="1"/>
  <c r="AI33" i="25"/>
  <c r="AN33" i="25" s="1"/>
  <c r="AI32" i="25"/>
  <c r="AI31" i="25"/>
  <c r="AI30" i="25"/>
  <c r="AI29" i="25"/>
  <c r="AN29" i="25" s="1"/>
  <c r="AI28" i="25"/>
  <c r="AN28" i="25" s="1"/>
  <c r="AI27" i="25"/>
  <c r="AN27" i="25" s="1"/>
  <c r="AI26" i="25"/>
  <c r="AN26" i="25" s="1"/>
  <c r="AI25" i="25"/>
  <c r="AN25" i="25" s="1"/>
  <c r="AI24" i="25"/>
  <c r="AI23" i="25"/>
  <c r="X56" i="25"/>
  <c r="V56" i="25"/>
  <c r="X55" i="25"/>
  <c r="X54" i="25"/>
  <c r="X53" i="25"/>
  <c r="Y47" i="25"/>
  <c r="W62" i="25" s="1"/>
  <c r="T11" i="21" s="1"/>
  <c r="V11" i="21" s="1"/>
  <c r="AC42" i="25"/>
  <c r="X42" i="25"/>
  <c r="W42" i="25"/>
  <c r="Y41" i="25"/>
  <c r="AD41" i="25" s="1"/>
  <c r="Y38" i="25"/>
  <c r="AD38" i="25" s="1"/>
  <c r="Y37" i="25"/>
  <c r="AD37" i="25" s="1"/>
  <c r="Y36" i="25"/>
  <c r="AD36" i="25" s="1"/>
  <c r="Y35" i="25"/>
  <c r="AD35" i="25" s="1"/>
  <c r="Y34" i="25"/>
  <c r="AD34" i="25" s="1"/>
  <c r="Y33" i="25"/>
  <c r="AD33" i="25" s="1"/>
  <c r="Y32" i="25"/>
  <c r="AD32" i="25" s="1"/>
  <c r="Y31" i="25"/>
  <c r="AD31" i="25" s="1"/>
  <c r="Y30" i="25"/>
  <c r="AD30" i="25" s="1"/>
  <c r="Y29" i="25"/>
  <c r="AD29" i="25" s="1"/>
  <c r="Y28" i="25"/>
  <c r="AD28" i="25" s="1"/>
  <c r="Y27" i="25"/>
  <c r="AD27" i="25" s="1"/>
  <c r="Y26" i="25"/>
  <c r="AD26" i="25" s="1"/>
  <c r="Y25" i="25"/>
  <c r="AD25" i="25" s="1"/>
  <c r="Y24" i="25"/>
  <c r="AD24" i="25" s="1"/>
  <c r="Y23" i="25"/>
  <c r="AD23" i="25" s="1"/>
  <c r="N56" i="25"/>
  <c r="L56" i="25"/>
  <c r="N55" i="25"/>
  <c r="N54" i="25"/>
  <c r="N53" i="25"/>
  <c r="O47" i="25"/>
  <c r="M62" i="25" s="1"/>
  <c r="T10" i="21" s="1"/>
  <c r="V10" i="21" s="1"/>
  <c r="S42" i="25"/>
  <c r="N42" i="25"/>
  <c r="M42" i="25"/>
  <c r="O41" i="25"/>
  <c r="T41" i="25" s="1"/>
  <c r="O40" i="25"/>
  <c r="T40" i="25" s="1"/>
  <c r="O39" i="25"/>
  <c r="O38" i="25"/>
  <c r="O37" i="25"/>
  <c r="T37" i="25" s="1"/>
  <c r="O36" i="25"/>
  <c r="T36" i="25" s="1"/>
  <c r="O35" i="25"/>
  <c r="O34" i="25"/>
  <c r="T34" i="25" s="1"/>
  <c r="O33" i="25"/>
  <c r="T33" i="25" s="1"/>
  <c r="O32" i="25"/>
  <c r="T32" i="25" s="1"/>
  <c r="O31" i="25"/>
  <c r="O30" i="25"/>
  <c r="T30" i="25" s="1"/>
  <c r="O29" i="25"/>
  <c r="T29" i="25" s="1"/>
  <c r="O28" i="25"/>
  <c r="T28" i="25" s="1"/>
  <c r="O27" i="25"/>
  <c r="O26" i="25"/>
  <c r="T26" i="25" s="1"/>
  <c r="O25" i="25"/>
  <c r="T25" i="25" s="1"/>
  <c r="O24" i="25"/>
  <c r="T24" i="25" s="1"/>
  <c r="O23" i="25"/>
  <c r="D56" i="25"/>
  <c r="B56" i="25"/>
  <c r="D55" i="25"/>
  <c r="D54" i="25"/>
  <c r="D53" i="25"/>
  <c r="I42" i="25"/>
  <c r="D42" i="25"/>
  <c r="C42" i="25"/>
  <c r="E41" i="25"/>
  <c r="J41" i="25" s="1"/>
  <c r="E40" i="25"/>
  <c r="J40" i="25" s="1"/>
  <c r="E38" i="25"/>
  <c r="J38" i="25" s="1"/>
  <c r="E37" i="25"/>
  <c r="J37" i="25" s="1"/>
  <c r="E36" i="25"/>
  <c r="J36" i="25" s="1"/>
  <c r="E35" i="25"/>
  <c r="J35" i="25" s="1"/>
  <c r="E34" i="25"/>
  <c r="J34" i="25" s="1"/>
  <c r="E33" i="25"/>
  <c r="J33" i="25" s="1"/>
  <c r="E32" i="25"/>
  <c r="J32" i="25" s="1"/>
  <c r="E31" i="25"/>
  <c r="J31" i="25" s="1"/>
  <c r="E30" i="25"/>
  <c r="J30" i="25" s="1"/>
  <c r="E29" i="25"/>
  <c r="J29" i="25" s="1"/>
  <c r="E28" i="25"/>
  <c r="J28" i="25" s="1"/>
  <c r="E27" i="25"/>
  <c r="J27" i="25" s="1"/>
  <c r="E26" i="25"/>
  <c r="J26" i="25" s="1"/>
  <c r="E25" i="25"/>
  <c r="J25" i="25" s="1"/>
  <c r="E24" i="25"/>
  <c r="J24" i="25" s="1"/>
  <c r="E23" i="25"/>
  <c r="J23" i="25" s="1"/>
  <c r="D54" i="5"/>
  <c r="E53" i="5"/>
  <c r="D42" i="5"/>
  <c r="I42" i="5"/>
  <c r="C42" i="5"/>
  <c r="B56" i="5"/>
  <c r="C53" i="5"/>
  <c r="D55" i="5"/>
  <c r="D56" i="5"/>
  <c r="D53" i="5"/>
  <c r="E47" i="5"/>
  <c r="C62" i="5" s="1"/>
  <c r="AF65" i="1"/>
  <c r="AF56" i="1"/>
  <c r="AF55" i="1"/>
  <c r="AF47" i="1"/>
  <c r="AF45" i="1"/>
  <c r="AF38" i="1"/>
  <c r="AF37" i="1"/>
  <c r="AV38" i="1"/>
  <c r="AI28" i="1"/>
  <c r="AI32" i="1"/>
  <c r="AI24" i="1"/>
  <c r="E53" i="14"/>
  <c r="E54" i="14"/>
  <c r="F54" i="14" s="1"/>
  <c r="G54" i="14" s="1"/>
  <c r="H54" i="14" s="1"/>
  <c r="I54" i="14" s="1"/>
  <c r="E55" i="14"/>
  <c r="E56" i="14"/>
  <c r="F56" i="14" s="1"/>
  <c r="G56" i="14" s="1"/>
  <c r="H56" i="14" s="1"/>
  <c r="I56" i="14" s="1"/>
  <c r="E57" i="14"/>
  <c r="F57" i="14" s="1"/>
  <c r="G57" i="14" s="1"/>
  <c r="H57" i="14" s="1"/>
  <c r="I57" i="14" s="1"/>
  <c r="E58" i="14"/>
  <c r="F58" i="14" s="1"/>
  <c r="G58" i="14" s="1"/>
  <c r="H58" i="14" s="1"/>
  <c r="I58" i="14" s="1"/>
  <c r="E59" i="14"/>
  <c r="F59" i="14" s="1"/>
  <c r="G59" i="14" s="1"/>
  <c r="H59" i="14" s="1"/>
  <c r="I59" i="14" s="1"/>
  <c r="E60" i="14"/>
  <c r="F60" i="14" s="1"/>
  <c r="G60" i="14" s="1"/>
  <c r="H60" i="14" s="1"/>
  <c r="I60" i="14" s="1"/>
  <c r="E61" i="14"/>
  <c r="F61" i="14" s="1"/>
  <c r="G61" i="14" s="1"/>
  <c r="H61" i="14" s="1"/>
  <c r="I61" i="14" s="1"/>
  <c r="E62" i="14"/>
  <c r="F62" i="14" s="1"/>
  <c r="G62" i="14" s="1"/>
  <c r="H62" i="14" s="1"/>
  <c r="I62" i="14" s="1"/>
  <c r="E63" i="14"/>
  <c r="F63" i="14" s="1"/>
  <c r="G63" i="14" s="1"/>
  <c r="H63" i="14" s="1"/>
  <c r="I63" i="14" s="1"/>
  <c r="E64" i="14"/>
  <c r="F64" i="14" s="1"/>
  <c r="G64" i="14" s="1"/>
  <c r="H64" i="14" s="1"/>
  <c r="I64" i="14" s="1"/>
  <c r="F53" i="14"/>
  <c r="G53" i="14" s="1"/>
  <c r="H53" i="14" s="1"/>
  <c r="I53" i="14" s="1"/>
  <c r="F55" i="14"/>
  <c r="G55" i="14" s="1"/>
  <c r="H55" i="14" s="1"/>
  <c r="I55" i="14" s="1"/>
  <c r="E52" i="14"/>
  <c r="F52" i="14" s="1"/>
  <c r="G52" i="14" s="1"/>
  <c r="H52" i="14" s="1"/>
  <c r="E46" i="14"/>
  <c r="F46" i="14" s="1"/>
  <c r="G46" i="14" s="1"/>
  <c r="H46" i="14" s="1"/>
  <c r="I46" i="14" s="1"/>
  <c r="E45" i="14"/>
  <c r="F45" i="14" s="1"/>
  <c r="G45" i="14" s="1"/>
  <c r="H45" i="14" s="1"/>
  <c r="I45" i="14" s="1"/>
  <c r="H15" i="5"/>
  <c r="W41" i="18"/>
  <c r="D21" i="13" s="1"/>
  <c r="E21" i="13" s="1"/>
  <c r="D41" i="18"/>
  <c r="D9" i="21" s="1"/>
  <c r="G41" i="18"/>
  <c r="C10" i="21" s="1"/>
  <c r="G10" i="21" s="1"/>
  <c r="H41" i="18"/>
  <c r="M15" i="25" s="1"/>
  <c r="M53" i="25" s="1"/>
  <c r="K41" i="18"/>
  <c r="R14" i="25" s="1"/>
  <c r="L41" i="18"/>
  <c r="D11" i="21" s="1"/>
  <c r="O41" i="18"/>
  <c r="D19" i="13" s="1"/>
  <c r="E19" i="13" s="1"/>
  <c r="P41" i="18"/>
  <c r="D12" i="21" s="1"/>
  <c r="S41" i="18"/>
  <c r="AV14" i="25" s="1"/>
  <c r="AS53" i="25" s="1"/>
  <c r="T41" i="18"/>
  <c r="D13" i="21" s="1"/>
  <c r="X41" i="18"/>
  <c r="BA15" i="25" s="1"/>
  <c r="BA16" i="25" s="1"/>
  <c r="AA41" i="18"/>
  <c r="BP14" i="25" s="1"/>
  <c r="AB41" i="18"/>
  <c r="D15" i="21" s="1"/>
  <c r="AE41" i="18"/>
  <c r="D23" i="13" s="1"/>
  <c r="E23" i="13" s="1"/>
  <c r="AF41" i="18"/>
  <c r="D16" i="21" s="1"/>
  <c r="AI41" i="18"/>
  <c r="CJ14" i="25" s="1"/>
  <c r="AJ41" i="18"/>
  <c r="D17" i="21" s="1"/>
  <c r="AM41" i="18"/>
  <c r="C18" i="21" s="1"/>
  <c r="G18" i="21" s="1"/>
  <c r="AN41" i="18"/>
  <c r="D18" i="21" s="1"/>
  <c r="AQ41" i="18"/>
  <c r="DD14" i="25" s="1"/>
  <c r="DA53" i="25" s="1"/>
  <c r="AR41" i="18"/>
  <c r="D19" i="21" s="1"/>
  <c r="AU41" i="18"/>
  <c r="D27" i="13" s="1"/>
  <c r="E27" i="13" s="1"/>
  <c r="AV41" i="18"/>
  <c r="D20" i="21" s="1"/>
  <c r="C41" i="18"/>
  <c r="C9" i="21" s="1"/>
  <c r="G9" i="21" s="1"/>
  <c r="E24" i="5"/>
  <c r="J24" i="5" s="1"/>
  <c r="E25" i="5"/>
  <c r="J25" i="5" s="1"/>
  <c r="E26" i="5"/>
  <c r="J26" i="5" s="1"/>
  <c r="E27" i="5"/>
  <c r="J27" i="5" s="1"/>
  <c r="E28" i="5"/>
  <c r="J28" i="5" s="1"/>
  <c r="E29" i="5"/>
  <c r="J29" i="5" s="1"/>
  <c r="E30" i="5"/>
  <c r="J30" i="5" s="1"/>
  <c r="E31" i="5"/>
  <c r="J31" i="5" s="1"/>
  <c r="E32" i="5"/>
  <c r="J32" i="5" s="1"/>
  <c r="E33" i="5"/>
  <c r="J33" i="5" s="1"/>
  <c r="E34" i="5"/>
  <c r="J34" i="5" s="1"/>
  <c r="E35" i="5"/>
  <c r="J35" i="5" s="1"/>
  <c r="E36" i="5"/>
  <c r="J36" i="5" s="1"/>
  <c r="E37" i="5"/>
  <c r="J37" i="5" s="1"/>
  <c r="E38" i="5"/>
  <c r="J38" i="5" s="1"/>
  <c r="E39" i="5"/>
  <c r="J39" i="5" s="1"/>
  <c r="E40" i="5"/>
  <c r="J40" i="5" s="1"/>
  <c r="E41" i="5"/>
  <c r="J41" i="5" s="1"/>
  <c r="E23" i="5"/>
  <c r="J23" i="5" s="1"/>
  <c r="C17" i="5"/>
  <c r="C46" i="5" s="1"/>
  <c r="C18" i="5"/>
  <c r="C56" i="5" s="1"/>
  <c r="C16" i="5"/>
  <c r="C54" i="5" s="1"/>
  <c r="AW10" i="18"/>
  <c r="AW11" i="18"/>
  <c r="AW12" i="18"/>
  <c r="AW13" i="18"/>
  <c r="AW14" i="18"/>
  <c r="AW15" i="18"/>
  <c r="AW16" i="18"/>
  <c r="AW17" i="18"/>
  <c r="AW18" i="18"/>
  <c r="AW19" i="18"/>
  <c r="AW20" i="18"/>
  <c r="AW21" i="18"/>
  <c r="AW22" i="18"/>
  <c r="AW23" i="18"/>
  <c r="AW24" i="18"/>
  <c r="AW25" i="18"/>
  <c r="AW26" i="18"/>
  <c r="AW27" i="18"/>
  <c r="AW28" i="18"/>
  <c r="AW29" i="18"/>
  <c r="AW30" i="18"/>
  <c r="AW31" i="18"/>
  <c r="AW32" i="18"/>
  <c r="AW33" i="18"/>
  <c r="AW34" i="18"/>
  <c r="AW35" i="18"/>
  <c r="AW36" i="18"/>
  <c r="AW37" i="18"/>
  <c r="AW38" i="18"/>
  <c r="AW39" i="18"/>
  <c r="AW9" i="18"/>
  <c r="AS10" i="18"/>
  <c r="AS11" i="18"/>
  <c r="AS12" i="18"/>
  <c r="AS13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9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9" i="18"/>
  <c r="AT40" i="18"/>
  <c r="D25" i="29" s="1"/>
  <c r="AP40" i="18"/>
  <c r="D24" i="29" s="1"/>
  <c r="AL40" i="18"/>
  <c r="D23" i="29" s="1"/>
  <c r="AH40" i="18"/>
  <c r="D22" i="29" s="1"/>
  <c r="AD40" i="18"/>
  <c r="D21" i="29" s="1"/>
  <c r="Z40" i="18"/>
  <c r="D20" i="29" s="1"/>
  <c r="V40" i="18"/>
  <c r="D19" i="29" s="1"/>
  <c r="R40" i="18"/>
  <c r="D18" i="29" s="1"/>
  <c r="N40" i="18"/>
  <c r="D17" i="29" s="1"/>
  <c r="J40" i="18"/>
  <c r="D16" i="29" s="1"/>
  <c r="F40" i="18"/>
  <c r="D15" i="29" s="1"/>
  <c r="C40" i="18"/>
  <c r="D14" i="29" s="1"/>
  <c r="L40" i="7"/>
  <c r="M40" i="7" s="1"/>
  <c r="N40" i="7" s="1"/>
  <c r="O40" i="7" s="1"/>
  <c r="P40" i="7" s="1"/>
  <c r="L41" i="7"/>
  <c r="M41" i="7" s="1"/>
  <c r="N41" i="7" s="1"/>
  <c r="O41" i="7" s="1"/>
  <c r="P41" i="7" s="1"/>
  <c r="L38" i="7"/>
  <c r="L37" i="7"/>
  <c r="C38" i="7"/>
  <c r="C39" i="7"/>
  <c r="C40" i="7"/>
  <c r="C41" i="7"/>
  <c r="C37" i="7"/>
  <c r="D22" i="7"/>
  <c r="D18" i="7"/>
  <c r="D20" i="7"/>
  <c r="D19" i="7"/>
  <c r="C30" i="7"/>
  <c r="O30" i="7" s="1"/>
  <c r="F58" i="26" s="1"/>
  <c r="F57" i="26" s="1"/>
  <c r="C31" i="7"/>
  <c r="G31" i="7" s="1"/>
  <c r="C32" i="7"/>
  <c r="P16" i="13" s="1"/>
  <c r="C29" i="7"/>
  <c r="M16" i="13" s="1"/>
  <c r="M28" i="13" s="1"/>
  <c r="D37" i="7" l="1"/>
  <c r="D38" i="7"/>
  <c r="D40" i="7"/>
  <c r="J40" i="7" s="1"/>
  <c r="M37" i="7"/>
  <c r="N37" i="7" s="1"/>
  <c r="Q23" i="13"/>
  <c r="M38" i="7"/>
  <c r="N38" i="7" s="1"/>
  <c r="O38" i="7" s="1"/>
  <c r="P38" i="7" s="1"/>
  <c r="R23" i="13"/>
  <c r="R24" i="13" s="1"/>
  <c r="D41" i="7"/>
  <c r="D39" i="7"/>
  <c r="M39" i="7"/>
  <c r="N39" i="7" s="1"/>
  <c r="O39" i="7" s="1"/>
  <c r="P39" i="7" s="1"/>
  <c r="C55" i="5"/>
  <c r="P18" i="13"/>
  <c r="P26" i="13"/>
  <c r="P19" i="13"/>
  <c r="P27" i="13"/>
  <c r="P20" i="13"/>
  <c r="P17" i="13"/>
  <c r="P21" i="13"/>
  <c r="P22" i="13"/>
  <c r="P23" i="13"/>
  <c r="P24" i="13"/>
  <c r="P25" i="13"/>
  <c r="E54" i="5"/>
  <c r="C15" i="25"/>
  <c r="BU15" i="25"/>
  <c r="BU53" i="25" s="1"/>
  <c r="C12" i="21"/>
  <c r="G12" i="21" s="1"/>
  <c r="D17" i="13"/>
  <c r="E17" i="13" s="1"/>
  <c r="O16" i="13"/>
  <c r="BD27" i="25"/>
  <c r="BZ14" i="25"/>
  <c r="BW53" i="25" s="1"/>
  <c r="BW56" i="25" s="1"/>
  <c r="BU63" i="25" s="1"/>
  <c r="D14" i="21"/>
  <c r="D24" i="13"/>
  <c r="E24" i="13" s="1"/>
  <c r="S24" i="13"/>
  <c r="W15" i="25"/>
  <c r="W17" i="25" s="1"/>
  <c r="W55" i="25" s="1"/>
  <c r="CO15" i="25"/>
  <c r="CO18" i="25" s="1"/>
  <c r="CO56" i="25" s="1"/>
  <c r="D34" i="21" s="1"/>
  <c r="C16" i="21"/>
  <c r="D25" i="13"/>
  <c r="E25" i="13" s="1"/>
  <c r="T23" i="13"/>
  <c r="S27" i="13"/>
  <c r="CT14" i="25"/>
  <c r="CQ53" i="25" s="1"/>
  <c r="T16" i="13"/>
  <c r="S26" i="13"/>
  <c r="DI15" i="25"/>
  <c r="DI17" i="25" s="1"/>
  <c r="DI46" i="25" s="1"/>
  <c r="AG15" i="25"/>
  <c r="DN14" i="25"/>
  <c r="DK53" i="25" s="1"/>
  <c r="F39" i="5"/>
  <c r="G39" i="5" s="1"/>
  <c r="AL14" i="25"/>
  <c r="AI53" i="25" s="1"/>
  <c r="AI54" i="25" s="1"/>
  <c r="C20" i="21"/>
  <c r="U23" i="13"/>
  <c r="J42" i="5"/>
  <c r="C64" i="5" s="1"/>
  <c r="F29" i="5"/>
  <c r="G29" i="5" s="1"/>
  <c r="H29" i="5" s="1"/>
  <c r="D16" i="13"/>
  <c r="N16" i="13"/>
  <c r="N28" i="13" s="1"/>
  <c r="BM53" i="25"/>
  <c r="BM54" i="25" s="1"/>
  <c r="C14" i="21"/>
  <c r="F14" i="21" s="1"/>
  <c r="H14" i="25"/>
  <c r="E53" i="25" s="1"/>
  <c r="E54" i="25" s="1"/>
  <c r="BF14" i="25"/>
  <c r="BC53" i="25" s="1"/>
  <c r="BC54" i="25" s="1"/>
  <c r="D10" i="21"/>
  <c r="F10" i="21" s="1"/>
  <c r="AQ15" i="25"/>
  <c r="AQ16" i="25" s="1"/>
  <c r="AT23" i="25" s="1"/>
  <c r="BK15" i="25"/>
  <c r="CE15" i="25"/>
  <c r="CE16" i="25" s="1"/>
  <c r="CH34" i="25" s="1"/>
  <c r="CY15" i="25"/>
  <c r="CY17" i="25" s="1"/>
  <c r="C11" i="21"/>
  <c r="F11" i="21" s="1"/>
  <c r="C13" i="21"/>
  <c r="G13" i="21" s="1"/>
  <c r="C15" i="21"/>
  <c r="G15" i="21" s="1"/>
  <c r="C17" i="21"/>
  <c r="G17" i="21" s="1"/>
  <c r="C19" i="21"/>
  <c r="F19" i="21" s="1"/>
  <c r="D18" i="13"/>
  <c r="E18" i="13" s="1"/>
  <c r="D22" i="13"/>
  <c r="E22" i="13" s="1"/>
  <c r="D26" i="13"/>
  <c r="E26" i="13" s="1"/>
  <c r="D20" i="13"/>
  <c r="E20" i="13" s="1"/>
  <c r="AB14" i="25"/>
  <c r="Y53" i="25" s="1"/>
  <c r="Y56" i="25" s="1"/>
  <c r="C27" i="21" s="1"/>
  <c r="I41" i="18"/>
  <c r="BD33" i="25"/>
  <c r="F16" i="21"/>
  <c r="F20" i="21"/>
  <c r="F13" i="21"/>
  <c r="BK18" i="25"/>
  <c r="BK56" i="25" s="1"/>
  <c r="D31" i="21" s="1"/>
  <c r="BA18" i="25"/>
  <c r="BK17" i="25"/>
  <c r="F9" i="21"/>
  <c r="F12" i="21"/>
  <c r="W53" i="25"/>
  <c r="CE17" i="25"/>
  <c r="CE55" i="25" s="1"/>
  <c r="G20" i="21"/>
  <c r="G16" i="21"/>
  <c r="F18" i="21"/>
  <c r="AG17" i="25"/>
  <c r="D26" i="29"/>
  <c r="H47" i="2"/>
  <c r="H23" i="2"/>
  <c r="I85" i="2"/>
  <c r="G38" i="28"/>
  <c r="R27" i="13"/>
  <c r="E16" i="13"/>
  <c r="BD36" i="25"/>
  <c r="BD31" i="25"/>
  <c r="BD30" i="25"/>
  <c r="BD24" i="25"/>
  <c r="BD37" i="25"/>
  <c r="J42" i="25"/>
  <c r="Q9" i="21" s="1"/>
  <c r="BD32" i="25"/>
  <c r="BD34" i="25"/>
  <c r="CL35" i="25"/>
  <c r="CB41" i="25"/>
  <c r="DP29" i="25"/>
  <c r="DP36" i="25"/>
  <c r="M16" i="25"/>
  <c r="P36" i="25" s="1"/>
  <c r="M18" i="25"/>
  <c r="M56" i="25" s="1"/>
  <c r="D26" i="21" s="1"/>
  <c r="DI16" i="25"/>
  <c r="DL41" i="25" s="1"/>
  <c r="BD29" i="25"/>
  <c r="M17" i="25"/>
  <c r="BA17" i="25"/>
  <c r="BA55" i="25" s="1"/>
  <c r="CB26" i="25"/>
  <c r="BH27" i="25"/>
  <c r="CL31" i="25"/>
  <c r="CH31" i="25"/>
  <c r="CL33" i="25"/>
  <c r="CL36" i="25"/>
  <c r="W18" i="25"/>
  <c r="W56" i="25" s="1"/>
  <c r="D27" i="21" s="1"/>
  <c r="AG16" i="25"/>
  <c r="AJ31" i="25" s="1"/>
  <c r="BD41" i="25"/>
  <c r="BD35" i="25"/>
  <c r="R15" i="25"/>
  <c r="O52" i="25" s="1"/>
  <c r="BD28" i="25"/>
  <c r="DF28" i="25"/>
  <c r="BU17" i="25"/>
  <c r="BU18" i="25"/>
  <c r="BU56" i="25" s="1"/>
  <c r="D32" i="21" s="1"/>
  <c r="BU16" i="25"/>
  <c r="BX40" i="25" s="1"/>
  <c r="T9" i="21"/>
  <c r="V9" i="21" s="1"/>
  <c r="V21" i="21" s="1"/>
  <c r="CV29" i="25"/>
  <c r="BC55" i="25"/>
  <c r="DP31" i="25"/>
  <c r="DF33" i="25"/>
  <c r="DF41" i="25"/>
  <c r="BA53" i="25"/>
  <c r="CL26" i="25"/>
  <c r="CB35" i="25"/>
  <c r="BD39" i="25"/>
  <c r="AT41" i="25"/>
  <c r="BD38" i="25"/>
  <c r="BD26" i="25"/>
  <c r="AD39" i="25"/>
  <c r="BR23" i="25"/>
  <c r="F27" i="21"/>
  <c r="BZ15" i="25"/>
  <c r="BM55" i="25"/>
  <c r="BD25" i="25"/>
  <c r="BD23" i="25"/>
  <c r="BD40" i="25"/>
  <c r="AJ39" i="25"/>
  <c r="BH31" i="25"/>
  <c r="BR33" i="25"/>
  <c r="BH34" i="25"/>
  <c r="BR36" i="25"/>
  <c r="BH37" i="25"/>
  <c r="CL39" i="25"/>
  <c r="DP40" i="25"/>
  <c r="BA56" i="25"/>
  <c r="D30" i="21" s="1"/>
  <c r="BH29" i="25"/>
  <c r="CL30" i="25"/>
  <c r="BR32" i="25"/>
  <c r="DP33" i="25"/>
  <c r="C16" i="25"/>
  <c r="C54" i="25" s="1"/>
  <c r="K9" i="21" s="1"/>
  <c r="CV26" i="25"/>
  <c r="CB28" i="25"/>
  <c r="BR30" i="25"/>
  <c r="CV31" i="25"/>
  <c r="BH33" i="25"/>
  <c r="CV33" i="25"/>
  <c r="CB34" i="25"/>
  <c r="CV35" i="25"/>
  <c r="CB36" i="25"/>
  <c r="BR37" i="25"/>
  <c r="CB39" i="25"/>
  <c r="BR40" i="25"/>
  <c r="CV40" i="25"/>
  <c r="DK42" i="25"/>
  <c r="DP28" i="25"/>
  <c r="CY46" i="25"/>
  <c r="C17" i="25"/>
  <c r="C55" i="25" s="1"/>
  <c r="BA54" i="25"/>
  <c r="K14" i="21" s="1"/>
  <c r="CL27" i="25"/>
  <c r="CL32" i="25"/>
  <c r="CL37" i="25"/>
  <c r="BH39" i="25"/>
  <c r="CB40" i="25"/>
  <c r="DF30" i="25"/>
  <c r="DF32" i="25"/>
  <c r="BW54" i="25"/>
  <c r="CB31" i="25"/>
  <c r="DP27" i="25"/>
  <c r="DF37" i="25"/>
  <c r="DP41" i="25"/>
  <c r="CQ55" i="25"/>
  <c r="DA42" i="25"/>
  <c r="DA56" i="25"/>
  <c r="DA55" i="25"/>
  <c r="DA54" i="25"/>
  <c r="DF24" i="25"/>
  <c r="DF34" i="25"/>
  <c r="DF38" i="25"/>
  <c r="DP25" i="25"/>
  <c r="DP26" i="25"/>
  <c r="DF35" i="25"/>
  <c r="DF39" i="25"/>
  <c r="DK55" i="25"/>
  <c r="DF23" i="25"/>
  <c r="DF25" i="25"/>
  <c r="DK56" i="25"/>
  <c r="DK54" i="25"/>
  <c r="DP23" i="25"/>
  <c r="DF36" i="25"/>
  <c r="DF40" i="25"/>
  <c r="CL28" i="25"/>
  <c r="CJ15" i="25"/>
  <c r="CG53" i="25"/>
  <c r="CG55" i="25" s="1"/>
  <c r="CQ42" i="25"/>
  <c r="BR26" i="25"/>
  <c r="BU46" i="25"/>
  <c r="BU55" i="25"/>
  <c r="BC42" i="25"/>
  <c r="BW42" i="25"/>
  <c r="CB25" i="25"/>
  <c r="BM42" i="25"/>
  <c r="CG42" i="25"/>
  <c r="BH24" i="25"/>
  <c r="CV24" i="25"/>
  <c r="CL25" i="25"/>
  <c r="BR27" i="25"/>
  <c r="BH28" i="25"/>
  <c r="CV28" i="25"/>
  <c r="CL29" i="25"/>
  <c r="CB23" i="25"/>
  <c r="CB30" i="25"/>
  <c r="BR31" i="25"/>
  <c r="BH32" i="25"/>
  <c r="BR34" i="25"/>
  <c r="BR35" i="25"/>
  <c r="CB37" i="25"/>
  <c r="CB38" i="25"/>
  <c r="CL40" i="25"/>
  <c r="CL41" i="25"/>
  <c r="BW55" i="25"/>
  <c r="CQ54" i="25"/>
  <c r="CQ56" i="25"/>
  <c r="CV32" i="25"/>
  <c r="BH36" i="25"/>
  <c r="BR39" i="25"/>
  <c r="C18" i="25"/>
  <c r="C56" i="25" s="1"/>
  <c r="C53" i="25"/>
  <c r="E42" i="25"/>
  <c r="O53" i="25"/>
  <c r="O54" i="25" s="1"/>
  <c r="AN23" i="25"/>
  <c r="AN31" i="25"/>
  <c r="O42" i="25"/>
  <c r="AN30" i="25"/>
  <c r="AN38" i="25"/>
  <c r="M54" i="25"/>
  <c r="K10" i="21" s="1"/>
  <c r="Y55" i="25"/>
  <c r="AN24" i="25"/>
  <c r="AN32" i="25"/>
  <c r="AN40" i="25"/>
  <c r="AS42" i="25"/>
  <c r="AQ54" i="25"/>
  <c r="K13" i="21" s="1"/>
  <c r="AI42" i="25"/>
  <c r="Y42" i="25"/>
  <c r="AS54" i="25"/>
  <c r="AS56" i="25"/>
  <c r="AS55" i="25"/>
  <c r="AX23" i="25"/>
  <c r="AX24" i="25"/>
  <c r="AX28" i="25"/>
  <c r="AX32" i="25"/>
  <c r="AX36" i="25"/>
  <c r="AX40" i="25"/>
  <c r="Y54" i="25"/>
  <c r="W63" i="25"/>
  <c r="T38" i="25"/>
  <c r="T23" i="25"/>
  <c r="T27" i="25"/>
  <c r="T31" i="25"/>
  <c r="T35" i="25"/>
  <c r="T39" i="25"/>
  <c r="F34" i="5"/>
  <c r="G34" i="5" s="1"/>
  <c r="F38" i="5"/>
  <c r="G38" i="5" s="1"/>
  <c r="H38" i="5" s="1"/>
  <c r="F33" i="5"/>
  <c r="G33" i="5" s="1"/>
  <c r="H33" i="5" s="1"/>
  <c r="F27" i="5"/>
  <c r="G27" i="5" s="1"/>
  <c r="H27" i="5" s="1"/>
  <c r="E55" i="5"/>
  <c r="F23" i="5"/>
  <c r="G23" i="5" s="1"/>
  <c r="H23" i="5" s="1"/>
  <c r="F37" i="5"/>
  <c r="G37" i="5" s="1"/>
  <c r="H37" i="5" s="1"/>
  <c r="F31" i="5"/>
  <c r="G31" i="5" s="1"/>
  <c r="H31" i="5" s="1"/>
  <c r="F26" i="5"/>
  <c r="G26" i="5" s="1"/>
  <c r="H26" i="5" s="1"/>
  <c r="F41" i="5"/>
  <c r="G41" i="5" s="1"/>
  <c r="H41" i="5" s="1"/>
  <c r="F35" i="5"/>
  <c r="G35" i="5" s="1"/>
  <c r="H35" i="5" s="1"/>
  <c r="F30" i="5"/>
  <c r="G30" i="5" s="1"/>
  <c r="H30" i="5" s="1"/>
  <c r="F25" i="5"/>
  <c r="G25" i="5" s="1"/>
  <c r="H25" i="5" s="1"/>
  <c r="E42" i="5"/>
  <c r="E56" i="5"/>
  <c r="C63" i="5" s="1"/>
  <c r="F40" i="5"/>
  <c r="G40" i="5" s="1"/>
  <c r="H40" i="5" s="1"/>
  <c r="F36" i="5"/>
  <c r="G36" i="5" s="1"/>
  <c r="H36" i="5" s="1"/>
  <c r="F32" i="5"/>
  <c r="G32" i="5" s="1"/>
  <c r="H32" i="5" s="1"/>
  <c r="F28" i="5"/>
  <c r="G28" i="5" s="1"/>
  <c r="H28" i="5" s="1"/>
  <c r="F24" i="5"/>
  <c r="G24" i="5" s="1"/>
  <c r="H24" i="5" s="1"/>
  <c r="H16" i="5"/>
  <c r="H39" i="5"/>
  <c r="H34" i="5"/>
  <c r="I52" i="14"/>
  <c r="I65" i="14" s="1"/>
  <c r="AV24" i="1" s="1"/>
  <c r="H65" i="14"/>
  <c r="G65" i="14"/>
  <c r="E87" i="14" s="1"/>
  <c r="F87" i="14" s="1"/>
  <c r="G87" i="14" s="1"/>
  <c r="E65" i="14"/>
  <c r="F65" i="14"/>
  <c r="D87" i="14" s="1"/>
  <c r="L42" i="7"/>
  <c r="Q41" i="18"/>
  <c r="E41" i="18"/>
  <c r="M41" i="18"/>
  <c r="AC41" i="18"/>
  <c r="AO41" i="18"/>
  <c r="AW41" i="18"/>
  <c r="Y41" i="18"/>
  <c r="AK41" i="18"/>
  <c r="U41" i="18"/>
  <c r="AG41" i="18"/>
  <c r="AS41" i="18"/>
  <c r="F37" i="7"/>
  <c r="I37" i="7"/>
  <c r="H37" i="7"/>
  <c r="E37" i="7"/>
  <c r="G32" i="7"/>
  <c r="G33" i="7" s="1"/>
  <c r="G37" i="7"/>
  <c r="K32" i="7"/>
  <c r="C33" i="7"/>
  <c r="J37" i="7"/>
  <c r="J31" i="7"/>
  <c r="N32" i="7"/>
  <c r="J32" i="7"/>
  <c r="F32" i="7"/>
  <c r="M31" i="7"/>
  <c r="I31" i="7"/>
  <c r="E31" i="7"/>
  <c r="D32" i="7"/>
  <c r="M32" i="7"/>
  <c r="I32" i="7"/>
  <c r="E32" i="7"/>
  <c r="L31" i="7"/>
  <c r="H31" i="7"/>
  <c r="O29" i="7"/>
  <c r="F56" i="26" s="1"/>
  <c r="F55" i="26" s="1"/>
  <c r="N31" i="7"/>
  <c r="F31" i="7"/>
  <c r="F33" i="7" s="1"/>
  <c r="D31" i="7"/>
  <c r="L32" i="7"/>
  <c r="H32" i="7"/>
  <c r="K31" i="7"/>
  <c r="H280" i="15"/>
  <c r="E280" i="15"/>
  <c r="G279" i="15"/>
  <c r="I279" i="15" s="1"/>
  <c r="G278" i="15"/>
  <c r="I278" i="15" s="1"/>
  <c r="G277" i="15"/>
  <c r="I277" i="15" s="1"/>
  <c r="H256" i="15"/>
  <c r="E256" i="15"/>
  <c r="G255" i="15"/>
  <c r="I255" i="15" s="1"/>
  <c r="G254" i="15"/>
  <c r="I254" i="15" s="1"/>
  <c r="G253" i="15"/>
  <c r="I253" i="15" s="1"/>
  <c r="H232" i="15"/>
  <c r="E232" i="15"/>
  <c r="G231" i="15"/>
  <c r="I231" i="15" s="1"/>
  <c r="G230" i="15"/>
  <c r="I230" i="15" s="1"/>
  <c r="G229" i="15"/>
  <c r="I229" i="15" s="1"/>
  <c r="H208" i="15"/>
  <c r="E208" i="15"/>
  <c r="G207" i="15"/>
  <c r="I207" i="15" s="1"/>
  <c r="G206" i="15"/>
  <c r="I206" i="15" s="1"/>
  <c r="G205" i="15"/>
  <c r="I205" i="15" s="1"/>
  <c r="H184" i="15"/>
  <c r="E184" i="15"/>
  <c r="G183" i="15"/>
  <c r="I183" i="15" s="1"/>
  <c r="G182" i="15"/>
  <c r="I182" i="15" s="1"/>
  <c r="G181" i="15"/>
  <c r="I181" i="15" s="1"/>
  <c r="H160" i="15"/>
  <c r="E160" i="15"/>
  <c r="G159" i="15"/>
  <c r="I159" i="15" s="1"/>
  <c r="G158" i="15"/>
  <c r="I158" i="15" s="1"/>
  <c r="G157" i="15"/>
  <c r="I157" i="15" s="1"/>
  <c r="H136" i="15"/>
  <c r="E136" i="15"/>
  <c r="G135" i="15"/>
  <c r="I135" i="15" s="1"/>
  <c r="G134" i="15"/>
  <c r="I134" i="15" s="1"/>
  <c r="G133" i="15"/>
  <c r="I133" i="15" s="1"/>
  <c r="H112" i="15"/>
  <c r="E112" i="15"/>
  <c r="G111" i="15"/>
  <c r="I111" i="15" s="1"/>
  <c r="G110" i="15"/>
  <c r="I110" i="15" s="1"/>
  <c r="G109" i="15"/>
  <c r="I109" i="15" s="1"/>
  <c r="H88" i="15"/>
  <c r="E88" i="15"/>
  <c r="G87" i="15"/>
  <c r="I87" i="15" s="1"/>
  <c r="G86" i="15"/>
  <c r="I86" i="15" s="1"/>
  <c r="G85" i="15"/>
  <c r="I85" i="15" s="1"/>
  <c r="H64" i="15"/>
  <c r="E64" i="15"/>
  <c r="G63" i="15"/>
  <c r="I63" i="15" s="1"/>
  <c r="G62" i="15"/>
  <c r="I62" i="15" s="1"/>
  <c r="G61" i="15"/>
  <c r="I61" i="15" s="1"/>
  <c r="H40" i="15"/>
  <c r="E40" i="15"/>
  <c r="G39" i="15"/>
  <c r="I39" i="15" s="1"/>
  <c r="G38" i="15"/>
  <c r="I38" i="15" s="1"/>
  <c r="G37" i="15"/>
  <c r="I37" i="15" s="1"/>
  <c r="H16" i="15"/>
  <c r="E16" i="15"/>
  <c r="G15" i="15"/>
  <c r="I15" i="15" s="1"/>
  <c r="G14" i="15"/>
  <c r="I14" i="15" s="1"/>
  <c r="G13" i="15"/>
  <c r="I13" i="15" s="1"/>
  <c r="E33" i="14"/>
  <c r="F33" i="14" s="1"/>
  <c r="G33" i="14" s="1"/>
  <c r="H33" i="14" s="1"/>
  <c r="I33" i="14" s="1"/>
  <c r="E34" i="14"/>
  <c r="F34" i="14" s="1"/>
  <c r="G34" i="14" s="1"/>
  <c r="H34" i="14" s="1"/>
  <c r="I34" i="14" s="1"/>
  <c r="E35" i="14"/>
  <c r="F35" i="14" s="1"/>
  <c r="G35" i="14" s="1"/>
  <c r="H35" i="14" s="1"/>
  <c r="I35" i="14" s="1"/>
  <c r="E36" i="14"/>
  <c r="F36" i="14" s="1"/>
  <c r="G36" i="14" s="1"/>
  <c r="H36" i="14" s="1"/>
  <c r="I36" i="14" s="1"/>
  <c r="E37" i="14"/>
  <c r="F37" i="14" s="1"/>
  <c r="G37" i="14" s="1"/>
  <c r="H37" i="14" s="1"/>
  <c r="I37" i="14" s="1"/>
  <c r="E38" i="14"/>
  <c r="F38" i="14" s="1"/>
  <c r="G38" i="14" s="1"/>
  <c r="H38" i="14" s="1"/>
  <c r="I38" i="14" s="1"/>
  <c r="E39" i="14"/>
  <c r="F39" i="14" s="1"/>
  <c r="G39" i="14" s="1"/>
  <c r="H39" i="14" s="1"/>
  <c r="I39" i="14" s="1"/>
  <c r="E40" i="14"/>
  <c r="F40" i="14" s="1"/>
  <c r="G40" i="14" s="1"/>
  <c r="H40" i="14" s="1"/>
  <c r="I40" i="14" s="1"/>
  <c r="E41" i="14"/>
  <c r="F41" i="14" s="1"/>
  <c r="G41" i="14" s="1"/>
  <c r="H41" i="14" s="1"/>
  <c r="I41" i="14" s="1"/>
  <c r="E42" i="14"/>
  <c r="F42" i="14" s="1"/>
  <c r="G42" i="14" s="1"/>
  <c r="H42" i="14" s="1"/>
  <c r="I42" i="14" s="1"/>
  <c r="E43" i="14"/>
  <c r="F43" i="14" s="1"/>
  <c r="G43" i="14" s="1"/>
  <c r="H43" i="14" s="1"/>
  <c r="I43" i="14" s="1"/>
  <c r="E44" i="14"/>
  <c r="F44" i="14" s="1"/>
  <c r="G44" i="14" s="1"/>
  <c r="H44" i="14" s="1"/>
  <c r="I44" i="14" s="1"/>
  <c r="E47" i="14"/>
  <c r="F47" i="14" s="1"/>
  <c r="G47" i="14" s="1"/>
  <c r="H47" i="14" s="1"/>
  <c r="I47" i="14" s="1"/>
  <c r="E32" i="14"/>
  <c r="E14" i="14"/>
  <c r="F14" i="14" s="1"/>
  <c r="G14" i="14" s="1"/>
  <c r="H14" i="14" s="1"/>
  <c r="I14" i="14" s="1"/>
  <c r="E15" i="14"/>
  <c r="F15" i="14" s="1"/>
  <c r="G15" i="14" s="1"/>
  <c r="H15" i="14" s="1"/>
  <c r="I15" i="14" s="1"/>
  <c r="E16" i="14"/>
  <c r="F16" i="14" s="1"/>
  <c r="G16" i="14" s="1"/>
  <c r="H16" i="14" s="1"/>
  <c r="I16" i="14" s="1"/>
  <c r="E17" i="14"/>
  <c r="F17" i="14" s="1"/>
  <c r="G17" i="14" s="1"/>
  <c r="H17" i="14" s="1"/>
  <c r="I17" i="14" s="1"/>
  <c r="E13" i="14"/>
  <c r="F13" i="14" s="1"/>
  <c r="F27" i="14"/>
  <c r="C27" i="14"/>
  <c r="E24" i="14"/>
  <c r="G24" i="14" s="1"/>
  <c r="H24" i="14" s="1"/>
  <c r="I24" i="14" s="1"/>
  <c r="J24" i="14" s="1"/>
  <c r="K24" i="14" s="1"/>
  <c r="L24" i="14" s="1"/>
  <c r="E25" i="14"/>
  <c r="G25" i="14" s="1"/>
  <c r="H25" i="14" s="1"/>
  <c r="I25" i="14" s="1"/>
  <c r="J25" i="14" s="1"/>
  <c r="K25" i="14" s="1"/>
  <c r="L25" i="14" s="1"/>
  <c r="E26" i="14"/>
  <c r="G26" i="14" s="1"/>
  <c r="H26" i="14" s="1"/>
  <c r="I26" i="14" s="1"/>
  <c r="J26" i="14" s="1"/>
  <c r="K26" i="14" s="1"/>
  <c r="L26" i="14" s="1"/>
  <c r="E23" i="14"/>
  <c r="G23" i="14" s="1"/>
  <c r="H23" i="14" s="1"/>
  <c r="I23" i="14" s="1"/>
  <c r="D57" i="3"/>
  <c r="D52" i="3"/>
  <c r="E56" i="3"/>
  <c r="E57" i="3" s="1"/>
  <c r="F56" i="3"/>
  <c r="F57" i="3" s="1"/>
  <c r="G56" i="3"/>
  <c r="G57" i="3" s="1"/>
  <c r="H56" i="3"/>
  <c r="H57" i="3" s="1"/>
  <c r="I56" i="3"/>
  <c r="I57" i="3" s="1"/>
  <c r="J56" i="3"/>
  <c r="J57" i="3" s="1"/>
  <c r="E18" i="7"/>
  <c r="F18" i="7" s="1"/>
  <c r="G18" i="7" s="1"/>
  <c r="AP32" i="1" s="1"/>
  <c r="E21" i="7"/>
  <c r="F21" i="7" s="1"/>
  <c r="G21" i="7" s="1"/>
  <c r="AN23" i="1" s="1"/>
  <c r="AN32" i="1" s="1"/>
  <c r="E51" i="3"/>
  <c r="F51" i="3"/>
  <c r="G51" i="3"/>
  <c r="H51" i="3"/>
  <c r="I51" i="3"/>
  <c r="J51" i="3"/>
  <c r="K23" i="1" s="1"/>
  <c r="L23" i="1" s="1"/>
  <c r="M23" i="1" s="1"/>
  <c r="E19" i="7"/>
  <c r="F19" i="7" s="1"/>
  <c r="G19" i="7" s="1"/>
  <c r="AQ32" i="1" s="1"/>
  <c r="E17" i="7"/>
  <c r="F17" i="7" s="1"/>
  <c r="G17" i="7" s="1"/>
  <c r="AM22" i="1" s="1"/>
  <c r="E26" i="3"/>
  <c r="E25" i="3"/>
  <c r="J24" i="3"/>
  <c r="K64" i="1" s="1"/>
  <c r="L64" i="1" s="1"/>
  <c r="J23" i="3"/>
  <c r="K41" i="1" s="1"/>
  <c r="L41" i="1" s="1"/>
  <c r="J18" i="3"/>
  <c r="K46" i="1" s="1"/>
  <c r="L46" i="1" s="1"/>
  <c r="J19" i="3"/>
  <c r="K59" i="1" s="1"/>
  <c r="L59" i="1" s="1"/>
  <c r="E20" i="3"/>
  <c r="J21" i="3"/>
  <c r="K61" i="1" s="1"/>
  <c r="L61" i="1" s="1"/>
  <c r="J22" i="3"/>
  <c r="K62" i="1" s="1"/>
  <c r="L62" i="1" s="1"/>
  <c r="E32" i="3"/>
  <c r="H32" i="3" s="1"/>
  <c r="E33" i="3"/>
  <c r="G33" i="3" s="1"/>
  <c r="E34" i="3"/>
  <c r="F34" i="3" s="1"/>
  <c r="E35" i="3"/>
  <c r="E36" i="3"/>
  <c r="F36" i="3" s="1"/>
  <c r="E31" i="3"/>
  <c r="J42" i="3"/>
  <c r="K44" i="1" s="1"/>
  <c r="L44" i="1" s="1"/>
  <c r="J43" i="3"/>
  <c r="K37" i="1" s="1"/>
  <c r="L37" i="1" s="1"/>
  <c r="M37" i="1" s="1"/>
  <c r="J44" i="3"/>
  <c r="K52" i="1" s="1"/>
  <c r="L52" i="1" s="1"/>
  <c r="J45" i="3"/>
  <c r="K40" i="1" s="1"/>
  <c r="L40" i="1" s="1"/>
  <c r="J46" i="3"/>
  <c r="K39" i="1" s="1"/>
  <c r="L39" i="1" s="1"/>
  <c r="J47" i="3"/>
  <c r="K56" i="1" s="1"/>
  <c r="L56" i="1" s="1"/>
  <c r="J48" i="3"/>
  <c r="K38" i="1" s="1"/>
  <c r="L38" i="1" s="1"/>
  <c r="J49" i="3"/>
  <c r="K43" i="1" s="1"/>
  <c r="L43" i="1" s="1"/>
  <c r="J50" i="3"/>
  <c r="J41" i="3"/>
  <c r="K58" i="1" s="1"/>
  <c r="L58" i="1" s="1"/>
  <c r="I42" i="3"/>
  <c r="I43" i="3"/>
  <c r="I44" i="3"/>
  <c r="I45" i="3"/>
  <c r="I46" i="3"/>
  <c r="I47" i="3"/>
  <c r="I48" i="3"/>
  <c r="I49" i="3"/>
  <c r="I50" i="3"/>
  <c r="I41" i="3"/>
  <c r="H42" i="3"/>
  <c r="H43" i="3"/>
  <c r="H44" i="3"/>
  <c r="H45" i="3"/>
  <c r="H46" i="3"/>
  <c r="H47" i="3"/>
  <c r="H48" i="3"/>
  <c r="H49" i="3"/>
  <c r="H50" i="3"/>
  <c r="H41" i="3"/>
  <c r="G42" i="3"/>
  <c r="G43" i="3"/>
  <c r="G44" i="3"/>
  <c r="G45" i="3"/>
  <c r="G46" i="3"/>
  <c r="G47" i="3"/>
  <c r="G48" i="3"/>
  <c r="G49" i="3"/>
  <c r="G50" i="3"/>
  <c r="F42" i="3"/>
  <c r="F43" i="3"/>
  <c r="F44" i="3"/>
  <c r="F45" i="3"/>
  <c r="F46" i="3"/>
  <c r="F47" i="3"/>
  <c r="F48" i="3"/>
  <c r="F49" i="3"/>
  <c r="F50" i="3"/>
  <c r="F41" i="3"/>
  <c r="E50" i="3"/>
  <c r="E49" i="3"/>
  <c r="E48" i="3"/>
  <c r="E47" i="3"/>
  <c r="E46" i="3"/>
  <c r="E14" i="7"/>
  <c r="F14" i="7" s="1"/>
  <c r="G14" i="7" s="1"/>
  <c r="AJ38" i="1" s="1"/>
  <c r="E15" i="7"/>
  <c r="F15" i="7" s="1"/>
  <c r="G15" i="7" s="1"/>
  <c r="E16" i="7"/>
  <c r="F16" i="7" s="1"/>
  <c r="G16" i="7" s="1"/>
  <c r="AL22" i="1" s="1"/>
  <c r="E41" i="3"/>
  <c r="E42" i="3"/>
  <c r="E43" i="3"/>
  <c r="E44" i="3"/>
  <c r="E45" i="3"/>
  <c r="E16" i="4"/>
  <c r="G15" i="4"/>
  <c r="G14" i="4"/>
  <c r="G13" i="4"/>
  <c r="M42" i="7" l="1"/>
  <c r="R25" i="13"/>
  <c r="R26" i="13"/>
  <c r="E37" i="3"/>
  <c r="AL15" i="25"/>
  <c r="AI52" i="25" s="1"/>
  <c r="AJ32" i="25"/>
  <c r="AK32" i="25" s="1"/>
  <c r="AL32" i="25" s="1"/>
  <c r="AT30" i="25"/>
  <c r="CO16" i="25"/>
  <c r="AT24" i="25"/>
  <c r="R16" i="13"/>
  <c r="I40" i="7"/>
  <c r="AB15" i="25"/>
  <c r="AB16" i="25" s="1"/>
  <c r="CT15" i="25"/>
  <c r="CQ52" i="25" s="1"/>
  <c r="CY18" i="25"/>
  <c r="CY56" i="25" s="1"/>
  <c r="D35" i="21" s="1"/>
  <c r="AT37" i="25"/>
  <c r="DI53" i="25"/>
  <c r="AT27" i="25"/>
  <c r="AI55" i="25"/>
  <c r="C32" i="21"/>
  <c r="F32" i="21" s="1"/>
  <c r="G14" i="21"/>
  <c r="U16" i="13"/>
  <c r="S16" i="13"/>
  <c r="F40" i="7"/>
  <c r="D42" i="7"/>
  <c r="E14" i="29" s="1"/>
  <c r="DI18" i="25"/>
  <c r="DI56" i="25" s="1"/>
  <c r="D36" i="21" s="1"/>
  <c r="G40" i="7"/>
  <c r="H40" i="7"/>
  <c r="E40" i="7"/>
  <c r="Q40" i="7" s="1"/>
  <c r="F77" i="26" s="1"/>
  <c r="F76" i="26" s="1"/>
  <c r="DN15" i="25"/>
  <c r="DK52" i="25" s="1"/>
  <c r="BM56" i="25"/>
  <c r="C31" i="21" s="1"/>
  <c r="F31" i="21" s="1"/>
  <c r="AT39" i="25"/>
  <c r="AI56" i="25"/>
  <c r="W16" i="25"/>
  <c r="Z37" i="25" s="1"/>
  <c r="AA37" i="25" s="1"/>
  <c r="AB37" i="25" s="1"/>
  <c r="Q16" i="13"/>
  <c r="P28" i="13"/>
  <c r="AV28" i="1"/>
  <c r="AV32" i="1"/>
  <c r="AV56" i="1" s="1"/>
  <c r="D48" i="21"/>
  <c r="F17" i="26"/>
  <c r="T25" i="13"/>
  <c r="T26" i="13"/>
  <c r="T27" i="13"/>
  <c r="T24" i="13"/>
  <c r="C87" i="14"/>
  <c r="D37" i="13" s="1"/>
  <c r="F75" i="26"/>
  <c r="F74" i="26" s="1"/>
  <c r="AG18" i="25"/>
  <c r="AG56" i="25" s="1"/>
  <c r="D28" i="21" s="1"/>
  <c r="AG53" i="25"/>
  <c r="O22" i="13"/>
  <c r="O23" i="13"/>
  <c r="O24" i="13"/>
  <c r="O25" i="13"/>
  <c r="O18" i="13"/>
  <c r="O26" i="13"/>
  <c r="O19" i="13"/>
  <c r="O27" i="13"/>
  <c r="O20" i="13"/>
  <c r="O17" i="13"/>
  <c r="O21" i="13"/>
  <c r="CO17" i="25"/>
  <c r="CO53" i="25"/>
  <c r="U24" i="13"/>
  <c r="U25" i="13"/>
  <c r="U26" i="13"/>
  <c r="U27" i="13"/>
  <c r="T20" i="13"/>
  <c r="T21" i="13"/>
  <c r="T22" i="13"/>
  <c r="T17" i="13"/>
  <c r="T18" i="13"/>
  <c r="T19" i="13"/>
  <c r="Q25" i="13"/>
  <c r="Q26" i="13"/>
  <c r="Q27" i="13"/>
  <c r="Q24" i="13"/>
  <c r="AQ18" i="25"/>
  <c r="AQ56" i="25" s="1"/>
  <c r="D29" i="21" s="1"/>
  <c r="BC56" i="25"/>
  <c r="CH23" i="25"/>
  <c r="CR30" i="25"/>
  <c r="CR40" i="25"/>
  <c r="CR37" i="25"/>
  <c r="CR25" i="25"/>
  <c r="CS25" i="25" s="1"/>
  <c r="CT25" i="25" s="1"/>
  <c r="CE53" i="25"/>
  <c r="CH40" i="25"/>
  <c r="BF15" i="25"/>
  <c r="CE46" i="25"/>
  <c r="CE54" i="25"/>
  <c r="K17" i="21" s="1"/>
  <c r="CR38" i="25"/>
  <c r="CR23" i="25"/>
  <c r="CH26" i="25"/>
  <c r="CI26" i="25" s="1"/>
  <c r="CJ26" i="25" s="1"/>
  <c r="CR29" i="25"/>
  <c r="CH38" i="25"/>
  <c r="CR27" i="25"/>
  <c r="CH24" i="25"/>
  <c r="CR35" i="25"/>
  <c r="CS35" i="25" s="1"/>
  <c r="CT35" i="25" s="1"/>
  <c r="CR31" i="25"/>
  <c r="CH35" i="25"/>
  <c r="CH33" i="25"/>
  <c r="CH25" i="25"/>
  <c r="F15" i="21"/>
  <c r="CH30" i="25"/>
  <c r="CR34" i="25"/>
  <c r="DL34" i="25"/>
  <c r="CE18" i="25"/>
  <c r="CE56" i="25" s="1"/>
  <c r="D33" i="21" s="1"/>
  <c r="D28" i="13"/>
  <c r="CH37" i="25"/>
  <c r="CH27" i="25"/>
  <c r="CI27" i="25" s="1"/>
  <c r="CJ27" i="25" s="1"/>
  <c r="CH32" i="25"/>
  <c r="CH39" i="25"/>
  <c r="E56" i="25"/>
  <c r="C63" i="25" s="1"/>
  <c r="C25" i="21" s="1"/>
  <c r="F25" i="21" s="1"/>
  <c r="Z34" i="25"/>
  <c r="AQ53" i="25"/>
  <c r="Z25" i="25"/>
  <c r="AT25" i="25"/>
  <c r="AQ17" i="25"/>
  <c r="AQ46" i="25" s="1"/>
  <c r="AT35" i="25"/>
  <c r="AT34" i="25"/>
  <c r="AT36" i="25"/>
  <c r="CH28" i="25"/>
  <c r="Z38" i="25"/>
  <c r="Z32" i="25"/>
  <c r="AT40" i="25"/>
  <c r="AU40" i="25" s="1"/>
  <c r="AV40" i="25" s="1"/>
  <c r="AT29" i="25"/>
  <c r="AT26" i="25"/>
  <c r="G11" i="21"/>
  <c r="AT32" i="25"/>
  <c r="G19" i="21"/>
  <c r="E55" i="25"/>
  <c r="H15" i="25"/>
  <c r="AV15" i="25"/>
  <c r="AV16" i="25" s="1"/>
  <c r="W54" i="25"/>
  <c r="K11" i="21" s="1"/>
  <c r="DI55" i="25"/>
  <c r="Z36" i="25"/>
  <c r="Z39" i="25"/>
  <c r="AT31" i="25"/>
  <c r="AT33" i="25"/>
  <c r="AU33" i="25" s="1"/>
  <c r="AV33" i="25" s="1"/>
  <c r="AT38" i="25"/>
  <c r="AT28" i="25"/>
  <c r="BA46" i="25"/>
  <c r="CY53" i="25"/>
  <c r="F17" i="21"/>
  <c r="CH36" i="25"/>
  <c r="DD15" i="25"/>
  <c r="DD16" i="25" s="1"/>
  <c r="BK16" i="25"/>
  <c r="BK53" i="25"/>
  <c r="CH29" i="25"/>
  <c r="R16" i="25"/>
  <c r="E28" i="13"/>
  <c r="CY16" i="25"/>
  <c r="DB33" i="25" s="1"/>
  <c r="CH41" i="25"/>
  <c r="BP15" i="25"/>
  <c r="CR33" i="25"/>
  <c r="CR28" i="25"/>
  <c r="DL23" i="25"/>
  <c r="CR24" i="25"/>
  <c r="CS24" i="25" s="1"/>
  <c r="CT24" i="25" s="1"/>
  <c r="DL40" i="25"/>
  <c r="AJ26" i="25"/>
  <c r="CR26" i="25"/>
  <c r="BX25" i="25"/>
  <c r="CR32" i="25"/>
  <c r="D25" i="21"/>
  <c r="DI54" i="25"/>
  <c r="K20" i="21" s="1"/>
  <c r="AJ36" i="25"/>
  <c r="AJ30" i="25"/>
  <c r="DL38" i="25"/>
  <c r="DL26" i="25"/>
  <c r="AJ29" i="25"/>
  <c r="Z26" i="25"/>
  <c r="AA26" i="25" s="1"/>
  <c r="AB26" i="25" s="1"/>
  <c r="AG54" i="25"/>
  <c r="K12" i="21" s="1"/>
  <c r="AJ40" i="25"/>
  <c r="AJ34" i="25"/>
  <c r="DL35" i="25"/>
  <c r="DL24" i="25"/>
  <c r="DM24" i="25" s="1"/>
  <c r="DN24" i="25" s="1"/>
  <c r="AJ27" i="25"/>
  <c r="AJ28" i="25"/>
  <c r="AJ25" i="25"/>
  <c r="AK25" i="25" s="1"/>
  <c r="AL25" i="25" s="1"/>
  <c r="AJ38" i="25"/>
  <c r="DL37" i="25"/>
  <c r="DL30" i="25"/>
  <c r="DL25" i="25"/>
  <c r="DM25" i="25" s="1"/>
  <c r="DN25" i="25" s="1"/>
  <c r="DL31" i="25"/>
  <c r="DM31" i="25" s="1"/>
  <c r="DN31" i="25" s="1"/>
  <c r="H11" i="2"/>
  <c r="H85" i="2" s="1"/>
  <c r="J17" i="3"/>
  <c r="K55" i="1" s="1"/>
  <c r="L55" i="1" s="1"/>
  <c r="M55" i="1" s="1"/>
  <c r="D27" i="3"/>
  <c r="E52" i="25"/>
  <c r="BX29" i="25"/>
  <c r="BY29" i="25" s="1"/>
  <c r="BZ29" i="25" s="1"/>
  <c r="BX33" i="25"/>
  <c r="BX36" i="25"/>
  <c r="Q36" i="25"/>
  <c r="R36" i="25" s="1"/>
  <c r="BX28" i="25"/>
  <c r="BX31" i="25"/>
  <c r="P28" i="25"/>
  <c r="P34" i="25"/>
  <c r="Q34" i="25" s="1"/>
  <c r="R34" i="25" s="1"/>
  <c r="P24" i="25"/>
  <c r="P41" i="25"/>
  <c r="BX30" i="25"/>
  <c r="P27" i="25"/>
  <c r="Q27" i="25" s="1"/>
  <c r="R27" i="25" s="1"/>
  <c r="BX37" i="25"/>
  <c r="F35" i="25"/>
  <c r="AL16" i="25"/>
  <c r="BF16" i="25"/>
  <c r="BC52" i="25"/>
  <c r="CJ16" i="25"/>
  <c r="CG52" i="25"/>
  <c r="DI63" i="25"/>
  <c r="C36" i="21"/>
  <c r="F36" i="21" s="1"/>
  <c r="DN16" i="25"/>
  <c r="P32" i="25"/>
  <c r="AJ33" i="25"/>
  <c r="P26" i="25"/>
  <c r="BX39" i="25"/>
  <c r="BY39" i="25" s="1"/>
  <c r="BZ39" i="25" s="1"/>
  <c r="P25" i="25"/>
  <c r="AJ35" i="25"/>
  <c r="AJ37" i="25"/>
  <c r="AJ41" i="25"/>
  <c r="DL36" i="25"/>
  <c r="DM36" i="25" s="1"/>
  <c r="DN36" i="25" s="1"/>
  <c r="BX41" i="25"/>
  <c r="AJ24" i="25"/>
  <c r="P23" i="25"/>
  <c r="Q23" i="25" s="1"/>
  <c r="R23" i="25" s="1"/>
  <c r="Y52" i="25"/>
  <c r="CY63" i="25"/>
  <c r="C35" i="21"/>
  <c r="F35" i="21" s="1"/>
  <c r="F34" i="25"/>
  <c r="CO63" i="25"/>
  <c r="C34" i="21"/>
  <c r="F34" i="21" s="1"/>
  <c r="DA52" i="25"/>
  <c r="BU54" i="25"/>
  <c r="K16" i="21" s="1"/>
  <c r="P37" i="25"/>
  <c r="BX32" i="25"/>
  <c r="BX24" i="25"/>
  <c r="BY24" i="25" s="1"/>
  <c r="BZ24" i="25" s="1"/>
  <c r="P30" i="25"/>
  <c r="AJ23" i="25"/>
  <c r="DL39" i="25"/>
  <c r="DL32" i="25"/>
  <c r="DM32" i="25" s="1"/>
  <c r="DN32" i="25" s="1"/>
  <c r="DL33" i="25"/>
  <c r="BX38" i="25"/>
  <c r="P35" i="25"/>
  <c r="BX34" i="25"/>
  <c r="BY34" i="25" s="1"/>
  <c r="BZ34" i="25" s="1"/>
  <c r="CT16" i="25"/>
  <c r="F36" i="25"/>
  <c r="F39" i="25"/>
  <c r="G39" i="25" s="1"/>
  <c r="H39" i="25" s="1"/>
  <c r="BA63" i="25"/>
  <c r="C30" i="21"/>
  <c r="F30" i="21" s="1"/>
  <c r="F26" i="25"/>
  <c r="F33" i="25"/>
  <c r="G33" i="25" s="1"/>
  <c r="H33" i="25" s="1"/>
  <c r="AQ63" i="25"/>
  <c r="C29" i="21"/>
  <c r="F29" i="21" s="1"/>
  <c r="F38" i="25"/>
  <c r="F31" i="25"/>
  <c r="G31" i="25" s="1"/>
  <c r="H31" i="25" s="1"/>
  <c r="P40" i="25"/>
  <c r="T21" i="21"/>
  <c r="BX35" i="25"/>
  <c r="BY35" i="25" s="1"/>
  <c r="BZ35" i="25" s="1"/>
  <c r="BX23" i="25"/>
  <c r="BX27" i="25"/>
  <c r="BX26" i="25"/>
  <c r="P39" i="25"/>
  <c r="P33" i="25"/>
  <c r="Q33" i="25" s="1"/>
  <c r="R33" i="25" s="1"/>
  <c r="P29" i="25"/>
  <c r="DL29" i="25"/>
  <c r="P31" i="25"/>
  <c r="DL28" i="25"/>
  <c r="DM28" i="25" s="1"/>
  <c r="DN28" i="25" s="1"/>
  <c r="P38" i="25"/>
  <c r="DL27" i="25"/>
  <c r="S9" i="21"/>
  <c r="W9" i="21" s="1"/>
  <c r="C14" i="29" s="1"/>
  <c r="BZ16" i="25"/>
  <c r="BW52" i="25"/>
  <c r="O56" i="25"/>
  <c r="CY55" i="25"/>
  <c r="BH42" i="25"/>
  <c r="BA64" i="25" s="1"/>
  <c r="Q14" i="21" s="1"/>
  <c r="S14" i="21" s="1"/>
  <c r="W14" i="21" s="1"/>
  <c r="C19" i="29" s="1"/>
  <c r="BE33" i="25"/>
  <c r="BF33" i="25" s="1"/>
  <c r="BE26" i="25"/>
  <c r="BF26" i="25" s="1"/>
  <c r="CS29" i="25"/>
  <c r="CT29" i="25" s="1"/>
  <c r="BK55" i="25"/>
  <c r="BK46" i="25"/>
  <c r="CI31" i="25"/>
  <c r="CJ31" i="25" s="1"/>
  <c r="CI40" i="25"/>
  <c r="CJ40" i="25" s="1"/>
  <c r="C46" i="25"/>
  <c r="F40" i="25"/>
  <c r="F32" i="25"/>
  <c r="F30" i="25"/>
  <c r="F29" i="25"/>
  <c r="AU30" i="25"/>
  <c r="AV30" i="25" s="1"/>
  <c r="F41" i="25"/>
  <c r="F28" i="25"/>
  <c r="F24" i="25"/>
  <c r="CL42" i="25"/>
  <c r="CE64" i="25" s="1"/>
  <c r="F25" i="25"/>
  <c r="F27" i="25"/>
  <c r="F23" i="25"/>
  <c r="G23" i="25" s="1"/>
  <c r="H23" i="25" s="1"/>
  <c r="F37" i="25"/>
  <c r="AU23" i="25"/>
  <c r="AV23" i="25" s="1"/>
  <c r="CV42" i="25"/>
  <c r="CO64" i="25" s="1"/>
  <c r="Q18" i="21" s="1"/>
  <c r="S18" i="21" s="1"/>
  <c r="W18" i="21" s="1"/>
  <c r="C23" i="29" s="1"/>
  <c r="DP42" i="25"/>
  <c r="DI64" i="25" s="1"/>
  <c r="Q20" i="21" s="1"/>
  <c r="S20" i="21" s="1"/>
  <c r="W20" i="21" s="1"/>
  <c r="C25" i="29" s="1"/>
  <c r="BY31" i="25"/>
  <c r="BZ31" i="25" s="1"/>
  <c r="BE29" i="25"/>
  <c r="BF29" i="25" s="1"/>
  <c r="DF42" i="25"/>
  <c r="CY64" i="25" s="1"/>
  <c r="CB42" i="25"/>
  <c r="BU64" i="25" s="1"/>
  <c r="Q16" i="21" s="1"/>
  <c r="S16" i="21" s="1"/>
  <c r="W16" i="21" s="1"/>
  <c r="C21" i="29" s="1"/>
  <c r="BE23" i="25"/>
  <c r="BF23" i="25" s="1"/>
  <c r="BR42" i="25"/>
  <c r="BK64" i="25" s="1"/>
  <c r="CG54" i="25"/>
  <c r="CG56" i="25"/>
  <c r="W46" i="25"/>
  <c r="AU39" i="25"/>
  <c r="AV39" i="25" s="1"/>
  <c r="O55" i="25"/>
  <c r="AN42" i="25"/>
  <c r="AG64" i="25" s="1"/>
  <c r="AK41" i="25"/>
  <c r="AL41" i="25" s="1"/>
  <c r="AU41" i="25"/>
  <c r="AV41" i="25" s="1"/>
  <c r="AG55" i="25"/>
  <c r="AG46" i="25"/>
  <c r="M55" i="25"/>
  <c r="M46" i="25"/>
  <c r="AU36" i="25"/>
  <c r="AV36" i="25" s="1"/>
  <c r="AX42" i="25"/>
  <c r="AQ64" i="25" s="1"/>
  <c r="Q13" i="21" s="1"/>
  <c r="S13" i="21" s="1"/>
  <c r="W13" i="21" s="1"/>
  <c r="C18" i="29" s="1"/>
  <c r="AD42" i="25"/>
  <c r="W64" i="25" s="1"/>
  <c r="T42" i="25"/>
  <c r="M64" i="25" s="1"/>
  <c r="H42" i="5"/>
  <c r="C61" i="5" s="1"/>
  <c r="C60" i="5" s="1"/>
  <c r="F42" i="5"/>
  <c r="G42" i="5"/>
  <c r="F17" i="12"/>
  <c r="F32" i="14"/>
  <c r="F48" i="14" s="1"/>
  <c r="D86" i="14" s="1"/>
  <c r="E48" i="14"/>
  <c r="I27" i="14"/>
  <c r="J23" i="14"/>
  <c r="G32" i="14"/>
  <c r="G13" i="14"/>
  <c r="F18" i="14"/>
  <c r="D84" i="14" s="1"/>
  <c r="O37" i="7"/>
  <c r="N42" i="7"/>
  <c r="L33" i="7"/>
  <c r="O32" i="7"/>
  <c r="F62" i="26" s="1"/>
  <c r="F61" i="26" s="1"/>
  <c r="E33" i="7"/>
  <c r="I33" i="7"/>
  <c r="K33" i="7"/>
  <c r="E22" i="29" s="1"/>
  <c r="D33" i="7"/>
  <c r="H33" i="7"/>
  <c r="J33" i="7"/>
  <c r="E21" i="29" s="1"/>
  <c r="N33" i="7"/>
  <c r="O31" i="7"/>
  <c r="F60" i="26" s="1"/>
  <c r="F59" i="26" s="1"/>
  <c r="M33" i="7"/>
  <c r="E18" i="14"/>
  <c r="M295" i="15"/>
  <c r="I295" i="15"/>
  <c r="E295" i="15"/>
  <c r="L295" i="15"/>
  <c r="H295" i="15"/>
  <c r="D295" i="15"/>
  <c r="K295" i="15"/>
  <c r="G295" i="15"/>
  <c r="F287" i="15"/>
  <c r="J295" i="15"/>
  <c r="F295" i="15"/>
  <c r="E287" i="15"/>
  <c r="L294" i="15"/>
  <c r="H294" i="15"/>
  <c r="D294" i="15"/>
  <c r="I294" i="15"/>
  <c r="K294" i="15"/>
  <c r="G294" i="15"/>
  <c r="E286" i="15"/>
  <c r="J294" i="15"/>
  <c r="F294" i="15"/>
  <c r="F286" i="15"/>
  <c r="M294" i="15"/>
  <c r="E294" i="15"/>
  <c r="K293" i="15"/>
  <c r="G293" i="15"/>
  <c r="I280" i="15"/>
  <c r="D293" i="15"/>
  <c r="J293" i="15"/>
  <c r="F293" i="15"/>
  <c r="L293" i="15"/>
  <c r="M293" i="15"/>
  <c r="I293" i="15"/>
  <c r="E293" i="15"/>
  <c r="F285" i="15"/>
  <c r="H293" i="15"/>
  <c r="E285" i="15"/>
  <c r="G280" i="15"/>
  <c r="M271" i="15"/>
  <c r="I271" i="15"/>
  <c r="E271" i="15"/>
  <c r="L271" i="15"/>
  <c r="H271" i="15"/>
  <c r="D271" i="15"/>
  <c r="J271" i="15"/>
  <c r="K271" i="15"/>
  <c r="G271" i="15"/>
  <c r="F263" i="15"/>
  <c r="F271" i="15"/>
  <c r="E263" i="15"/>
  <c r="L270" i="15"/>
  <c r="H270" i="15"/>
  <c r="D270" i="15"/>
  <c r="E270" i="15"/>
  <c r="E262" i="15"/>
  <c r="K270" i="15"/>
  <c r="G270" i="15"/>
  <c r="J270" i="15"/>
  <c r="F270" i="15"/>
  <c r="F262" i="15"/>
  <c r="M270" i="15"/>
  <c r="I270" i="15"/>
  <c r="K269" i="15"/>
  <c r="G269" i="15"/>
  <c r="I256" i="15"/>
  <c r="L269" i="15"/>
  <c r="D269" i="15"/>
  <c r="J269" i="15"/>
  <c r="F269" i="15"/>
  <c r="M269" i="15"/>
  <c r="I269" i="15"/>
  <c r="E269" i="15"/>
  <c r="F261" i="15"/>
  <c r="H269" i="15"/>
  <c r="E261" i="15"/>
  <c r="G256" i="15"/>
  <c r="M247" i="15"/>
  <c r="I247" i="15"/>
  <c r="E247" i="15"/>
  <c r="F247" i="15"/>
  <c r="L247" i="15"/>
  <c r="H247" i="15"/>
  <c r="D247" i="15"/>
  <c r="K247" i="15"/>
  <c r="G247" i="15"/>
  <c r="F239" i="15"/>
  <c r="J247" i="15"/>
  <c r="E239" i="15"/>
  <c r="L246" i="15"/>
  <c r="H246" i="15"/>
  <c r="D246" i="15"/>
  <c r="K246" i="15"/>
  <c r="G246" i="15"/>
  <c r="I246" i="15"/>
  <c r="J246" i="15"/>
  <c r="F246" i="15"/>
  <c r="F238" i="15"/>
  <c r="M246" i="15"/>
  <c r="E246" i="15"/>
  <c r="E238" i="15"/>
  <c r="K245" i="15"/>
  <c r="G245" i="15"/>
  <c r="I232" i="15"/>
  <c r="L245" i="15"/>
  <c r="J245" i="15"/>
  <c r="F245" i="15"/>
  <c r="E237" i="15"/>
  <c r="M245" i="15"/>
  <c r="I245" i="15"/>
  <c r="E245" i="15"/>
  <c r="F237" i="15"/>
  <c r="F240" i="15" s="1"/>
  <c r="H245" i="15"/>
  <c r="D245" i="15"/>
  <c r="G232" i="15"/>
  <c r="L222" i="15"/>
  <c r="H222" i="15"/>
  <c r="D222" i="15"/>
  <c r="I222" i="15"/>
  <c r="K222" i="15"/>
  <c r="G222" i="15"/>
  <c r="J222" i="15"/>
  <c r="F222" i="15"/>
  <c r="F214" i="15"/>
  <c r="M222" i="15"/>
  <c r="E222" i="15"/>
  <c r="E214" i="15"/>
  <c r="M223" i="15"/>
  <c r="I223" i="15"/>
  <c r="E223" i="15"/>
  <c r="E215" i="15"/>
  <c r="L223" i="15"/>
  <c r="H223" i="15"/>
  <c r="D223" i="15"/>
  <c r="K223" i="15"/>
  <c r="G223" i="15"/>
  <c r="F215" i="15"/>
  <c r="J223" i="15"/>
  <c r="F223" i="15"/>
  <c r="K221" i="15"/>
  <c r="G221" i="15"/>
  <c r="I208" i="15"/>
  <c r="D221" i="15"/>
  <c r="J221" i="15"/>
  <c r="J224" i="15" s="1"/>
  <c r="F221" i="15"/>
  <c r="E213" i="15"/>
  <c r="M221" i="15"/>
  <c r="I221" i="15"/>
  <c r="E221" i="15"/>
  <c r="F213" i="15"/>
  <c r="L221" i="15"/>
  <c r="H221" i="15"/>
  <c r="G208" i="15"/>
  <c r="L198" i="15"/>
  <c r="H198" i="15"/>
  <c r="D198" i="15"/>
  <c r="M198" i="15"/>
  <c r="E198" i="15"/>
  <c r="K198" i="15"/>
  <c r="G198" i="15"/>
  <c r="E190" i="15"/>
  <c r="J198" i="15"/>
  <c r="F198" i="15"/>
  <c r="F190" i="15"/>
  <c r="I198" i="15"/>
  <c r="M199" i="15"/>
  <c r="I199" i="15"/>
  <c r="E199" i="15"/>
  <c r="L199" i="15"/>
  <c r="H199" i="15"/>
  <c r="D199" i="15"/>
  <c r="J199" i="15"/>
  <c r="K199" i="15"/>
  <c r="G199" i="15"/>
  <c r="F191" i="15"/>
  <c r="F199" i="15"/>
  <c r="E191" i="15"/>
  <c r="K197" i="15"/>
  <c r="G197" i="15"/>
  <c r="I184" i="15"/>
  <c r="L197" i="15"/>
  <c r="H197" i="15"/>
  <c r="E189" i="15"/>
  <c r="J197" i="15"/>
  <c r="J200" i="15" s="1"/>
  <c r="F197" i="15"/>
  <c r="M197" i="15"/>
  <c r="I197" i="15"/>
  <c r="E197" i="15"/>
  <c r="F189" i="15"/>
  <c r="D197" i="15"/>
  <c r="G184" i="15"/>
  <c r="L174" i="15"/>
  <c r="H174" i="15"/>
  <c r="D174" i="15"/>
  <c r="M174" i="15"/>
  <c r="E166" i="15"/>
  <c r="K174" i="15"/>
  <c r="G174" i="15"/>
  <c r="J174" i="15"/>
  <c r="F174" i="15"/>
  <c r="F166" i="15"/>
  <c r="I174" i="15"/>
  <c r="E174" i="15"/>
  <c r="M175" i="15"/>
  <c r="I175" i="15"/>
  <c r="E175" i="15"/>
  <c r="E167" i="15"/>
  <c r="L175" i="15"/>
  <c r="H175" i="15"/>
  <c r="D175" i="15"/>
  <c r="J175" i="15"/>
  <c r="K175" i="15"/>
  <c r="G175" i="15"/>
  <c r="F167" i="15"/>
  <c r="F175" i="15"/>
  <c r="K173" i="15"/>
  <c r="G173" i="15"/>
  <c r="I160" i="15"/>
  <c r="H173" i="15"/>
  <c r="J173" i="15"/>
  <c r="F173" i="15"/>
  <c r="D173" i="15"/>
  <c r="E165" i="15"/>
  <c r="M173" i="15"/>
  <c r="I173" i="15"/>
  <c r="E173" i="15"/>
  <c r="F165" i="15"/>
  <c r="L173" i="15"/>
  <c r="G160" i="15"/>
  <c r="M151" i="15"/>
  <c r="I151" i="15"/>
  <c r="E151" i="15"/>
  <c r="F151" i="15"/>
  <c r="L151" i="15"/>
  <c r="H151" i="15"/>
  <c r="D151" i="15"/>
  <c r="J151" i="15"/>
  <c r="K151" i="15"/>
  <c r="G151" i="15"/>
  <c r="F143" i="15"/>
  <c r="E143" i="15"/>
  <c r="L150" i="15"/>
  <c r="H150" i="15"/>
  <c r="D150" i="15"/>
  <c r="I150" i="15"/>
  <c r="E142" i="15"/>
  <c r="K150" i="15"/>
  <c r="G150" i="15"/>
  <c r="M150" i="15"/>
  <c r="E150" i="15"/>
  <c r="J150" i="15"/>
  <c r="F150" i="15"/>
  <c r="F142" i="15"/>
  <c r="K149" i="15"/>
  <c r="G149" i="15"/>
  <c r="I136" i="15"/>
  <c r="D149" i="15"/>
  <c r="J149" i="15"/>
  <c r="F149" i="15"/>
  <c r="H149" i="15"/>
  <c r="E141" i="15"/>
  <c r="M149" i="15"/>
  <c r="I149" i="15"/>
  <c r="E149" i="15"/>
  <c r="F141" i="15"/>
  <c r="L149" i="15"/>
  <c r="L152" i="15" s="1"/>
  <c r="G136" i="15"/>
  <c r="L126" i="15"/>
  <c r="H126" i="15"/>
  <c r="D126" i="15"/>
  <c r="I126" i="15"/>
  <c r="K126" i="15"/>
  <c r="G126" i="15"/>
  <c r="E118" i="15"/>
  <c r="J126" i="15"/>
  <c r="F126" i="15"/>
  <c r="F118" i="15"/>
  <c r="M126" i="15"/>
  <c r="E126" i="15"/>
  <c r="M127" i="15"/>
  <c r="I127" i="15"/>
  <c r="E127" i="15"/>
  <c r="E119" i="15"/>
  <c r="L127" i="15"/>
  <c r="H127" i="15"/>
  <c r="D127" i="15"/>
  <c r="J127" i="15"/>
  <c r="K127" i="15"/>
  <c r="G127" i="15"/>
  <c r="F119" i="15"/>
  <c r="F127" i="15"/>
  <c r="K125" i="15"/>
  <c r="G125" i="15"/>
  <c r="I112" i="15"/>
  <c r="D125" i="15"/>
  <c r="E117" i="15"/>
  <c r="J125" i="15"/>
  <c r="F125" i="15"/>
  <c r="H125" i="15"/>
  <c r="M125" i="15"/>
  <c r="I125" i="15"/>
  <c r="E125" i="15"/>
  <c r="F117" i="15"/>
  <c r="L125" i="15"/>
  <c r="G112" i="15"/>
  <c r="M103" i="15"/>
  <c r="I103" i="15"/>
  <c r="E103" i="15"/>
  <c r="J103" i="15"/>
  <c r="L103" i="15"/>
  <c r="H103" i="15"/>
  <c r="D103" i="15"/>
  <c r="K103" i="15"/>
  <c r="G103" i="15"/>
  <c r="F95" i="15"/>
  <c r="F103" i="15"/>
  <c r="E95" i="15"/>
  <c r="L102" i="15"/>
  <c r="H102" i="15"/>
  <c r="D102" i="15"/>
  <c r="F102" i="15"/>
  <c r="F94" i="15"/>
  <c r="I102" i="15"/>
  <c r="E94" i="15"/>
  <c r="K102" i="15"/>
  <c r="G102" i="15"/>
  <c r="J102" i="15"/>
  <c r="M102" i="15"/>
  <c r="E102" i="15"/>
  <c r="K101" i="15"/>
  <c r="G101" i="15"/>
  <c r="I88" i="15"/>
  <c r="M101" i="15"/>
  <c r="H101" i="15"/>
  <c r="J101" i="15"/>
  <c r="F101" i="15"/>
  <c r="I101" i="15"/>
  <c r="E101" i="15"/>
  <c r="F93" i="15"/>
  <c r="F96" i="15" s="1"/>
  <c r="L101" i="15"/>
  <c r="D101" i="15"/>
  <c r="E93" i="15"/>
  <c r="G88" i="15"/>
  <c r="M79" i="15"/>
  <c r="I79" i="15"/>
  <c r="E79" i="15"/>
  <c r="E71" i="15"/>
  <c r="L79" i="15"/>
  <c r="H79" i="15"/>
  <c r="D79" i="15"/>
  <c r="F79" i="15"/>
  <c r="K79" i="15"/>
  <c r="G79" i="15"/>
  <c r="F71" i="15"/>
  <c r="J79" i="15"/>
  <c r="L78" i="15"/>
  <c r="H78" i="15"/>
  <c r="D78" i="15"/>
  <c r="I78" i="15"/>
  <c r="K78" i="15"/>
  <c r="G78" i="15"/>
  <c r="J78" i="15"/>
  <c r="F78" i="15"/>
  <c r="F70" i="15"/>
  <c r="M78" i="15"/>
  <c r="E78" i="15"/>
  <c r="E70" i="15"/>
  <c r="K77" i="15"/>
  <c r="G77" i="15"/>
  <c r="I64" i="15"/>
  <c r="H77" i="15"/>
  <c r="J77" i="15"/>
  <c r="F77" i="15"/>
  <c r="M77" i="15"/>
  <c r="I77" i="15"/>
  <c r="E77" i="15"/>
  <c r="F69" i="15"/>
  <c r="L77" i="15"/>
  <c r="D77" i="15"/>
  <c r="E69" i="15"/>
  <c r="G64" i="15"/>
  <c r="M55" i="15"/>
  <c r="I55" i="15"/>
  <c r="E55" i="15"/>
  <c r="L55" i="15"/>
  <c r="H55" i="15"/>
  <c r="D55" i="15"/>
  <c r="J55" i="15"/>
  <c r="K55" i="15"/>
  <c r="G55" i="15"/>
  <c r="F47" i="15"/>
  <c r="F55" i="15"/>
  <c r="E47" i="15"/>
  <c r="L54" i="15"/>
  <c r="H54" i="15"/>
  <c r="D54" i="15"/>
  <c r="I54" i="15"/>
  <c r="K54" i="15"/>
  <c r="G54" i="15"/>
  <c r="E46" i="15"/>
  <c r="J54" i="15"/>
  <c r="F54" i="15"/>
  <c r="F46" i="15"/>
  <c r="M54" i="15"/>
  <c r="E54" i="15"/>
  <c r="K53" i="15"/>
  <c r="G53" i="15"/>
  <c r="I40" i="15"/>
  <c r="H53" i="15"/>
  <c r="E45" i="15"/>
  <c r="J53" i="15"/>
  <c r="F53" i="15"/>
  <c r="M53" i="15"/>
  <c r="I53" i="15"/>
  <c r="E53" i="15"/>
  <c r="F45" i="15"/>
  <c r="L53" i="15"/>
  <c r="D53" i="15"/>
  <c r="G40" i="15"/>
  <c r="M31" i="15"/>
  <c r="I31" i="15"/>
  <c r="E31" i="15"/>
  <c r="J31" i="15"/>
  <c r="L31" i="15"/>
  <c r="H31" i="15"/>
  <c r="D31" i="15"/>
  <c r="E23" i="15"/>
  <c r="K31" i="15"/>
  <c r="G31" i="15"/>
  <c r="F23" i="15"/>
  <c r="F31" i="15"/>
  <c r="L30" i="15"/>
  <c r="H30" i="15"/>
  <c r="D30" i="15"/>
  <c r="I30" i="15"/>
  <c r="K30" i="15"/>
  <c r="G30" i="15"/>
  <c r="J30" i="15"/>
  <c r="F30" i="15"/>
  <c r="F22" i="15"/>
  <c r="M30" i="15"/>
  <c r="E30" i="15"/>
  <c r="E22" i="15"/>
  <c r="K29" i="15"/>
  <c r="G29" i="15"/>
  <c r="G32" i="15" s="1"/>
  <c r="I16" i="15"/>
  <c r="H29" i="15"/>
  <c r="E21" i="15"/>
  <c r="J29" i="15"/>
  <c r="F29" i="15"/>
  <c r="M29" i="15"/>
  <c r="I29" i="15"/>
  <c r="E29" i="15"/>
  <c r="F21" i="15"/>
  <c r="L29" i="15"/>
  <c r="D29" i="15"/>
  <c r="G16" i="15"/>
  <c r="H27" i="14"/>
  <c r="C85" i="14" s="1"/>
  <c r="D35" i="13" s="1"/>
  <c r="G27" i="14"/>
  <c r="E27" i="14"/>
  <c r="F52" i="3"/>
  <c r="H52" i="3"/>
  <c r="E52" i="3"/>
  <c r="G52" i="3"/>
  <c r="I52" i="3"/>
  <c r="J52" i="3"/>
  <c r="E20" i="7"/>
  <c r="F20" i="7" s="1"/>
  <c r="G20" i="7" s="1"/>
  <c r="AO32" i="1" s="1"/>
  <c r="E22" i="7"/>
  <c r="F22" i="7" s="1"/>
  <c r="G22" i="7" s="1"/>
  <c r="AR32" i="1" s="1"/>
  <c r="K45" i="1"/>
  <c r="L45" i="1" s="1"/>
  <c r="M45" i="1" s="1"/>
  <c r="I17" i="3"/>
  <c r="E23" i="3"/>
  <c r="AM28" i="1"/>
  <c r="AM24" i="1"/>
  <c r="AM32" i="1"/>
  <c r="AM37" i="1" s="1"/>
  <c r="AJ47" i="1"/>
  <c r="AK32" i="1"/>
  <c r="AW22" i="1"/>
  <c r="AK28" i="1"/>
  <c r="AK24" i="1"/>
  <c r="AL23" i="1"/>
  <c r="AW23" i="1" s="1"/>
  <c r="AL32" i="1"/>
  <c r="AL28" i="1"/>
  <c r="H26" i="3"/>
  <c r="G26" i="3"/>
  <c r="J26" i="3"/>
  <c r="K65" i="1" s="1"/>
  <c r="F26" i="3"/>
  <c r="I26" i="3"/>
  <c r="E22" i="3"/>
  <c r="E21" i="3"/>
  <c r="E18" i="3"/>
  <c r="H25" i="3"/>
  <c r="E24" i="3"/>
  <c r="E19" i="3"/>
  <c r="J20" i="3"/>
  <c r="K60" i="1" s="1"/>
  <c r="L60" i="1" s="1"/>
  <c r="I34" i="3"/>
  <c r="I36" i="3"/>
  <c r="G25" i="3"/>
  <c r="E17" i="3"/>
  <c r="G32" i="3"/>
  <c r="H36" i="3"/>
  <c r="J25" i="3"/>
  <c r="K42" i="1" s="1"/>
  <c r="L42" i="1" s="1"/>
  <c r="M38" i="1" s="1"/>
  <c r="F25" i="3"/>
  <c r="I25" i="3"/>
  <c r="G36" i="3"/>
  <c r="J36" i="3"/>
  <c r="I35" i="3"/>
  <c r="H35" i="3"/>
  <c r="F35" i="3"/>
  <c r="J35" i="3"/>
  <c r="K22" i="1" s="1"/>
  <c r="G35" i="3"/>
  <c r="H34" i="3"/>
  <c r="I33" i="3"/>
  <c r="J32" i="3"/>
  <c r="K27" i="1" s="1"/>
  <c r="L27" i="1" s="1"/>
  <c r="F32" i="3"/>
  <c r="G34" i="3"/>
  <c r="H33" i="3"/>
  <c r="I32" i="3"/>
  <c r="J33" i="3"/>
  <c r="K24" i="1" s="1"/>
  <c r="F33" i="3"/>
  <c r="J34" i="3"/>
  <c r="K25" i="1" s="1"/>
  <c r="L25" i="1" s="1"/>
  <c r="J31" i="3"/>
  <c r="J37" i="3" s="1"/>
  <c r="F31" i="3"/>
  <c r="H31" i="3"/>
  <c r="I31" i="3"/>
  <c r="G31" i="3"/>
  <c r="K57" i="1"/>
  <c r="L57" i="1" s="1"/>
  <c r="K53" i="1"/>
  <c r="L53" i="1" s="1"/>
  <c r="K48" i="1"/>
  <c r="L48" i="1" s="1"/>
  <c r="K49" i="1"/>
  <c r="L49" i="1" s="1"/>
  <c r="K63" i="1"/>
  <c r="L63" i="1" s="1"/>
  <c r="K47" i="1"/>
  <c r="L47" i="1" s="1"/>
  <c r="K51" i="1"/>
  <c r="L51" i="1" s="1"/>
  <c r="G16" i="4"/>
  <c r="I14" i="4"/>
  <c r="I15" i="4"/>
  <c r="I13" i="4"/>
  <c r="E29" i="4" s="1"/>
  <c r="J104" i="15" l="1"/>
  <c r="H128" i="15"/>
  <c r="I152" i="15"/>
  <c r="M152" i="15"/>
  <c r="H224" i="15"/>
  <c r="H176" i="15"/>
  <c r="G296" i="15"/>
  <c r="I176" i="15"/>
  <c r="L248" i="15"/>
  <c r="G262" i="15"/>
  <c r="H262" i="15" s="1"/>
  <c r="I200" i="15"/>
  <c r="O33" i="7"/>
  <c r="T28" i="13"/>
  <c r="H37" i="3"/>
  <c r="F37" i="3"/>
  <c r="G37" i="3"/>
  <c r="L22" i="1"/>
  <c r="M22" i="1" s="1"/>
  <c r="I37" i="3"/>
  <c r="Q18" i="13"/>
  <c r="Q22" i="13"/>
  <c r="Q21" i="13"/>
  <c r="Q19" i="13"/>
  <c r="Q17" i="13"/>
  <c r="Q20" i="13"/>
  <c r="U20" i="13"/>
  <c r="U18" i="13"/>
  <c r="U17" i="13"/>
  <c r="U21" i="13"/>
  <c r="U22" i="13"/>
  <c r="U19" i="13"/>
  <c r="AW32" i="1"/>
  <c r="I56" i="15"/>
  <c r="AS52" i="25"/>
  <c r="BK63" i="25"/>
  <c r="Z40" i="25"/>
  <c r="Z29" i="25"/>
  <c r="AA29" i="25" s="1"/>
  <c r="AB29" i="25" s="1"/>
  <c r="Z27" i="25"/>
  <c r="AA27" i="25" s="1"/>
  <c r="AB27" i="25" s="1"/>
  <c r="CI23" i="25"/>
  <c r="G21" i="21"/>
  <c r="Z23" i="25"/>
  <c r="AA23" i="25" s="1"/>
  <c r="AB23" i="25" s="1"/>
  <c r="C28" i="21"/>
  <c r="F28" i="21" s="1"/>
  <c r="AG63" i="25"/>
  <c r="S21" i="13"/>
  <c r="S17" i="13"/>
  <c r="S20" i="13"/>
  <c r="S22" i="13"/>
  <c r="S19" i="13"/>
  <c r="S18" i="13"/>
  <c r="CR39" i="25"/>
  <c r="CS39" i="25" s="1"/>
  <c r="CT39" i="25" s="1"/>
  <c r="CR36" i="25"/>
  <c r="CR41" i="25"/>
  <c r="CO54" i="25"/>
  <c r="K18" i="21" s="1"/>
  <c r="R20" i="13"/>
  <c r="R18" i="13"/>
  <c r="R17" i="13"/>
  <c r="R21" i="13"/>
  <c r="R19" i="13"/>
  <c r="R22" i="13"/>
  <c r="E296" i="15"/>
  <c r="Z31" i="25"/>
  <c r="AA31" i="25" s="1"/>
  <c r="AB31" i="25" s="1"/>
  <c r="Z24" i="25"/>
  <c r="AA24" i="25" s="1"/>
  <c r="AB24" i="25" s="1"/>
  <c r="Z30" i="25"/>
  <c r="Z41" i="25"/>
  <c r="AA41" i="25" s="1"/>
  <c r="AB41" i="25" s="1"/>
  <c r="G239" i="15"/>
  <c r="H239" i="15" s="1"/>
  <c r="DB38" i="25"/>
  <c r="DC38" i="25" s="1"/>
  <c r="DD38" i="25" s="1"/>
  <c r="DB37" i="25"/>
  <c r="Z33" i="25"/>
  <c r="DB29" i="25"/>
  <c r="DC29" i="25" s="1"/>
  <c r="DD29" i="25" s="1"/>
  <c r="Z35" i="25"/>
  <c r="AA35" i="25" s="1"/>
  <c r="AB35" i="25" s="1"/>
  <c r="Z28" i="25"/>
  <c r="CI38" i="25"/>
  <c r="CJ38" i="25" s="1"/>
  <c r="O28" i="13"/>
  <c r="G54" i="26"/>
  <c r="AW28" i="1"/>
  <c r="E80" i="15"/>
  <c r="N103" i="15"/>
  <c r="O103" i="15" s="1"/>
  <c r="P103" i="15" s="1"/>
  <c r="Q103" i="15" s="1"/>
  <c r="R103" i="15" s="1"/>
  <c r="N149" i="15"/>
  <c r="O149" i="15" s="1"/>
  <c r="M176" i="15"/>
  <c r="L296" i="15"/>
  <c r="AW24" i="1"/>
  <c r="E17" i="24"/>
  <c r="G17" i="24" s="1"/>
  <c r="I17" i="24" s="1"/>
  <c r="E17" i="23"/>
  <c r="G17" i="23" s="1"/>
  <c r="G56" i="15"/>
  <c r="I80" i="15"/>
  <c r="C84" i="14"/>
  <c r="D34" i="13" s="1"/>
  <c r="F38" i="26"/>
  <c r="F37" i="26" s="1"/>
  <c r="CY54" i="25"/>
  <c r="K19" i="21" s="1"/>
  <c r="G128" i="15"/>
  <c r="L200" i="15"/>
  <c r="E224" i="15"/>
  <c r="M248" i="15"/>
  <c r="J80" i="15"/>
  <c r="M128" i="15"/>
  <c r="N151" i="15"/>
  <c r="O151" i="15" s="1"/>
  <c r="P151" i="15" s="1"/>
  <c r="Q151" i="15" s="1"/>
  <c r="R151" i="15" s="1"/>
  <c r="J176" i="15"/>
  <c r="E200" i="15"/>
  <c r="E23" i="29"/>
  <c r="D85" i="14"/>
  <c r="F79" i="26"/>
  <c r="F78" i="26" s="1"/>
  <c r="DB35" i="25"/>
  <c r="DC35" i="25" s="1"/>
  <c r="DD35" i="25" s="1"/>
  <c r="C65" i="5"/>
  <c r="C86" i="14"/>
  <c r="D36" i="13" s="1"/>
  <c r="F73" i="26"/>
  <c r="F72" i="26" s="1"/>
  <c r="D80" i="15"/>
  <c r="M200" i="15"/>
  <c r="I296" i="15"/>
  <c r="AQ55" i="25"/>
  <c r="DB24" i="25"/>
  <c r="CO55" i="25"/>
  <c r="CO46" i="25"/>
  <c r="AA28" i="25"/>
  <c r="AB28" i="25" s="1"/>
  <c r="CI32" i="25"/>
  <c r="CJ32" i="25" s="1"/>
  <c r="D37" i="21"/>
  <c r="CS26" i="25"/>
  <c r="CT26" i="25" s="1"/>
  <c r="AK26" i="25"/>
  <c r="AL26" i="25" s="1"/>
  <c r="DB31" i="25"/>
  <c r="DC31" i="25" s="1"/>
  <c r="DD31" i="25" s="1"/>
  <c r="DM38" i="25"/>
  <c r="DN38" i="25" s="1"/>
  <c r="DB39" i="25"/>
  <c r="DC39" i="25" s="1"/>
  <c r="DD39" i="25" s="1"/>
  <c r="DB23" i="25"/>
  <c r="DC23" i="25" s="1"/>
  <c r="DD23" i="25" s="1"/>
  <c r="CI28" i="25"/>
  <c r="CJ28" i="25" s="1"/>
  <c r="AA34" i="25"/>
  <c r="AB34" i="25" s="1"/>
  <c r="AA32" i="25"/>
  <c r="AB32" i="25" s="1"/>
  <c r="AA38" i="25"/>
  <c r="AB38" i="25" s="1"/>
  <c r="AU37" i="25"/>
  <c r="AV37" i="25" s="1"/>
  <c r="AU31" i="25"/>
  <c r="AV31" i="25" s="1"/>
  <c r="AU38" i="25"/>
  <c r="AV38" i="25" s="1"/>
  <c r="AA40" i="25"/>
  <c r="AB40" i="25" s="1"/>
  <c r="BE31" i="25"/>
  <c r="BF31" i="25" s="1"/>
  <c r="DM33" i="25"/>
  <c r="DN33" i="25" s="1"/>
  <c r="BE39" i="25"/>
  <c r="BF39" i="25" s="1"/>
  <c r="CS41" i="25"/>
  <c r="CT41" i="25" s="1"/>
  <c r="BE27" i="25"/>
  <c r="BF27" i="25" s="1"/>
  <c r="BY28" i="25"/>
  <c r="BZ28" i="25" s="1"/>
  <c r="DM30" i="25"/>
  <c r="DN30" i="25" s="1"/>
  <c r="CI33" i="25"/>
  <c r="CJ33" i="25" s="1"/>
  <c r="G24" i="25"/>
  <c r="H24" i="25" s="1"/>
  <c r="AU28" i="25"/>
  <c r="AV28" i="25" s="1"/>
  <c r="BE41" i="25"/>
  <c r="BF41" i="25" s="1"/>
  <c r="CI35" i="25"/>
  <c r="CJ35" i="25" s="1"/>
  <c r="CI34" i="25"/>
  <c r="CJ34" i="25" s="1"/>
  <c r="CS30" i="25"/>
  <c r="CT30" i="25" s="1"/>
  <c r="CS37" i="25"/>
  <c r="CT37" i="25" s="1"/>
  <c r="BY40" i="25"/>
  <c r="BZ40" i="25" s="1"/>
  <c r="BE36" i="25"/>
  <c r="BF36" i="25" s="1"/>
  <c r="CS27" i="25"/>
  <c r="CT27" i="25" s="1"/>
  <c r="CS40" i="25"/>
  <c r="CT40" i="25" s="1"/>
  <c r="BE32" i="25"/>
  <c r="BF32" i="25" s="1"/>
  <c r="BE35" i="25"/>
  <c r="BF35" i="25" s="1"/>
  <c r="Q31" i="25"/>
  <c r="R31" i="25" s="1"/>
  <c r="Q39" i="25"/>
  <c r="R39" i="25" s="1"/>
  <c r="G38" i="25"/>
  <c r="H38" i="25" s="1"/>
  <c r="G26" i="25"/>
  <c r="H26" i="25" s="1"/>
  <c r="G36" i="25"/>
  <c r="H36" i="25" s="1"/>
  <c r="Q35" i="25"/>
  <c r="R35" i="25" s="1"/>
  <c r="DM39" i="25"/>
  <c r="DN39" i="25" s="1"/>
  <c r="BY32" i="25"/>
  <c r="BZ32" i="25" s="1"/>
  <c r="AK24" i="25"/>
  <c r="AL24" i="25" s="1"/>
  <c r="Q26" i="25"/>
  <c r="R26" i="25" s="1"/>
  <c r="BY30" i="25"/>
  <c r="BZ30" i="25" s="1"/>
  <c r="Q28" i="25"/>
  <c r="R28" i="25" s="1"/>
  <c r="BY36" i="25"/>
  <c r="BZ36" i="25" s="1"/>
  <c r="H16" i="25"/>
  <c r="DC24" i="25"/>
  <c r="DD24" i="25" s="1"/>
  <c r="AK28" i="25"/>
  <c r="AL28" i="25" s="1"/>
  <c r="DM35" i="25"/>
  <c r="DN35" i="25" s="1"/>
  <c r="AK30" i="25"/>
  <c r="AL30" i="25" s="1"/>
  <c r="CS32" i="25"/>
  <c r="CT32" i="25" s="1"/>
  <c r="DB30" i="25"/>
  <c r="DC30" i="25" s="1"/>
  <c r="DD30" i="25" s="1"/>
  <c r="AK31" i="25"/>
  <c r="AL31" i="25" s="1"/>
  <c r="AK37" i="25"/>
  <c r="AL37" i="25" s="1"/>
  <c r="AU34" i="25"/>
  <c r="AV34" i="25" s="1"/>
  <c r="AU35" i="25"/>
  <c r="AV35" i="25" s="1"/>
  <c r="AA36" i="25"/>
  <c r="AB36" i="25" s="1"/>
  <c r="AK38" i="25"/>
  <c r="AL38" i="25" s="1"/>
  <c r="AK29" i="25"/>
  <c r="AL29" i="25" s="1"/>
  <c r="AA39" i="25"/>
  <c r="AB39" i="25" s="1"/>
  <c r="CS23" i="25"/>
  <c r="CT23" i="25" s="1"/>
  <c r="DM23" i="25"/>
  <c r="DN23" i="25" s="1"/>
  <c r="BE34" i="25"/>
  <c r="BF34" i="25" s="1"/>
  <c r="CI29" i="25"/>
  <c r="CJ29" i="25" s="1"/>
  <c r="CI24" i="25"/>
  <c r="CJ24" i="25" s="1"/>
  <c r="AU29" i="25"/>
  <c r="AV29" i="25" s="1"/>
  <c r="G25" i="25"/>
  <c r="H25" i="25" s="1"/>
  <c r="CS31" i="25"/>
  <c r="CT31" i="25" s="1"/>
  <c r="CI37" i="25"/>
  <c r="CJ37" i="25" s="1"/>
  <c r="BE40" i="25"/>
  <c r="BF40" i="25" s="1"/>
  <c r="CI39" i="25"/>
  <c r="CJ39" i="25" s="1"/>
  <c r="DM34" i="25"/>
  <c r="DN34" i="25" s="1"/>
  <c r="CS34" i="25"/>
  <c r="CT34" i="25" s="1"/>
  <c r="BE38" i="25"/>
  <c r="BF38" i="25" s="1"/>
  <c r="CS38" i="25"/>
  <c r="CT38" i="25" s="1"/>
  <c r="DM41" i="25"/>
  <c r="DN41" i="25" s="1"/>
  <c r="BY37" i="25"/>
  <c r="BZ37" i="25" s="1"/>
  <c r="DM27" i="25"/>
  <c r="DN27" i="25" s="1"/>
  <c r="DM29" i="25"/>
  <c r="DN29" i="25" s="1"/>
  <c r="BY26" i="25"/>
  <c r="BZ26" i="25" s="1"/>
  <c r="BY38" i="25"/>
  <c r="BZ38" i="25" s="1"/>
  <c r="AK23" i="25"/>
  <c r="AL23" i="25" s="1"/>
  <c r="Q37" i="25"/>
  <c r="R37" i="25" s="1"/>
  <c r="BY41" i="25"/>
  <c r="BZ41" i="25" s="1"/>
  <c r="AK35" i="25"/>
  <c r="AL35" i="25" s="1"/>
  <c r="AK33" i="25"/>
  <c r="AL33" i="25" s="1"/>
  <c r="G35" i="25"/>
  <c r="H35" i="25" s="1"/>
  <c r="Q41" i="25"/>
  <c r="R41" i="25" s="1"/>
  <c r="BY33" i="25"/>
  <c r="BZ33" i="25" s="1"/>
  <c r="DM37" i="25"/>
  <c r="DN37" i="25" s="1"/>
  <c r="DC37" i="25"/>
  <c r="DD37" i="25" s="1"/>
  <c r="AK34" i="25"/>
  <c r="AL34" i="25" s="1"/>
  <c r="AA33" i="25"/>
  <c r="AB33" i="25" s="1"/>
  <c r="CI41" i="25"/>
  <c r="CJ41" i="25" s="1"/>
  <c r="CI36" i="25"/>
  <c r="CJ36" i="25" s="1"/>
  <c r="AK39" i="25"/>
  <c r="AL39" i="25" s="1"/>
  <c r="AU25" i="25"/>
  <c r="AV25" i="25" s="1"/>
  <c r="AK36" i="25"/>
  <c r="AL36" i="25" s="1"/>
  <c r="AA25" i="25"/>
  <c r="AB25" i="25" s="1"/>
  <c r="AU24" i="25"/>
  <c r="AV24" i="25" s="1"/>
  <c r="AA30" i="25"/>
  <c r="AB30" i="25" s="1"/>
  <c r="AK40" i="25"/>
  <c r="AL40" i="25" s="1"/>
  <c r="BE37" i="25"/>
  <c r="BF37" i="25" s="1"/>
  <c r="BE28" i="25"/>
  <c r="BF28" i="25" s="1"/>
  <c r="DM26" i="25"/>
  <c r="DN26" i="25" s="1"/>
  <c r="AU26" i="25"/>
  <c r="AV26" i="25" s="1"/>
  <c r="BY25" i="25"/>
  <c r="BZ25" i="25" s="1"/>
  <c r="CS33" i="25"/>
  <c r="CT33" i="25" s="1"/>
  <c r="CI25" i="25"/>
  <c r="CJ25" i="25" s="1"/>
  <c r="BY27" i="25"/>
  <c r="BZ27" i="25" s="1"/>
  <c r="AK27" i="25"/>
  <c r="AL27" i="25" s="1"/>
  <c r="AU32" i="25"/>
  <c r="AV32" i="25" s="1"/>
  <c r="G32" i="25"/>
  <c r="H32" i="25" s="1"/>
  <c r="CI30" i="25"/>
  <c r="CJ30" i="25" s="1"/>
  <c r="BE25" i="25"/>
  <c r="BF25" i="25" s="1"/>
  <c r="BE30" i="25"/>
  <c r="BF30" i="25" s="1"/>
  <c r="AU27" i="25"/>
  <c r="AV27" i="25" s="1"/>
  <c r="CS36" i="25"/>
  <c r="CT36" i="25" s="1"/>
  <c r="BE24" i="25"/>
  <c r="BF24" i="25" s="1"/>
  <c r="Q38" i="25"/>
  <c r="R38" i="25" s="1"/>
  <c r="Q29" i="25"/>
  <c r="R29" i="25" s="1"/>
  <c r="Q40" i="25"/>
  <c r="R40" i="25" s="1"/>
  <c r="Q30" i="25"/>
  <c r="R30" i="25" s="1"/>
  <c r="G34" i="25"/>
  <c r="H34" i="25" s="1"/>
  <c r="Q25" i="25"/>
  <c r="R25" i="25" s="1"/>
  <c r="Q32" i="25"/>
  <c r="R32" i="25" s="1"/>
  <c r="Q24" i="25"/>
  <c r="R24" i="25" s="1"/>
  <c r="DM40" i="25"/>
  <c r="DN40" i="25" s="1"/>
  <c r="DC33" i="25"/>
  <c r="DD33" i="25" s="1"/>
  <c r="DB41" i="25"/>
  <c r="DC41" i="25" s="1"/>
  <c r="DD41" i="25" s="1"/>
  <c r="DB25" i="25"/>
  <c r="DC25" i="25" s="1"/>
  <c r="DD25" i="25" s="1"/>
  <c r="DB34" i="25"/>
  <c r="DC34" i="25" s="1"/>
  <c r="DD34" i="25" s="1"/>
  <c r="DB26" i="25"/>
  <c r="DC26" i="25" s="1"/>
  <c r="DD26" i="25" s="1"/>
  <c r="DB32" i="25"/>
  <c r="DC32" i="25" s="1"/>
  <c r="DD32" i="25" s="1"/>
  <c r="DB36" i="25"/>
  <c r="DC36" i="25" s="1"/>
  <c r="DD36" i="25" s="1"/>
  <c r="DB28" i="25"/>
  <c r="DC28" i="25" s="1"/>
  <c r="DD28" i="25" s="1"/>
  <c r="CS28" i="25"/>
  <c r="CT28" i="25" s="1"/>
  <c r="BN30" i="25"/>
  <c r="BO30" i="25" s="1"/>
  <c r="BP30" i="25" s="1"/>
  <c r="BN33" i="25"/>
  <c r="BO33" i="25" s="1"/>
  <c r="BP33" i="25" s="1"/>
  <c r="BN41" i="25"/>
  <c r="BO41" i="25" s="1"/>
  <c r="BP41" i="25" s="1"/>
  <c r="BN25" i="25"/>
  <c r="BO25" i="25" s="1"/>
  <c r="BP25" i="25" s="1"/>
  <c r="BN31" i="25"/>
  <c r="BO31" i="25" s="1"/>
  <c r="BP31" i="25" s="1"/>
  <c r="BN26" i="25"/>
  <c r="BO26" i="25" s="1"/>
  <c r="BP26" i="25" s="1"/>
  <c r="BN27" i="25"/>
  <c r="BO27" i="25" s="1"/>
  <c r="BP27" i="25" s="1"/>
  <c r="BN35" i="25"/>
  <c r="BO35" i="25" s="1"/>
  <c r="BP35" i="25" s="1"/>
  <c r="BN39" i="25"/>
  <c r="BO39" i="25" s="1"/>
  <c r="BP39" i="25" s="1"/>
  <c r="BN28" i="25"/>
  <c r="BO28" i="25" s="1"/>
  <c r="BP28" i="25" s="1"/>
  <c r="BK54" i="25"/>
  <c r="K15" i="21" s="1"/>
  <c r="BN38" i="25"/>
  <c r="BO38" i="25" s="1"/>
  <c r="BP38" i="25" s="1"/>
  <c r="BN32" i="25"/>
  <c r="BO32" i="25" s="1"/>
  <c r="BP32" i="25" s="1"/>
  <c r="BN23" i="25"/>
  <c r="BO23" i="25" s="1"/>
  <c r="BP23" i="25" s="1"/>
  <c r="BN37" i="25"/>
  <c r="BO37" i="25" s="1"/>
  <c r="BP37" i="25" s="1"/>
  <c r="BN29" i="25"/>
  <c r="BO29" i="25" s="1"/>
  <c r="BP29" i="25" s="1"/>
  <c r="BN36" i="25"/>
  <c r="BO36" i="25" s="1"/>
  <c r="BP36" i="25" s="1"/>
  <c r="BN34" i="25"/>
  <c r="BO34" i="25" s="1"/>
  <c r="BP34" i="25" s="1"/>
  <c r="BN40" i="25"/>
  <c r="BO40" i="25" s="1"/>
  <c r="BP40" i="25" s="1"/>
  <c r="BN24" i="25"/>
  <c r="BO24" i="25" s="1"/>
  <c r="BP24" i="25" s="1"/>
  <c r="DB27" i="25"/>
  <c r="DC27" i="25" s="1"/>
  <c r="DD27" i="25" s="1"/>
  <c r="DB40" i="25"/>
  <c r="DC40" i="25" s="1"/>
  <c r="DD40" i="25" s="1"/>
  <c r="BP16" i="25"/>
  <c r="BM52" i="25"/>
  <c r="G29" i="25"/>
  <c r="H29" i="25" s="1"/>
  <c r="M63" i="25"/>
  <c r="C26" i="21"/>
  <c r="F26" i="21" s="1"/>
  <c r="Q11" i="21"/>
  <c r="S11" i="21" s="1"/>
  <c r="W11" i="21" s="1"/>
  <c r="C16" i="29" s="1"/>
  <c r="Q19" i="21"/>
  <c r="S19" i="21" s="1"/>
  <c r="W19" i="21" s="1"/>
  <c r="C24" i="29" s="1"/>
  <c r="G37" i="25"/>
  <c r="H37" i="25" s="1"/>
  <c r="Q17" i="21"/>
  <c r="S17" i="21" s="1"/>
  <c r="W17" i="21" s="1"/>
  <c r="C22" i="29" s="1"/>
  <c r="G28" i="25"/>
  <c r="H28" i="25" s="1"/>
  <c r="G41" i="25"/>
  <c r="H41" i="25" s="1"/>
  <c r="G30" i="25"/>
  <c r="H30" i="25" s="1"/>
  <c r="G27" i="25"/>
  <c r="H27" i="25" s="1"/>
  <c r="Q10" i="21"/>
  <c r="S10" i="21" s="1"/>
  <c r="W10" i="21" s="1"/>
  <c r="C15" i="29" s="1"/>
  <c r="Q12" i="21"/>
  <c r="S12" i="21" s="1"/>
  <c r="W12" i="21" s="1"/>
  <c r="C17" i="29" s="1"/>
  <c r="CE63" i="25"/>
  <c r="C33" i="21"/>
  <c r="F33" i="21" s="1"/>
  <c r="Q15" i="21"/>
  <c r="S15" i="21" s="1"/>
  <c r="W15" i="21" s="1"/>
  <c r="C20" i="29" s="1"/>
  <c r="G40" i="25"/>
  <c r="H40" i="25" s="1"/>
  <c r="Z42" i="25"/>
  <c r="F42" i="25"/>
  <c r="P42" i="25"/>
  <c r="AJ42" i="25"/>
  <c r="BD42" i="25"/>
  <c r="DL42" i="25"/>
  <c r="AT42" i="25"/>
  <c r="CJ23" i="25"/>
  <c r="CH42" i="25"/>
  <c r="BY23" i="25"/>
  <c r="BX42" i="25"/>
  <c r="G48" i="14"/>
  <c r="E86" i="14" s="1"/>
  <c r="F86" i="14" s="1"/>
  <c r="G86" i="14" s="1"/>
  <c r="H32" i="14"/>
  <c r="J27" i="14"/>
  <c r="E85" i="14" s="1"/>
  <c r="F85" i="14" s="1"/>
  <c r="G85" i="14" s="1"/>
  <c r="K23" i="14"/>
  <c r="G18" i="14"/>
  <c r="E84" i="14" s="1"/>
  <c r="F84" i="14" s="1"/>
  <c r="H13" i="14"/>
  <c r="L17" i="12"/>
  <c r="F49" i="12"/>
  <c r="P37" i="7"/>
  <c r="Q37" i="7" s="1"/>
  <c r="O42" i="7"/>
  <c r="E24" i="29" s="1"/>
  <c r="L32" i="15"/>
  <c r="M32" i="15"/>
  <c r="G22" i="15"/>
  <c r="H22" i="15" s="1"/>
  <c r="E56" i="15"/>
  <c r="J56" i="15"/>
  <c r="D128" i="15"/>
  <c r="D224" i="15"/>
  <c r="G215" i="15"/>
  <c r="H215" i="15" s="1"/>
  <c r="F272" i="15"/>
  <c r="C71" i="14" s="1"/>
  <c r="M56" i="15"/>
  <c r="G238" i="15"/>
  <c r="H238" i="15" s="1"/>
  <c r="N246" i="15"/>
  <c r="O246" i="15" s="1"/>
  <c r="P246" i="15" s="1"/>
  <c r="Q246" i="15" s="1"/>
  <c r="R246" i="15" s="1"/>
  <c r="N247" i="15"/>
  <c r="O247" i="15" s="1"/>
  <c r="P247" i="15" s="1"/>
  <c r="Q247" i="15" s="1"/>
  <c r="R247" i="15" s="1"/>
  <c r="N271" i="15"/>
  <c r="O271" i="15" s="1"/>
  <c r="P271" i="15" s="1"/>
  <c r="Q271" i="15" s="1"/>
  <c r="R271" i="15" s="1"/>
  <c r="G287" i="15"/>
  <c r="H287" i="15" s="1"/>
  <c r="I38" i="7"/>
  <c r="G38" i="7"/>
  <c r="F38" i="7"/>
  <c r="J38" i="7"/>
  <c r="H38" i="7"/>
  <c r="E39" i="7"/>
  <c r="H39" i="7"/>
  <c r="F39" i="7"/>
  <c r="J39" i="7"/>
  <c r="I39" i="7"/>
  <c r="G39" i="7"/>
  <c r="F41" i="7"/>
  <c r="J41" i="7"/>
  <c r="H41" i="7"/>
  <c r="E41" i="7"/>
  <c r="I41" i="7"/>
  <c r="G41" i="7"/>
  <c r="E38" i="7"/>
  <c r="G70" i="15"/>
  <c r="H70" i="15" s="1"/>
  <c r="N126" i="15"/>
  <c r="O126" i="15" s="1"/>
  <c r="P126" i="15" s="1"/>
  <c r="Q126" i="15" s="1"/>
  <c r="R126" i="15" s="1"/>
  <c r="L224" i="15"/>
  <c r="G214" i="15"/>
  <c r="H214" i="15" s="1"/>
  <c r="F296" i="15"/>
  <c r="L56" i="15"/>
  <c r="N54" i="15"/>
  <c r="G47" i="15"/>
  <c r="H47" i="15" s="1"/>
  <c r="L80" i="15"/>
  <c r="M80" i="15"/>
  <c r="N79" i="15"/>
  <c r="O79" i="15" s="1"/>
  <c r="P79" i="15" s="1"/>
  <c r="Q79" i="15" s="1"/>
  <c r="R79" i="15" s="1"/>
  <c r="E128" i="15"/>
  <c r="N127" i="15"/>
  <c r="O127" i="15" s="1"/>
  <c r="P127" i="15" s="1"/>
  <c r="Q127" i="15" s="1"/>
  <c r="R127" i="15" s="1"/>
  <c r="J152" i="15"/>
  <c r="K152" i="15"/>
  <c r="N150" i="15"/>
  <c r="O150" i="15" s="1"/>
  <c r="P150" i="15" s="1"/>
  <c r="Q150" i="15" s="1"/>
  <c r="R150" i="15" s="1"/>
  <c r="E176" i="15"/>
  <c r="N175" i="15"/>
  <c r="O175" i="15" s="1"/>
  <c r="P175" i="15" s="1"/>
  <c r="Q175" i="15" s="1"/>
  <c r="R175" i="15" s="1"/>
  <c r="N174" i="15"/>
  <c r="O174" i="15" s="1"/>
  <c r="P174" i="15" s="1"/>
  <c r="Q174" i="15" s="1"/>
  <c r="R174" i="15" s="1"/>
  <c r="D200" i="15"/>
  <c r="K200" i="15"/>
  <c r="N199" i="15"/>
  <c r="O199" i="15" s="1"/>
  <c r="P199" i="15" s="1"/>
  <c r="Q199" i="15" s="1"/>
  <c r="R199" i="15" s="1"/>
  <c r="F216" i="15"/>
  <c r="N223" i="15"/>
  <c r="O223" i="15" s="1"/>
  <c r="P223" i="15" s="1"/>
  <c r="Q223" i="15" s="1"/>
  <c r="R223" i="15" s="1"/>
  <c r="E248" i="15"/>
  <c r="F248" i="15"/>
  <c r="E272" i="15"/>
  <c r="C70" i="14" s="1"/>
  <c r="J272" i="15"/>
  <c r="C75" i="14" s="1"/>
  <c r="G272" i="15"/>
  <c r="C72" i="14" s="1"/>
  <c r="N270" i="15"/>
  <c r="O270" i="15" s="1"/>
  <c r="P270" i="15" s="1"/>
  <c r="Q270" i="15" s="1"/>
  <c r="R270" i="15" s="1"/>
  <c r="D56" i="15"/>
  <c r="N78" i="15"/>
  <c r="O78" i="15" s="1"/>
  <c r="P78" i="15" s="1"/>
  <c r="Q78" i="15" s="1"/>
  <c r="R78" i="15" s="1"/>
  <c r="F152" i="15"/>
  <c r="N198" i="15"/>
  <c r="O198" i="15" s="1"/>
  <c r="P198" i="15" s="1"/>
  <c r="Q198" i="15" s="1"/>
  <c r="R198" i="15" s="1"/>
  <c r="N295" i="15"/>
  <c r="O295" i="15" s="1"/>
  <c r="P295" i="15" s="1"/>
  <c r="Q295" i="15" s="1"/>
  <c r="R295" i="15" s="1"/>
  <c r="F48" i="15"/>
  <c r="F56" i="15"/>
  <c r="N55" i="15"/>
  <c r="F72" i="15"/>
  <c r="F80" i="15"/>
  <c r="I104" i="15"/>
  <c r="N102" i="15"/>
  <c r="O102" i="15" s="1"/>
  <c r="P102" i="15" s="1"/>
  <c r="Q102" i="15" s="1"/>
  <c r="R102" i="15" s="1"/>
  <c r="I128" i="15"/>
  <c r="J128" i="15"/>
  <c r="D152" i="15"/>
  <c r="F176" i="15"/>
  <c r="F192" i="15"/>
  <c r="G191" i="15"/>
  <c r="H191" i="15" s="1"/>
  <c r="F224" i="15"/>
  <c r="G224" i="15"/>
  <c r="N222" i="15"/>
  <c r="O222" i="15" s="1"/>
  <c r="P222" i="15" s="1"/>
  <c r="Q222" i="15" s="1"/>
  <c r="R222" i="15" s="1"/>
  <c r="I248" i="15"/>
  <c r="J248" i="15"/>
  <c r="K248" i="15"/>
  <c r="K272" i="15"/>
  <c r="C76" i="14" s="1"/>
  <c r="M296" i="15"/>
  <c r="N294" i="15"/>
  <c r="O294" i="15" s="1"/>
  <c r="P294" i="15" s="1"/>
  <c r="Q294" i="15" s="1"/>
  <c r="R294" i="15" s="1"/>
  <c r="E288" i="15"/>
  <c r="G285" i="15"/>
  <c r="H285" i="15" s="1"/>
  <c r="J296" i="15"/>
  <c r="H296" i="15"/>
  <c r="N293" i="15"/>
  <c r="G286" i="15"/>
  <c r="H286" i="15" s="1"/>
  <c r="F288" i="15"/>
  <c r="D296" i="15"/>
  <c r="K296" i="15"/>
  <c r="G261" i="15"/>
  <c r="H261" i="15" s="1"/>
  <c r="E264" i="15"/>
  <c r="N269" i="15"/>
  <c r="H272" i="15"/>
  <c r="M272" i="15"/>
  <c r="C78" i="14" s="1"/>
  <c r="D272" i="15"/>
  <c r="C69" i="14" s="1"/>
  <c r="G263" i="15"/>
  <c r="H263" i="15" s="1"/>
  <c r="I272" i="15"/>
  <c r="C74" i="14" s="1"/>
  <c r="F264" i="15"/>
  <c r="L272" i="15"/>
  <c r="C77" i="14" s="1"/>
  <c r="D248" i="15"/>
  <c r="H248" i="15"/>
  <c r="N245" i="15"/>
  <c r="G248" i="15"/>
  <c r="E240" i="15"/>
  <c r="G240" i="15" s="1"/>
  <c r="H240" i="15" s="1"/>
  <c r="G237" i="15"/>
  <c r="H237" i="15" s="1"/>
  <c r="I224" i="15"/>
  <c r="M224" i="15"/>
  <c r="N221" i="15"/>
  <c r="G213" i="15"/>
  <c r="H213" i="15" s="1"/>
  <c r="E216" i="15"/>
  <c r="G216" i="15" s="1"/>
  <c r="H216" i="15" s="1"/>
  <c r="K224" i="15"/>
  <c r="E192" i="15"/>
  <c r="G189" i="15"/>
  <c r="H189" i="15" s="1"/>
  <c r="F200" i="15"/>
  <c r="H200" i="15"/>
  <c r="G200" i="15"/>
  <c r="N197" i="15"/>
  <c r="G190" i="15"/>
  <c r="H190" i="15" s="1"/>
  <c r="L176" i="15"/>
  <c r="G167" i="15"/>
  <c r="H167" i="15" s="1"/>
  <c r="F168" i="15"/>
  <c r="G165" i="15"/>
  <c r="H165" i="15" s="1"/>
  <c r="E168" i="15"/>
  <c r="N173" i="15"/>
  <c r="G176" i="15"/>
  <c r="G166" i="15"/>
  <c r="H166" i="15" s="1"/>
  <c r="D176" i="15"/>
  <c r="K176" i="15"/>
  <c r="F144" i="15"/>
  <c r="G141" i="15"/>
  <c r="H141" i="15" s="1"/>
  <c r="E144" i="15"/>
  <c r="G152" i="15"/>
  <c r="G143" i="15"/>
  <c r="H143" i="15" s="1"/>
  <c r="G142" i="15"/>
  <c r="H142" i="15" s="1"/>
  <c r="E152" i="15"/>
  <c r="H152" i="15"/>
  <c r="G118" i="15"/>
  <c r="H118" i="15" s="1"/>
  <c r="L128" i="15"/>
  <c r="N125" i="15"/>
  <c r="G119" i="15"/>
  <c r="H119" i="15" s="1"/>
  <c r="F120" i="15"/>
  <c r="G117" i="15"/>
  <c r="H117" i="15" s="1"/>
  <c r="E120" i="15"/>
  <c r="F128" i="15"/>
  <c r="K128" i="15"/>
  <c r="E104" i="15"/>
  <c r="D104" i="15"/>
  <c r="H104" i="15"/>
  <c r="G104" i="15"/>
  <c r="G94" i="15"/>
  <c r="H94" i="15" s="1"/>
  <c r="G95" i="15"/>
  <c r="H95" i="15" s="1"/>
  <c r="E96" i="15"/>
  <c r="G96" i="15" s="1"/>
  <c r="H96" i="15" s="1"/>
  <c r="G93" i="15"/>
  <c r="H93" i="15" s="1"/>
  <c r="N101" i="15"/>
  <c r="L104" i="15"/>
  <c r="F104" i="15"/>
  <c r="M104" i="15"/>
  <c r="K104" i="15"/>
  <c r="G69" i="15"/>
  <c r="H69" i="15" s="1"/>
  <c r="E72" i="15"/>
  <c r="N77" i="15"/>
  <c r="G80" i="15"/>
  <c r="G71" i="15"/>
  <c r="H71" i="15" s="1"/>
  <c r="H80" i="15"/>
  <c r="K80" i="15"/>
  <c r="N53" i="15"/>
  <c r="H17" i="13" s="1"/>
  <c r="E48" i="15"/>
  <c r="G45" i="15"/>
  <c r="H45" i="15" s="1"/>
  <c r="G46" i="15"/>
  <c r="H46" i="15" s="1"/>
  <c r="H56" i="15"/>
  <c r="K56" i="15"/>
  <c r="N30" i="15"/>
  <c r="N31" i="15"/>
  <c r="E32" i="15"/>
  <c r="J32" i="15"/>
  <c r="I32" i="15"/>
  <c r="D32" i="15"/>
  <c r="N29" i="15"/>
  <c r="H16" i="13" s="1"/>
  <c r="E24" i="15"/>
  <c r="G21" i="15"/>
  <c r="H21" i="15" s="1"/>
  <c r="F24" i="15"/>
  <c r="F32" i="15"/>
  <c r="H32" i="15"/>
  <c r="K32" i="15"/>
  <c r="G23" i="15"/>
  <c r="H23" i="15" s="1"/>
  <c r="E21" i="4"/>
  <c r="E27" i="3"/>
  <c r="J27" i="3"/>
  <c r="K26" i="1"/>
  <c r="L26" i="1" s="1"/>
  <c r="K30" i="1"/>
  <c r="L30" i="1" s="1"/>
  <c r="K34" i="1"/>
  <c r="L34" i="1" s="1"/>
  <c r="K28" i="1"/>
  <c r="L28" i="1" s="1"/>
  <c r="K32" i="1"/>
  <c r="L32" i="1" s="1"/>
  <c r="AX22" i="1"/>
  <c r="L16" i="12"/>
  <c r="AK37" i="1"/>
  <c r="AJ55" i="1"/>
  <c r="N37" i="1"/>
  <c r="M56" i="1"/>
  <c r="L65" i="1"/>
  <c r="M65" i="1" s="1"/>
  <c r="K35" i="1"/>
  <c r="L35" i="1" s="1"/>
  <c r="K31" i="1"/>
  <c r="L31" i="1" s="1"/>
  <c r="L24" i="1"/>
  <c r="K50" i="1"/>
  <c r="L50" i="1" s="1"/>
  <c r="M47" i="1" s="1"/>
  <c r="N47" i="1" s="1"/>
  <c r="I30" i="4"/>
  <c r="G30" i="4"/>
  <c r="E30" i="4"/>
  <c r="F22" i="4"/>
  <c r="H30" i="4"/>
  <c r="D30" i="4"/>
  <c r="E22" i="4"/>
  <c r="F30" i="4"/>
  <c r="J30" i="4"/>
  <c r="K31" i="4"/>
  <c r="I31" i="4"/>
  <c r="G31" i="4"/>
  <c r="E31" i="4"/>
  <c r="F23" i="4"/>
  <c r="F31" i="4"/>
  <c r="H31" i="4"/>
  <c r="D31" i="4"/>
  <c r="E23" i="4"/>
  <c r="G23" i="4" s="1"/>
  <c r="H23" i="4" s="1"/>
  <c r="I23" i="4" s="1"/>
  <c r="I29" i="4"/>
  <c r="F29" i="4"/>
  <c r="G29" i="4"/>
  <c r="F21" i="4"/>
  <c r="H29" i="4"/>
  <c r="D29" i="4"/>
  <c r="I16" i="4"/>
  <c r="M31" i="4"/>
  <c r="L31" i="4"/>
  <c r="L30" i="4"/>
  <c r="K30" i="4"/>
  <c r="J31" i="4"/>
  <c r="M30" i="4"/>
  <c r="M29" i="4"/>
  <c r="L29" i="4"/>
  <c r="K29" i="4"/>
  <c r="J29" i="4"/>
  <c r="U28" i="13" l="1"/>
  <c r="Q28" i="13"/>
  <c r="F16" i="12"/>
  <c r="E16" i="23" s="1"/>
  <c r="N22" i="1"/>
  <c r="S28" i="13"/>
  <c r="Q41" i="7"/>
  <c r="F67" i="26" s="1"/>
  <c r="F66" i="26" s="1"/>
  <c r="F42" i="7"/>
  <c r="E16" i="29" s="1"/>
  <c r="CR42" i="25"/>
  <c r="R28" i="13"/>
  <c r="T29" i="13" s="1"/>
  <c r="Q38" i="7"/>
  <c r="Q42" i="7" s="1"/>
  <c r="Q39" i="7"/>
  <c r="G71" i="26"/>
  <c r="O31" i="15"/>
  <c r="P31" i="15" s="1"/>
  <c r="Q31" i="15" s="1"/>
  <c r="R31" i="15" s="1"/>
  <c r="J16" i="13"/>
  <c r="BE42" i="25"/>
  <c r="F69" i="14"/>
  <c r="E69" i="14"/>
  <c r="K17" i="23"/>
  <c r="M17" i="23" s="1"/>
  <c r="Q17" i="24"/>
  <c r="S17" i="24" s="1"/>
  <c r="U17" i="24" s="1"/>
  <c r="F76" i="14"/>
  <c r="G76" i="14" s="1"/>
  <c r="H76" i="14" s="1"/>
  <c r="E76" i="14"/>
  <c r="F32" i="26" s="1"/>
  <c r="F31" i="26" s="1"/>
  <c r="O30" i="15"/>
  <c r="P30" i="15" s="1"/>
  <c r="Q30" i="15" s="1"/>
  <c r="R30" i="15" s="1"/>
  <c r="I16" i="13"/>
  <c r="O55" i="15"/>
  <c r="P55" i="15" s="1"/>
  <c r="Q55" i="15" s="1"/>
  <c r="R55" i="15" s="1"/>
  <c r="J17" i="13"/>
  <c r="F71" i="14"/>
  <c r="G71" i="14" s="1"/>
  <c r="H71" i="14" s="1"/>
  <c r="E71" i="14"/>
  <c r="F40" i="26" s="1"/>
  <c r="F39" i="26" s="1"/>
  <c r="G84" i="14"/>
  <c r="F78" i="14"/>
  <c r="G78" i="14" s="1"/>
  <c r="H78" i="14" s="1"/>
  <c r="E78" i="14"/>
  <c r="F36" i="26" s="1"/>
  <c r="F35" i="26" s="1"/>
  <c r="F72" i="14"/>
  <c r="G72" i="14" s="1"/>
  <c r="H72" i="14" s="1"/>
  <c r="E72" i="14"/>
  <c r="W21" i="21"/>
  <c r="D41" i="21" s="1"/>
  <c r="D43" i="21" s="1"/>
  <c r="O54" i="15"/>
  <c r="P54" i="15" s="1"/>
  <c r="Q54" i="15" s="1"/>
  <c r="R54" i="15" s="1"/>
  <c r="I17" i="13"/>
  <c r="K16" i="23"/>
  <c r="M16" i="23" s="1"/>
  <c r="Q16" i="24"/>
  <c r="S16" i="24" s="1"/>
  <c r="U16" i="24" s="1"/>
  <c r="H19" i="13"/>
  <c r="H20" i="13"/>
  <c r="H22" i="13"/>
  <c r="H26" i="13"/>
  <c r="H25" i="13"/>
  <c r="H18" i="13"/>
  <c r="H27" i="13"/>
  <c r="H21" i="13"/>
  <c r="H24" i="13"/>
  <c r="H23" i="13"/>
  <c r="F77" i="14"/>
  <c r="G77" i="14" s="1"/>
  <c r="H77" i="14" s="1"/>
  <c r="E77" i="14"/>
  <c r="F34" i="26" s="1"/>
  <c r="F33" i="26" s="1"/>
  <c r="F75" i="14"/>
  <c r="G75" i="14" s="1"/>
  <c r="H75" i="14" s="1"/>
  <c r="E75" i="14"/>
  <c r="F30" i="26" s="1"/>
  <c r="F29" i="26" s="1"/>
  <c r="C26" i="29"/>
  <c r="F70" i="14"/>
  <c r="G70" i="14" s="1"/>
  <c r="H70" i="14" s="1"/>
  <c r="E70" i="14"/>
  <c r="F44" i="26" s="1"/>
  <c r="F43" i="26" s="1"/>
  <c r="G72" i="15"/>
  <c r="H72" i="15" s="1"/>
  <c r="F74" i="14"/>
  <c r="G74" i="14" s="1"/>
  <c r="H74" i="14" s="1"/>
  <c r="E74" i="14"/>
  <c r="F46" i="26" s="1"/>
  <c r="F45" i="26" s="1"/>
  <c r="AV42" i="25"/>
  <c r="AQ61" i="25" s="1"/>
  <c r="AA42" i="25"/>
  <c r="R42" i="25"/>
  <c r="M61" i="25" s="1"/>
  <c r="M65" i="25" s="1"/>
  <c r="DD42" i="25"/>
  <c r="CY61" i="25" s="1"/>
  <c r="CY65" i="25" s="1"/>
  <c r="AB42" i="25"/>
  <c r="W61" i="25" s="1"/>
  <c r="W65" i="25" s="1"/>
  <c r="AL42" i="25"/>
  <c r="AG61" i="25" s="1"/>
  <c r="AG65" i="25" s="1"/>
  <c r="DN42" i="25"/>
  <c r="DI61" i="25" s="1"/>
  <c r="DI65" i="25" s="1"/>
  <c r="BF42" i="25"/>
  <c r="BA61" i="25" s="1"/>
  <c r="BA65" i="25" s="1"/>
  <c r="AK42" i="25"/>
  <c r="Q42" i="25"/>
  <c r="AU42" i="25"/>
  <c r="BO42" i="25"/>
  <c r="DM42" i="25"/>
  <c r="CJ42" i="25"/>
  <c r="CE61" i="25" s="1"/>
  <c r="CE65" i="25" s="1"/>
  <c r="CI42" i="25"/>
  <c r="BP42" i="25"/>
  <c r="BK61" i="25" s="1"/>
  <c r="BK65" i="25" s="1"/>
  <c r="J31" i="21" s="1"/>
  <c r="L31" i="21" s="1"/>
  <c r="CT42" i="25"/>
  <c r="CO61" i="25" s="1"/>
  <c r="CO65" i="25" s="1"/>
  <c r="DB42" i="25"/>
  <c r="CS42" i="25"/>
  <c r="DC42" i="25"/>
  <c r="BN42" i="25"/>
  <c r="F37" i="21"/>
  <c r="D50" i="21" s="1"/>
  <c r="F85" i="26" s="1"/>
  <c r="E16" i="24"/>
  <c r="G16" i="24" s="1"/>
  <c r="I16" i="24" s="1"/>
  <c r="G16" i="23"/>
  <c r="E49" i="24"/>
  <c r="G49" i="24" s="1"/>
  <c r="I49" i="24" s="1"/>
  <c r="E49" i="23"/>
  <c r="G49" i="23" s="1"/>
  <c r="H42" i="25"/>
  <c r="C61" i="25" s="1"/>
  <c r="C65" i="25" s="1"/>
  <c r="J25" i="21" s="1"/>
  <c r="G42" i="25"/>
  <c r="Q21" i="21"/>
  <c r="BK60" i="25"/>
  <c r="S21" i="21"/>
  <c r="J20" i="21"/>
  <c r="J18" i="21"/>
  <c r="AQ60" i="25"/>
  <c r="AQ65" i="25"/>
  <c r="J13" i="21"/>
  <c r="J12" i="21"/>
  <c r="AG60" i="25"/>
  <c r="BZ23" i="25"/>
  <c r="BZ42" i="25" s="1"/>
  <c r="BU61" i="25" s="1"/>
  <c r="BY42" i="25"/>
  <c r="DI60" i="25"/>
  <c r="BA60" i="25"/>
  <c r="K27" i="14"/>
  <c r="L23" i="14"/>
  <c r="L27" i="14" s="1"/>
  <c r="AT56" i="1" s="1"/>
  <c r="I13" i="14"/>
  <c r="I18" i="14" s="1"/>
  <c r="AS37" i="1" s="1"/>
  <c r="H18" i="14"/>
  <c r="H48" i="14"/>
  <c r="I32" i="14"/>
  <c r="I48" i="14" s="1"/>
  <c r="L26" i="12"/>
  <c r="L22" i="12"/>
  <c r="G16" i="12"/>
  <c r="E42" i="7"/>
  <c r="E15" i="29" s="1"/>
  <c r="F52" i="26"/>
  <c r="F51" i="26" s="1"/>
  <c r="G42" i="7"/>
  <c r="E17" i="29" s="1"/>
  <c r="H42" i="7"/>
  <c r="E18" i="29" s="1"/>
  <c r="I42" i="7"/>
  <c r="E19" i="29" s="1"/>
  <c r="J42" i="7"/>
  <c r="E20" i="29" s="1"/>
  <c r="P42" i="7"/>
  <c r="E25" i="29" s="1"/>
  <c r="M16" i="12"/>
  <c r="G48" i="15"/>
  <c r="H48" i="15" s="1"/>
  <c r="G120" i="15"/>
  <c r="H120" i="15" s="1"/>
  <c r="N152" i="15"/>
  <c r="G192" i="15"/>
  <c r="H192" i="15" s="1"/>
  <c r="N296" i="15"/>
  <c r="O293" i="15"/>
  <c r="G288" i="15"/>
  <c r="H288" i="15" s="1"/>
  <c r="N272" i="15"/>
  <c r="O269" i="15"/>
  <c r="G264" i="15"/>
  <c r="H264" i="15" s="1"/>
  <c r="N248" i="15"/>
  <c r="O245" i="15"/>
  <c r="N224" i="15"/>
  <c r="O221" i="15"/>
  <c r="N200" i="15"/>
  <c r="O197" i="15"/>
  <c r="N176" i="15"/>
  <c r="O173" i="15"/>
  <c r="G168" i="15"/>
  <c r="H168" i="15" s="1"/>
  <c r="G144" i="15"/>
  <c r="H144" i="15" s="1"/>
  <c r="P149" i="15"/>
  <c r="O152" i="15"/>
  <c r="N128" i="15"/>
  <c r="O125" i="15"/>
  <c r="N104" i="15"/>
  <c r="O101" i="15"/>
  <c r="N80" i="15"/>
  <c r="O77" i="15"/>
  <c r="N56" i="15"/>
  <c r="O53" i="15"/>
  <c r="G24" i="15"/>
  <c r="H24" i="15" s="1"/>
  <c r="N32" i="15"/>
  <c r="O29" i="15"/>
  <c r="N29" i="4"/>
  <c r="K29" i="1"/>
  <c r="L29" i="1" s="1"/>
  <c r="M28" i="1" s="1"/>
  <c r="K33" i="1"/>
  <c r="L33" i="1" s="1"/>
  <c r="F26" i="12" s="1"/>
  <c r="O37" i="1"/>
  <c r="N65" i="1"/>
  <c r="F59" i="12"/>
  <c r="M24" i="1"/>
  <c r="F18" i="12"/>
  <c r="N55" i="1"/>
  <c r="F50" i="12"/>
  <c r="AK47" i="1"/>
  <c r="AK38" i="1"/>
  <c r="AK45" i="1"/>
  <c r="AJ65" i="1"/>
  <c r="AJ56" i="1"/>
  <c r="L18" i="12"/>
  <c r="AX24" i="1"/>
  <c r="AY22" i="1" s="1"/>
  <c r="F32" i="4"/>
  <c r="G22" i="4"/>
  <c r="H22" i="4" s="1"/>
  <c r="I22" i="4" s="1"/>
  <c r="D32" i="4"/>
  <c r="G32" i="4"/>
  <c r="I32" i="4"/>
  <c r="F24" i="4"/>
  <c r="E32" i="4"/>
  <c r="H32" i="4"/>
  <c r="C73" i="14" s="1"/>
  <c r="C79" i="14" s="1"/>
  <c r="D88" i="14" s="1"/>
  <c r="J32" i="4"/>
  <c r="N31" i="4"/>
  <c r="N30" i="4"/>
  <c r="L32" i="4"/>
  <c r="K32" i="4"/>
  <c r="M32" i="4"/>
  <c r="G21" i="4"/>
  <c r="H21" i="4" s="1"/>
  <c r="I21" i="4" s="1"/>
  <c r="E24" i="4"/>
  <c r="F69" i="26" l="1"/>
  <c r="F68" i="26" s="1"/>
  <c r="J14" i="21"/>
  <c r="J15" i="21"/>
  <c r="M15" i="21" s="1"/>
  <c r="F65" i="26"/>
  <c r="G64" i="26" s="1"/>
  <c r="E88" i="14"/>
  <c r="D89" i="14"/>
  <c r="F14" i="29" s="1"/>
  <c r="Q26" i="24"/>
  <c r="S26" i="24" s="1"/>
  <c r="U26" i="24" s="1"/>
  <c r="K26" i="23"/>
  <c r="M26" i="23" s="1"/>
  <c r="J19" i="21"/>
  <c r="M19" i="21" s="1"/>
  <c r="I22" i="13"/>
  <c r="I21" i="13"/>
  <c r="I25" i="13"/>
  <c r="I18" i="13"/>
  <c r="I26" i="13"/>
  <c r="I24" i="13"/>
  <c r="I27" i="13"/>
  <c r="I20" i="13"/>
  <c r="I23" i="13"/>
  <c r="I19" i="13"/>
  <c r="D47" i="21"/>
  <c r="F16" i="26"/>
  <c r="F42" i="26"/>
  <c r="F41" i="26" s="1"/>
  <c r="AU37" i="1"/>
  <c r="AU55" i="1"/>
  <c r="H28" i="13"/>
  <c r="F73" i="14"/>
  <c r="G73" i="14" s="1"/>
  <c r="H73" i="14" s="1"/>
  <c r="E73" i="14"/>
  <c r="E79" i="14" s="1"/>
  <c r="C88" i="14" s="1"/>
  <c r="I24" i="4"/>
  <c r="F26" i="26" s="1"/>
  <c r="F25" i="26" s="1"/>
  <c r="K18" i="23"/>
  <c r="M18" i="23" s="1"/>
  <c r="Q18" i="24"/>
  <c r="S18" i="24" s="1"/>
  <c r="U18" i="24" s="1"/>
  <c r="E26" i="29"/>
  <c r="AS55" i="1"/>
  <c r="AS47" i="1"/>
  <c r="AS45" i="1"/>
  <c r="AS38" i="1"/>
  <c r="J10" i="21"/>
  <c r="J17" i="21"/>
  <c r="M17" i="21" s="1"/>
  <c r="M60" i="25"/>
  <c r="CE60" i="25"/>
  <c r="J19" i="13"/>
  <c r="J22" i="13"/>
  <c r="J26" i="13"/>
  <c r="J18" i="13"/>
  <c r="J27" i="13"/>
  <c r="J23" i="13"/>
  <c r="J25" i="13"/>
  <c r="J21" i="13"/>
  <c r="J24" i="13"/>
  <c r="J20" i="13"/>
  <c r="G69" i="14"/>
  <c r="AW37" i="1"/>
  <c r="K22" i="23"/>
  <c r="M22" i="23" s="1"/>
  <c r="Q22" i="24"/>
  <c r="S22" i="24" s="1"/>
  <c r="U22" i="24" s="1"/>
  <c r="CY60" i="25"/>
  <c r="J11" i="21"/>
  <c r="M11" i="21" s="1"/>
  <c r="W60" i="25"/>
  <c r="CO60" i="25"/>
  <c r="J29" i="21"/>
  <c r="L29" i="21" s="1"/>
  <c r="N19" i="21"/>
  <c r="J9" i="21"/>
  <c r="N9" i="21" s="1"/>
  <c r="J30" i="21"/>
  <c r="L30" i="21" s="1"/>
  <c r="C60" i="25"/>
  <c r="N14" i="21"/>
  <c r="M14" i="21"/>
  <c r="N13" i="21"/>
  <c r="M13" i="21"/>
  <c r="N10" i="21"/>
  <c r="M10" i="21"/>
  <c r="N12" i="21"/>
  <c r="M12" i="21"/>
  <c r="N18" i="21"/>
  <c r="M18" i="21"/>
  <c r="N20" i="21"/>
  <c r="M20" i="21"/>
  <c r="G49" i="12"/>
  <c r="E50" i="23"/>
  <c r="G50" i="23" s="1"/>
  <c r="E50" i="24"/>
  <c r="G50" i="24" s="1"/>
  <c r="I50" i="24" s="1"/>
  <c r="G59" i="12"/>
  <c r="E59" i="24"/>
  <c r="G59" i="24" s="1"/>
  <c r="I59" i="24" s="1"/>
  <c r="E59" i="23"/>
  <c r="G59" i="23" s="1"/>
  <c r="E18" i="23"/>
  <c r="G18" i="23" s="1"/>
  <c r="E18" i="24"/>
  <c r="G18" i="24" s="1"/>
  <c r="I18" i="24" s="1"/>
  <c r="E26" i="24"/>
  <c r="G26" i="24" s="1"/>
  <c r="I26" i="24" s="1"/>
  <c r="E26" i="23"/>
  <c r="G26" i="23" s="1"/>
  <c r="N15" i="21"/>
  <c r="J36" i="21"/>
  <c r="L36" i="21" s="1"/>
  <c r="J35" i="21"/>
  <c r="L35" i="21" s="1"/>
  <c r="J34" i="21"/>
  <c r="L34" i="21" s="1"/>
  <c r="J33" i="21"/>
  <c r="L33" i="21" s="1"/>
  <c r="BU65" i="25"/>
  <c r="J16" i="21"/>
  <c r="J28" i="21"/>
  <c r="L28" i="21" s="1"/>
  <c r="J27" i="21"/>
  <c r="L27" i="21" s="1"/>
  <c r="J26" i="21"/>
  <c r="L26" i="21" s="1"/>
  <c r="L25" i="21"/>
  <c r="BU60" i="25"/>
  <c r="F22" i="12"/>
  <c r="G18" i="12" s="1"/>
  <c r="H16" i="12" s="1"/>
  <c r="M18" i="12"/>
  <c r="N16" i="12" s="1"/>
  <c r="F50" i="26"/>
  <c r="F49" i="26" s="1"/>
  <c r="G48" i="26" s="1"/>
  <c r="P293" i="15"/>
  <c r="O296" i="15"/>
  <c r="O272" i="15"/>
  <c r="P269" i="15"/>
  <c r="O248" i="15"/>
  <c r="P245" i="15"/>
  <c r="P221" i="15"/>
  <c r="O224" i="15"/>
  <c r="O200" i="15"/>
  <c r="P197" i="15"/>
  <c r="P173" i="15"/>
  <c r="O176" i="15"/>
  <c r="P152" i="15"/>
  <c r="Q149" i="15"/>
  <c r="P125" i="15"/>
  <c r="O128" i="15"/>
  <c r="P101" i="15"/>
  <c r="O104" i="15"/>
  <c r="P77" i="15"/>
  <c r="O80" i="15"/>
  <c r="P53" i="15"/>
  <c r="O56" i="15"/>
  <c r="P29" i="15"/>
  <c r="O32" i="15"/>
  <c r="O30" i="4"/>
  <c r="P30" i="4" s="1"/>
  <c r="Q30" i="4" s="1"/>
  <c r="R37" i="1" s="1"/>
  <c r="S37" i="1" s="1"/>
  <c r="T37" i="1" s="1"/>
  <c r="O31" i="4"/>
  <c r="P31" i="4" s="1"/>
  <c r="Q31" i="4" s="1"/>
  <c r="N32" i="4"/>
  <c r="G14" i="29" s="1"/>
  <c r="M32" i="1"/>
  <c r="N24" i="1" s="1"/>
  <c r="O22" i="1" s="1"/>
  <c r="O55" i="1"/>
  <c r="AK55" i="1"/>
  <c r="AW55" i="1" s="1"/>
  <c r="G24" i="4"/>
  <c r="H24" i="4" s="1"/>
  <c r="O29" i="4"/>
  <c r="R38" i="1" l="1"/>
  <c r="S38" i="1" s="1"/>
  <c r="F79" i="14"/>
  <c r="V16" i="24"/>
  <c r="F24" i="26"/>
  <c r="G21" i="26" s="1"/>
  <c r="N17" i="21"/>
  <c r="AS56" i="1"/>
  <c r="AS65" i="1"/>
  <c r="AU65" i="1"/>
  <c r="AU56" i="1"/>
  <c r="R47" i="1"/>
  <c r="S47" i="1" s="1"/>
  <c r="T47" i="1" s="1"/>
  <c r="I41" i="12" s="1"/>
  <c r="G16" i="29"/>
  <c r="G19" i="29"/>
  <c r="G20" i="29"/>
  <c r="G25" i="29"/>
  <c r="G21" i="29"/>
  <c r="G15" i="29"/>
  <c r="G17" i="29"/>
  <c r="G22" i="29"/>
  <c r="G18" i="29"/>
  <c r="G23" i="29"/>
  <c r="G24" i="29"/>
  <c r="N11" i="21"/>
  <c r="AU38" i="1"/>
  <c r="AW38" i="1" s="1"/>
  <c r="L32" i="12" s="1"/>
  <c r="AU45" i="1"/>
  <c r="AW45" i="1" s="1"/>
  <c r="L39" i="12" s="1"/>
  <c r="AU47" i="1"/>
  <c r="AW47" i="1" s="1"/>
  <c r="L41" i="12" s="1"/>
  <c r="I28" i="13"/>
  <c r="R55" i="1"/>
  <c r="S55" i="1" s="1"/>
  <c r="T55" i="1" s="1"/>
  <c r="I49" i="12" s="1"/>
  <c r="R30" i="4"/>
  <c r="H69" i="14"/>
  <c r="H79" i="14" s="1"/>
  <c r="G79" i="14"/>
  <c r="R45" i="1"/>
  <c r="S45" i="1" s="1"/>
  <c r="T45" i="1" s="1"/>
  <c r="U45" i="1" s="1"/>
  <c r="D38" i="13"/>
  <c r="D39" i="13" s="1"/>
  <c r="C89" i="14"/>
  <c r="G15" i="26"/>
  <c r="G14" i="26" s="1"/>
  <c r="G12" i="26"/>
  <c r="G10" i="26" s="1"/>
  <c r="F19" i="29"/>
  <c r="F21" i="29"/>
  <c r="F15" i="29"/>
  <c r="F17" i="29"/>
  <c r="H17" i="29" s="1"/>
  <c r="F22" i="29"/>
  <c r="F18" i="29"/>
  <c r="F16" i="29"/>
  <c r="F24" i="29"/>
  <c r="H24" i="29" s="1"/>
  <c r="F23" i="29"/>
  <c r="H23" i="29" s="1"/>
  <c r="F20" i="29"/>
  <c r="H20" i="29" s="1"/>
  <c r="F25" i="29"/>
  <c r="H14" i="29"/>
  <c r="F88" i="14"/>
  <c r="E89" i="14"/>
  <c r="J28" i="13"/>
  <c r="M9" i="21"/>
  <c r="N16" i="21"/>
  <c r="N21" i="21" s="1"/>
  <c r="D49" i="21" s="1"/>
  <c r="F84" i="26" s="1"/>
  <c r="F83" i="26" s="1"/>
  <c r="F82" i="26" s="1"/>
  <c r="M16" i="21"/>
  <c r="J49" i="24"/>
  <c r="E22" i="23"/>
  <c r="G22" i="23" s="1"/>
  <c r="E22" i="24"/>
  <c r="G22" i="24" s="1"/>
  <c r="I22" i="24" s="1"/>
  <c r="J16" i="24" s="1"/>
  <c r="H49" i="12"/>
  <c r="J32" i="21"/>
  <c r="J37" i="21" s="1"/>
  <c r="P296" i="15"/>
  <c r="Q293" i="15"/>
  <c r="P272" i="15"/>
  <c r="Q269" i="15"/>
  <c r="P248" i="15"/>
  <c r="Q245" i="15"/>
  <c r="P224" i="15"/>
  <c r="Q221" i="15"/>
  <c r="P200" i="15"/>
  <c r="Q197" i="15"/>
  <c r="P176" i="15"/>
  <c r="Q173" i="15"/>
  <c r="Q152" i="15"/>
  <c r="R149" i="15"/>
  <c r="R152" i="15" s="1"/>
  <c r="P128" i="15"/>
  <c r="Q125" i="15"/>
  <c r="P104" i="15"/>
  <c r="Q101" i="15"/>
  <c r="P80" i="15"/>
  <c r="Q77" i="15"/>
  <c r="P56" i="15"/>
  <c r="Q53" i="15"/>
  <c r="P32" i="15"/>
  <c r="Q29" i="15"/>
  <c r="R65" i="1"/>
  <c r="S65" i="1" s="1"/>
  <c r="T65" i="1" s="1"/>
  <c r="R56" i="1"/>
  <c r="S56" i="1" s="1"/>
  <c r="T56" i="1" s="1"/>
  <c r="R31" i="4"/>
  <c r="U37" i="1"/>
  <c r="I31" i="12"/>
  <c r="F31" i="12"/>
  <c r="AK65" i="1"/>
  <c r="AW65" i="1" s="1"/>
  <c r="AK56" i="1"/>
  <c r="AX47" i="1"/>
  <c r="O32" i="4"/>
  <c r="P29" i="4"/>
  <c r="I39" i="12" l="1"/>
  <c r="H16" i="29"/>
  <c r="T38" i="1"/>
  <c r="U38" i="1" s="1"/>
  <c r="V37" i="1" s="1"/>
  <c r="H21" i="29"/>
  <c r="H15" i="29"/>
  <c r="I29" i="13"/>
  <c r="AW56" i="1"/>
  <c r="L50" i="12" s="1"/>
  <c r="G26" i="29"/>
  <c r="U55" i="1"/>
  <c r="H25" i="29"/>
  <c r="G23" i="26"/>
  <c r="J41" i="12"/>
  <c r="K41" i="24"/>
  <c r="M41" i="24" s="1"/>
  <c r="O41" i="24" s="1"/>
  <c r="H41" i="23"/>
  <c r="J41" i="23" s="1"/>
  <c r="M41" i="12"/>
  <c r="Q41" i="24"/>
  <c r="S41" i="24" s="1"/>
  <c r="U41" i="24" s="1"/>
  <c r="K41" i="23"/>
  <c r="M41" i="23" s="1"/>
  <c r="U47" i="1"/>
  <c r="H22" i="29"/>
  <c r="H19" i="29"/>
  <c r="E31" i="23"/>
  <c r="G31" i="23" s="1"/>
  <c r="E31" i="24"/>
  <c r="G31" i="24" s="1"/>
  <c r="I31" i="24" s="1"/>
  <c r="F26" i="29"/>
  <c r="H31" i="23"/>
  <c r="J31" i="23" s="1"/>
  <c r="K31" i="24"/>
  <c r="M31" i="24" s="1"/>
  <c r="O31" i="24" s="1"/>
  <c r="K39" i="23"/>
  <c r="M39" i="23" s="1"/>
  <c r="Q39" i="24"/>
  <c r="S39" i="24" s="1"/>
  <c r="U39" i="24" s="1"/>
  <c r="K39" i="24"/>
  <c r="M39" i="24" s="1"/>
  <c r="O39" i="24" s="1"/>
  <c r="H39" i="23"/>
  <c r="J39" i="23" s="1"/>
  <c r="Q32" i="24"/>
  <c r="S32" i="24" s="1"/>
  <c r="U32" i="24" s="1"/>
  <c r="K32" i="23"/>
  <c r="M32" i="23" s="1"/>
  <c r="F41" i="12"/>
  <c r="G88" i="14"/>
  <c r="G89" i="14" s="1"/>
  <c r="F89" i="14"/>
  <c r="H18" i="29"/>
  <c r="K49" i="24"/>
  <c r="M49" i="24" s="1"/>
  <c r="O49" i="24" s="1"/>
  <c r="H49" i="23"/>
  <c r="J49" i="23" s="1"/>
  <c r="L32" i="21"/>
  <c r="L37" i="21" s="1"/>
  <c r="D51" i="21"/>
  <c r="L59" i="12"/>
  <c r="F39" i="12"/>
  <c r="Q296" i="15"/>
  <c r="R293" i="15"/>
  <c r="R296" i="15" s="1"/>
  <c r="Q272" i="15"/>
  <c r="R269" i="15"/>
  <c r="R272" i="15" s="1"/>
  <c r="Q248" i="15"/>
  <c r="R245" i="15"/>
  <c r="R248" i="15" s="1"/>
  <c r="Q224" i="15"/>
  <c r="R221" i="15"/>
  <c r="R224" i="15" s="1"/>
  <c r="Q200" i="15"/>
  <c r="R197" i="15"/>
  <c r="R200" i="15" s="1"/>
  <c r="Q176" i="15"/>
  <c r="R173" i="15"/>
  <c r="R176" i="15" s="1"/>
  <c r="Q128" i="15"/>
  <c r="R125" i="15"/>
  <c r="R128" i="15" s="1"/>
  <c r="Q104" i="15"/>
  <c r="R101" i="15"/>
  <c r="R104" i="15" s="1"/>
  <c r="Q80" i="15"/>
  <c r="R77" i="15"/>
  <c r="R80" i="15" s="1"/>
  <c r="Q56" i="15"/>
  <c r="R53" i="15"/>
  <c r="R56" i="15" s="1"/>
  <c r="Q32" i="15"/>
  <c r="R29" i="15"/>
  <c r="R32" i="15" s="1"/>
  <c r="U65" i="1"/>
  <c r="I59" i="12"/>
  <c r="I50" i="12"/>
  <c r="L49" i="12"/>
  <c r="AX55" i="1"/>
  <c r="Q29" i="4"/>
  <c r="P32" i="4"/>
  <c r="AX56" i="1" l="1"/>
  <c r="AY55" i="1" s="1"/>
  <c r="I32" i="12"/>
  <c r="F32" i="12"/>
  <c r="H26" i="29"/>
  <c r="H16" i="28" s="1"/>
  <c r="H15" i="28" s="1"/>
  <c r="G14" i="28" s="1"/>
  <c r="G12" i="28" s="1"/>
  <c r="G10" i="28" s="1"/>
  <c r="G80" i="28" s="1"/>
  <c r="G41" i="12"/>
  <c r="E41" i="23"/>
  <c r="G41" i="23" s="1"/>
  <c r="E41" i="24"/>
  <c r="G41" i="24" s="1"/>
  <c r="I41" i="24" s="1"/>
  <c r="J31" i="12"/>
  <c r="K31" i="12" s="1"/>
  <c r="K32" i="24"/>
  <c r="M32" i="24" s="1"/>
  <c r="O32" i="24" s="1"/>
  <c r="P31" i="24" s="1"/>
  <c r="H32" i="23"/>
  <c r="J32" i="23" s="1"/>
  <c r="E39" i="24"/>
  <c r="G39" i="24" s="1"/>
  <c r="I39" i="24" s="1"/>
  <c r="E39" i="23"/>
  <c r="G39" i="23" s="1"/>
  <c r="G31" i="12"/>
  <c r="G60" i="12" s="1"/>
  <c r="E32" i="24"/>
  <c r="G32" i="24" s="1"/>
  <c r="I32" i="24" s="1"/>
  <c r="E32" i="23"/>
  <c r="G32" i="23" s="1"/>
  <c r="J59" i="12"/>
  <c r="H59" i="23"/>
  <c r="J59" i="23" s="1"/>
  <c r="K59" i="24"/>
  <c r="M59" i="24" s="1"/>
  <c r="O59" i="24" s="1"/>
  <c r="M59" i="12"/>
  <c r="Q59" i="24"/>
  <c r="S59" i="24" s="1"/>
  <c r="U59" i="24" s="1"/>
  <c r="K59" i="23"/>
  <c r="M59" i="23" s="1"/>
  <c r="Q49" i="24"/>
  <c r="S49" i="24" s="1"/>
  <c r="U49" i="24" s="1"/>
  <c r="K49" i="23"/>
  <c r="M49" i="23" s="1"/>
  <c r="J49" i="12"/>
  <c r="K49" i="12" s="1"/>
  <c r="H50" i="23"/>
  <c r="J50" i="23" s="1"/>
  <c r="K50" i="24"/>
  <c r="M50" i="24" s="1"/>
  <c r="O50" i="24" s="1"/>
  <c r="P49" i="24" s="1"/>
  <c r="K50" i="23"/>
  <c r="M50" i="23" s="1"/>
  <c r="Q50" i="24"/>
  <c r="S50" i="24" s="1"/>
  <c r="U50" i="24" s="1"/>
  <c r="H31" i="12"/>
  <c r="H60" i="12" s="1"/>
  <c r="F60" i="12"/>
  <c r="V55" i="1"/>
  <c r="M49" i="12"/>
  <c r="R22" i="1"/>
  <c r="S22" i="1" s="1"/>
  <c r="T22" i="1" s="1"/>
  <c r="R32" i="1"/>
  <c r="S32" i="1" s="1"/>
  <c r="R28" i="1"/>
  <c r="S28" i="1" s="1"/>
  <c r="R23" i="1"/>
  <c r="R24" i="1"/>
  <c r="Q32" i="4"/>
  <c r="R29" i="4"/>
  <c r="R32" i="4" s="1"/>
  <c r="J31" i="24" l="1"/>
  <c r="J60" i="24" s="1"/>
  <c r="V49" i="24"/>
  <c r="W49" i="24" s="1"/>
  <c r="G60" i="23"/>
  <c r="I16" i="12"/>
  <c r="N49" i="12"/>
  <c r="I22" i="12"/>
  <c r="T28" i="1"/>
  <c r="T32" i="1"/>
  <c r="I26" i="12"/>
  <c r="S24" i="1"/>
  <c r="S23" i="1"/>
  <c r="T23" i="1" s="1"/>
  <c r="F24" i="3"/>
  <c r="G24" i="3"/>
  <c r="H24" i="3"/>
  <c r="I24" i="3"/>
  <c r="I18" i="3"/>
  <c r="I19" i="3"/>
  <c r="I20" i="3"/>
  <c r="I21" i="3"/>
  <c r="I22" i="3"/>
  <c r="I23" i="3"/>
  <c r="H18" i="3"/>
  <c r="H19" i="3"/>
  <c r="H20" i="3"/>
  <c r="H21" i="3"/>
  <c r="H22" i="3"/>
  <c r="H23" i="3"/>
  <c r="H17" i="3"/>
  <c r="G18" i="3"/>
  <c r="G19" i="3"/>
  <c r="G20" i="3"/>
  <c r="G21" i="3"/>
  <c r="G22" i="3"/>
  <c r="G23" i="3"/>
  <c r="G17" i="3"/>
  <c r="F18" i="3"/>
  <c r="F19" i="3"/>
  <c r="F20" i="3"/>
  <c r="F21" i="3"/>
  <c r="F22" i="3"/>
  <c r="F23" i="3"/>
  <c r="K16" i="24" l="1"/>
  <c r="M16" i="24" s="1"/>
  <c r="O16" i="24" s="1"/>
  <c r="H16" i="23"/>
  <c r="J16" i="23" s="1"/>
  <c r="K26" i="24"/>
  <c r="M26" i="24" s="1"/>
  <c r="O26" i="24" s="1"/>
  <c r="H26" i="23"/>
  <c r="J26" i="23" s="1"/>
  <c r="H22" i="23"/>
  <c r="J22" i="23" s="1"/>
  <c r="K22" i="24"/>
  <c r="M22" i="24" s="1"/>
  <c r="O22" i="24" s="1"/>
  <c r="O49" i="12"/>
  <c r="U22" i="1"/>
  <c r="I17" i="12"/>
  <c r="T24" i="1"/>
  <c r="U24" i="1" s="1"/>
  <c r="I18" i="12"/>
  <c r="F27" i="3"/>
  <c r="H27" i="3"/>
  <c r="I27" i="3"/>
  <c r="G27" i="3"/>
  <c r="J18" i="12" l="1"/>
  <c r="K18" i="24"/>
  <c r="M18" i="24" s="1"/>
  <c r="O18" i="24" s="1"/>
  <c r="H18" i="23"/>
  <c r="J18" i="23" s="1"/>
  <c r="J60" i="23" s="1"/>
  <c r="K17" i="24"/>
  <c r="M17" i="24" s="1"/>
  <c r="O17" i="24" s="1"/>
  <c r="H17" i="23"/>
  <c r="J17" i="23" s="1"/>
  <c r="J16" i="12"/>
  <c r="I60" i="12"/>
  <c r="V22" i="1"/>
  <c r="D23" i="7"/>
  <c r="J60" i="12" l="1"/>
  <c r="P16" i="24"/>
  <c r="P60" i="24" s="1"/>
  <c r="F89" i="26" s="1"/>
  <c r="F88" i="26" s="1"/>
  <c r="K16" i="12"/>
  <c r="O16" i="12" s="1"/>
  <c r="E23" i="7"/>
  <c r="W16" i="24" l="1"/>
  <c r="K60" i="12"/>
  <c r="G23" i="7"/>
  <c r="F23" i="7"/>
  <c r="AX37" i="1"/>
  <c r="AY37" i="1" s="1"/>
  <c r="L31" i="12"/>
  <c r="M31" i="12" l="1"/>
  <c r="N31" i="12" s="1"/>
  <c r="Q31" i="24"/>
  <c r="S31" i="24" s="1"/>
  <c r="U31" i="24" s="1"/>
  <c r="V31" i="24" s="1"/>
  <c r="K31" i="23"/>
  <c r="M31" i="23" s="1"/>
  <c r="M60" i="23" s="1"/>
  <c r="L60" i="12"/>
  <c r="W31" i="24" l="1"/>
  <c r="W60" i="24" s="1"/>
  <c r="V60" i="24"/>
  <c r="M60" i="12"/>
  <c r="O31" i="12"/>
  <c r="O60" i="12" s="1"/>
  <c r="N60" i="12"/>
  <c r="F91" i="26" l="1" a="1"/>
  <c r="F91" i="26" s="1"/>
  <c r="F90" i="26" s="1"/>
  <c r="G87" i="26" s="1"/>
  <c r="G81" i="26" s="1"/>
  <c r="G93" i="26" s="1"/>
  <c r="G78" i="28" s="1"/>
  <c r="G77" i="28" s="1"/>
  <c r="H72" i="28" s="1"/>
  <c r="H80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H15" authorId="0" shapeId="0" xr:uid="{7E30649C-C1B1-4274-BFB9-642A3A72BB2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R15" authorId="0" shapeId="0" xr:uid="{A1954DD6-3588-4DF4-A7D1-1E899B1332A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AB15" authorId="0" shapeId="0" xr:uid="{0B06FB1B-44CD-4F63-995E-B9567501FE3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AL15" authorId="0" shapeId="0" xr:uid="{94E94BA4-8667-4246-ABBC-4083B71217C3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AV15" authorId="0" shapeId="0" xr:uid="{286E01DB-A934-4A68-86A8-01801A339D97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BF15" authorId="0" shapeId="0" xr:uid="{6DD5FEA5-3DB1-4320-839A-6A119A4ACCF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BP15" authorId="0" shapeId="0" xr:uid="{B8F51A65-1E66-42AF-9FCA-FE1E38FE152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BZ15" authorId="0" shapeId="0" xr:uid="{FCFBCC82-D427-4BF6-B36A-91722367177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CJ15" authorId="0" shapeId="0" xr:uid="{94B7B1F1-5D26-4F1D-A258-E0DB2A5F9B82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CT15" authorId="0" shapeId="0" xr:uid="{A25B91C1-78E7-4A64-A9E6-4E0F10C679A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DD15" authorId="0" shapeId="0" xr:uid="{704DEC53-D62A-4D3D-99DF-4EEC2A3A900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DN15" authorId="0" shapeId="0" xr:uid="{09FDC1EE-8580-4D2D-9AAA-DA3ACA9C882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OJO ESTAN AMARRADOS </t>
        </r>
      </text>
    </comment>
    <comment ref="F42" authorId="0" shapeId="0" xr:uid="{9A4DF525-8A8C-49E3-84B3-4DE4F5EEFDF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P42" authorId="0" shapeId="0" xr:uid="{B4837F42-C231-4EF5-8291-9F51766E137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Z42" authorId="0" shapeId="0" xr:uid="{0AEF58BC-3A6F-43C5-9DB1-75029820431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AJ42" authorId="0" shapeId="0" xr:uid="{A23B2174-14E7-4371-9A99-F5BCA6B8AA4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AT42" authorId="0" shapeId="0" xr:uid="{3F7DF6F0-4F6A-4D46-9E2B-A47000190E39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BD42" authorId="0" shapeId="0" xr:uid="{66D367DE-48DB-482A-A34E-B52EA6E72FF9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BN42" authorId="0" shapeId="0" xr:uid="{6ABB7A9B-F33E-43DC-8EFE-A07A45EB788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BX42" authorId="0" shapeId="0" xr:uid="{C16A7ABC-F72F-4BB5-BCC7-4ACBC91A395D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CH42" authorId="0" shapeId="0" xr:uid="{11C2B111-CBBD-4289-A586-8FDD34CE6156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CR42" authorId="0" shapeId="0" xr:uid="{C1F0E8BA-C593-4469-B855-6DFD8D5D709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DB42" authorId="0" shapeId="0" xr:uid="{8D4396A7-498A-4998-8F20-DCD51272EBB5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  <comment ref="DL42" authorId="0" shapeId="0" xr:uid="{4DE91DFE-95B8-4E0F-A75E-690B586A330E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VALOR IGUAL A 77%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<sst xmlns="http://schemas.openxmlformats.org/spreadsheetml/2006/main" count="3104" uniqueCount="638">
  <si>
    <t>ADMINISTRACION</t>
  </si>
  <si>
    <t xml:space="preserve">AREA </t>
  </si>
  <si>
    <t xml:space="preserve">COMPRA DE MATERIA PRIMA </t>
  </si>
  <si>
    <t xml:space="preserve">GARANTIZAR CALIDAD DE MATERIA PRIMA </t>
  </si>
  <si>
    <t xml:space="preserve">PRODUCCION </t>
  </si>
  <si>
    <t>VENTA DE PRODUCTO FINAL EN MOSTRADOR</t>
  </si>
  <si>
    <t>LIMPIEZA DEL MOSTRADOR</t>
  </si>
  <si>
    <t xml:space="preserve">ALMACENAMIENTO Y CONGELADO </t>
  </si>
  <si>
    <t>El administrador es el encargado de realizar la negociacion de los bovinos en la fincas para ser sacrificado.</t>
  </si>
  <si>
    <t xml:space="preserve">VENTAS </t>
  </si>
  <si>
    <t>EXIBICION DEL PRODUCTO FINAL</t>
  </si>
  <si>
    <t xml:space="preserve">Se realiza la respectiva exibicion del producto final en las gondolas de la distribuidora </t>
  </si>
  <si>
    <t>GONDOLAS</t>
  </si>
  <si>
    <t xml:space="preserve">CUARTOS FRIOS </t>
  </si>
  <si>
    <t xml:space="preserve">SIERRA </t>
  </si>
  <si>
    <t>MOLINO PARA CARNES</t>
  </si>
  <si>
    <t xml:space="preserve">GUANTE DE ACERO </t>
  </si>
  <si>
    <t xml:space="preserve">BALANZA ELECTRONICA </t>
  </si>
  <si>
    <t xml:space="preserve">CAJA REGISTRADORA </t>
  </si>
  <si>
    <t xml:space="preserve">TABLA DE CORTE BLANCA </t>
  </si>
  <si>
    <t>GANCHOS CARNICEROS</t>
  </si>
  <si>
    <t>GANCHOS DE DESPOSTE</t>
  </si>
  <si>
    <t xml:space="preserve">PROPIEDAD, PLANTA Y EQUIPO </t>
  </si>
  <si>
    <t xml:space="preserve">CUENTAS POR COBRAR </t>
  </si>
  <si>
    <t xml:space="preserve">CLIENTES </t>
  </si>
  <si>
    <t xml:space="preserve">PATRIMONIO </t>
  </si>
  <si>
    <t>CAPITAL SOCIAL</t>
  </si>
  <si>
    <t xml:space="preserve"> DISTRIBUIDORA DE CARNES NICOL </t>
  </si>
  <si>
    <t xml:space="preserve">DEPRECIACION DE MAQUINARIA Y EQUIPO </t>
  </si>
  <si>
    <t>ACTIVO</t>
  </si>
  <si>
    <t xml:space="preserve"> ACTIVO </t>
  </si>
  <si>
    <t xml:space="preserve">MESAS EN ACERO GRANDE </t>
  </si>
  <si>
    <t>MESA EN ACERO PEQUEÑA</t>
  </si>
  <si>
    <t>CANTIDAD</t>
  </si>
  <si>
    <t>DEVENGADOS</t>
  </si>
  <si>
    <t xml:space="preserve">CODIGO </t>
  </si>
  <si>
    <t xml:space="preserve">CARGO </t>
  </si>
  <si>
    <t xml:space="preserve">NOMBRE </t>
  </si>
  <si>
    <t>IDENTIFICACION</t>
  </si>
  <si>
    <t xml:space="preserve">ASIGNACION MENSUAL </t>
  </si>
  <si>
    <t>DIAS LABORADOS</t>
  </si>
  <si>
    <t xml:space="preserve">SUELDO MES </t>
  </si>
  <si>
    <t>AUXILIO DE TRANSPORTE</t>
  </si>
  <si>
    <t>TOTAL DEVENGADOS</t>
  </si>
  <si>
    <t xml:space="preserve">GERENTE </t>
  </si>
  <si>
    <t xml:space="preserve">JEFE DE P/N </t>
  </si>
  <si>
    <t>MANUEL SANDOVAL</t>
  </si>
  <si>
    <t xml:space="preserve">VENDEDOR </t>
  </si>
  <si>
    <t>GUSTAVO PEREZ</t>
  </si>
  <si>
    <t>TOTALES</t>
  </si>
  <si>
    <t>DEDUCCIONES</t>
  </si>
  <si>
    <t>SALUD 4%</t>
  </si>
  <si>
    <t>PENSION 4%</t>
  </si>
  <si>
    <t>TOTAL DEDUCCIONES</t>
  </si>
  <si>
    <t xml:space="preserve">NETO A PAGAR </t>
  </si>
  <si>
    <t>PARAFISCALES</t>
  </si>
  <si>
    <t>SALUD 8.5%</t>
  </si>
  <si>
    <t>PENSION 12%</t>
  </si>
  <si>
    <t>ARL0 0,522%</t>
  </si>
  <si>
    <t>ICBF 3%</t>
  </si>
  <si>
    <t>SENA2%</t>
  </si>
  <si>
    <t>CAJA DE COMPENSACION 4%</t>
  </si>
  <si>
    <t>CESANTIAS 8,33%</t>
  </si>
  <si>
    <t>INT.CESANTIAS 1%</t>
  </si>
  <si>
    <t>PRIMA 8,33%</t>
  </si>
  <si>
    <t>VACACIONES 4,17%</t>
  </si>
  <si>
    <t xml:space="preserve">COSTO MANO OBRA MENSUAL </t>
  </si>
  <si>
    <t xml:space="preserve">COSTO DE MANO OBRA DIA </t>
  </si>
  <si>
    <t xml:space="preserve">COSTO MANO DE OBRA HORA </t>
  </si>
  <si>
    <t xml:space="preserve">COSTO DE OBRA MINUTO </t>
  </si>
  <si>
    <t xml:space="preserve">COSTO MANO DE OBRA SEGUNDO </t>
  </si>
  <si>
    <t>DISTRIBUIDORA DE CARNES NICOL</t>
  </si>
  <si>
    <t xml:space="preserve">DAYANA ESCOBAR </t>
  </si>
  <si>
    <t xml:space="preserve">DISTRIBUIDORA DE CARNES NICOL </t>
  </si>
  <si>
    <t xml:space="preserve">NUMERO DE ANIMALES </t>
  </si>
  <si>
    <t xml:space="preserve">CANTIDAD DE BOVINO </t>
  </si>
  <si>
    <t xml:space="preserve">SEXO </t>
  </si>
  <si>
    <t>PRECIO DE BOVINO EN PIE</t>
  </si>
  <si>
    <t xml:space="preserve">PRECIO DE KILO </t>
  </si>
  <si>
    <t xml:space="preserve">DESPERDICIO </t>
  </si>
  <si>
    <t>PIEZA O CORTE</t>
  </si>
  <si>
    <t xml:space="preserve">PESO EN KILOS </t>
  </si>
  <si>
    <t xml:space="preserve">LOMO ANCHO </t>
  </si>
  <si>
    <t>BOLA</t>
  </si>
  <si>
    <t>CADERA</t>
  </si>
  <si>
    <t>SOBREBARRIGA</t>
  </si>
  <si>
    <t xml:space="preserve">HUESO BLANCO </t>
  </si>
  <si>
    <t xml:space="preserve">CUERO </t>
  </si>
  <si>
    <t xml:space="preserve">TOTALES </t>
  </si>
  <si>
    <t xml:space="preserve">DETALLE </t>
  </si>
  <si>
    <t>VALOR MENSUAL</t>
  </si>
  <si>
    <t>AGUA</t>
  </si>
  <si>
    <t xml:space="preserve">TELEFONO </t>
  </si>
  <si>
    <t xml:space="preserve">TOTAL </t>
  </si>
  <si>
    <t>CIIF MENSUAL DE LA DISTRIBUIDORA DE CARNES  NICOL</t>
  </si>
  <si>
    <t>MACHO</t>
  </si>
  <si>
    <t>PROCESO</t>
  </si>
  <si>
    <t>MATERIA PRIMA</t>
  </si>
  <si>
    <t>DESCRIPCION DE ACTIVIDAD</t>
  </si>
  <si>
    <t>CODIGO</t>
  </si>
  <si>
    <t>ADM</t>
  </si>
  <si>
    <t>OPERACIÓN FINANCIERA</t>
  </si>
  <si>
    <t xml:space="preserve">TRABAJADOR U OPERARIOS </t>
  </si>
  <si>
    <t>BIENES</t>
  </si>
  <si>
    <t>PDN</t>
  </si>
  <si>
    <t>VTA</t>
  </si>
  <si>
    <t xml:space="preserve">CUARTO FRIO </t>
  </si>
  <si>
    <t>MESA EN ACERO GRANDE</t>
  </si>
  <si>
    <t xml:space="preserve">MOLINO </t>
  </si>
  <si>
    <t>TABLA DE CORTE BLANCA</t>
  </si>
  <si>
    <t>GUANTE DE ACERO</t>
  </si>
  <si>
    <t>GONDOLOAS</t>
  </si>
  <si>
    <t xml:space="preserve">CABALLETE EN ACERO DE CARNICERIA </t>
  </si>
  <si>
    <t xml:space="preserve">CABALLETE EN ACERO </t>
  </si>
  <si>
    <t>COSTO UNITARIO X MINUTOS BIEN</t>
  </si>
  <si>
    <t>TIEMPO LABORADO EN LA ACTIVIDAD  X MINUTOS</t>
  </si>
  <si>
    <t xml:space="preserve">SHAIRA DE CARNICERIA </t>
  </si>
  <si>
    <t xml:space="preserve">IMAN PARA CUCHILLO </t>
  </si>
  <si>
    <t>HACHA</t>
  </si>
  <si>
    <t>CUCHILLO PELADOR</t>
  </si>
  <si>
    <t>MESA DE ACERO GRANDE</t>
  </si>
  <si>
    <t>GANCHO  DE DESPOSTE</t>
  </si>
  <si>
    <t>ENERGIA</t>
  </si>
  <si>
    <t>CUCHILLO DESHUESADOR</t>
  </si>
  <si>
    <t>CUCHILLO FILETADOR</t>
  </si>
  <si>
    <t xml:space="preserve">SHAIRA </t>
  </si>
  <si>
    <t>LIMPIEZA DE CORTES</t>
  </si>
  <si>
    <t xml:space="preserve">CUCHILLO DE FILETEAR </t>
  </si>
  <si>
    <t xml:space="preserve">VALOR DIA </t>
  </si>
  <si>
    <t xml:space="preserve">VALOR HORA </t>
  </si>
  <si>
    <t>VALOR MINUTO</t>
  </si>
  <si>
    <t xml:space="preserve">VALOR DEL ACTIVO HISTORICO </t>
  </si>
  <si>
    <t xml:space="preserve">VALOR TOTAL DEL ACTIVO HISTORICO </t>
  </si>
  <si>
    <t>CUCHILLO PARA DESHUESARR</t>
  </si>
  <si>
    <t>CUCHLLO PARA FILETEAR</t>
  </si>
  <si>
    <t>SHAIRA DE CARNICERIA</t>
  </si>
  <si>
    <t xml:space="preserve">COSTO TOTAL DEL BIEN POR ACTIVIDAD </t>
  </si>
  <si>
    <t xml:space="preserve">COSTO TOTAL DEL OPERARIO POR  ACTIVIDAD </t>
  </si>
  <si>
    <t>N/A</t>
  </si>
  <si>
    <t>ACTIVIDAD</t>
  </si>
  <si>
    <t xml:space="preserve">ALMACENES </t>
  </si>
  <si>
    <t xml:space="preserve">LOCAL COMERCIAL </t>
  </si>
  <si>
    <t>MAQUINARIA Y EQUIPO</t>
  </si>
  <si>
    <t xml:space="preserve">MESAS EN ACERO PEQUEÑA </t>
  </si>
  <si>
    <t xml:space="preserve">GUANTES DE ACERO </t>
  </si>
  <si>
    <t xml:space="preserve">GANCHOS DE DESPOSTE </t>
  </si>
  <si>
    <t xml:space="preserve">GANCHOS CARNICEROS </t>
  </si>
  <si>
    <t xml:space="preserve">CUCHILLO PELADOR </t>
  </si>
  <si>
    <t xml:space="preserve">CUCHILLOS PARA DESHUESAR </t>
  </si>
  <si>
    <t xml:space="preserve">CUCHILLOS PARA FILETEAR </t>
  </si>
  <si>
    <t xml:space="preserve">HACHA </t>
  </si>
  <si>
    <t xml:space="preserve">DEPREACION POR LINEA RECTA  DE LA DISTRIBUIDORA DE CARNES NICOL </t>
  </si>
  <si>
    <t>DEPRECIACION DEL ALMACEN</t>
  </si>
  <si>
    <t xml:space="preserve">AREA DE VENTAS </t>
  </si>
  <si>
    <t>COMERCIALIZACION</t>
  </si>
  <si>
    <t>LIMPIEZA DE VENTAS</t>
  </si>
  <si>
    <t>PREPARACION DE MATERIA PRIMA</t>
  </si>
  <si>
    <t>LIMPIEZA MATERIA PRIMA</t>
  </si>
  <si>
    <t>FINANCIERO</t>
  </si>
  <si>
    <t xml:space="preserve">MATRIZ ABC  DE LA DISTRIBUIDORA DE CARNES NICOL </t>
  </si>
  <si>
    <t xml:space="preserve">COSTO POR PROCESO DE LOS BIENES </t>
  </si>
  <si>
    <t>COSTO POR PROCESO DE OPERARIOS</t>
  </si>
  <si>
    <t>VIDA UTIL</t>
  </si>
  <si>
    <t xml:space="preserve">IMPUESTO PREDIAL </t>
  </si>
  <si>
    <t>ESCRITORIO</t>
  </si>
  <si>
    <t xml:space="preserve">SILLA </t>
  </si>
  <si>
    <t xml:space="preserve">IMPRESORA </t>
  </si>
  <si>
    <t>COMPUTADOR LENOVO 14"</t>
  </si>
  <si>
    <t>TELEFONO INALAMBRICO</t>
  </si>
  <si>
    <t>DEPRECIACION DE HERRAMIENTA</t>
  </si>
  <si>
    <t xml:space="preserve">EQUIPOS DE OFICINA </t>
  </si>
  <si>
    <t xml:space="preserve">KIT HITVISON  DE CAMARAS DE SEGURIDAD </t>
  </si>
  <si>
    <t xml:space="preserve">IMAN PARA CUCHILLOS </t>
  </si>
  <si>
    <t xml:space="preserve">DEPRECIACION DE EQUIPOS DE OFICINA </t>
  </si>
  <si>
    <t xml:space="preserve">HIDROLAVADORA BLACK AND DECKER </t>
  </si>
  <si>
    <t xml:space="preserve">CODIGOS DE PROCESO </t>
  </si>
  <si>
    <t>ADM -MP 01</t>
  </si>
  <si>
    <t>ADM -MP 02</t>
  </si>
  <si>
    <t>ADM-FNC 01</t>
  </si>
  <si>
    <t>ADM-FNC 02</t>
  </si>
  <si>
    <t xml:space="preserve">PDN -PMP 01 </t>
  </si>
  <si>
    <t>PDN- PMP 02</t>
  </si>
  <si>
    <t>PDN- PMP 03</t>
  </si>
  <si>
    <t>PDN - LMP 01</t>
  </si>
  <si>
    <t>VTA- COM 01</t>
  </si>
  <si>
    <t>VTA- COM 02</t>
  </si>
  <si>
    <t>VTA-LMP 01</t>
  </si>
  <si>
    <t>CANTIDAD DE BIEN A USAR</t>
  </si>
  <si>
    <t xml:space="preserve">HIDROLAVADORA </t>
  </si>
  <si>
    <t xml:space="preserve">PROCESOS Y ACTIVIDADES DE LA DISTRIBUIDORA NICOL </t>
  </si>
  <si>
    <t xml:space="preserve">INTERNET </t>
  </si>
  <si>
    <t xml:space="preserve">BOMBEROS </t>
  </si>
  <si>
    <t xml:space="preserve">Consiste en realizar la preparacion y revision tecnica previa del bovina, garantizando que este se encuentre en condiciones optimas para su respectivo deguello </t>
  </si>
  <si>
    <t xml:space="preserve">RECEPCION DE LAMATERIA PRIMA </t>
  </si>
  <si>
    <t xml:space="preserve">USO DE SUELOS </t>
  </si>
  <si>
    <t xml:space="preserve">ESCRITORIO </t>
  </si>
  <si>
    <t>SILLA</t>
  </si>
  <si>
    <t xml:space="preserve">TERMOMETRO DIGITAL PARA BOVINO </t>
  </si>
  <si>
    <t>TERMOMETRO</t>
  </si>
  <si>
    <t xml:space="preserve">COMPUTADOR </t>
  </si>
  <si>
    <t xml:space="preserve">PAGO DE TRANSPORTE DE LA MATERIA PRIMA  </t>
  </si>
  <si>
    <t xml:space="preserve">El administrador es la persona encargada de pagar el transporte del  producto carnico,  guias o impuestos de la mercancia </t>
  </si>
  <si>
    <t xml:space="preserve">COSTO POR AREA DEL TRABAJADOR </t>
  </si>
  <si>
    <t xml:space="preserve">GUIAR LAS FUNCIONES DEL COLABORADOR </t>
  </si>
  <si>
    <t xml:space="preserve">El administrador  debe diseñar, cuidar,  garantizar  el cumplimiento de las actividades, los procesos y los procedimientos que se lleven a cabo en la distribuidora de carnes, es el responsable de cualquier irregularidad que se presente en la comercializacion de los productos carnicos. </t>
  </si>
  <si>
    <t xml:space="preserve">CEDULA DE JEFE DE PRODUCCION MANUEL SANDOVAL </t>
  </si>
  <si>
    <t xml:space="preserve">AREA DE TRABAJO </t>
  </si>
  <si>
    <t>TIEMPO LABORADO (HORAS)</t>
  </si>
  <si>
    <t xml:space="preserve">AREA OPERATIVA </t>
  </si>
  <si>
    <t xml:space="preserve">MANUEL SANDOVAL </t>
  </si>
  <si>
    <t>JEFE DE P/N</t>
  </si>
  <si>
    <t>TIEMPO LABORADO  (MINUTOS)</t>
  </si>
  <si>
    <t>SEPARACION DE LA CARNE DEL SISTEMA OSEO</t>
  </si>
  <si>
    <t>GUIA DE SACRIFICIO</t>
  </si>
  <si>
    <t xml:space="preserve">TRANSPORTE PARA NEGOCIACION </t>
  </si>
  <si>
    <t xml:space="preserve">El administrador  es la persona encargada de realizar el  pago a proveedores y  los colaboradores de la distribuidora </t>
  </si>
  <si>
    <t>UNIDAD DE MEDIDA</t>
  </si>
  <si>
    <t>UNIDAD</t>
  </si>
  <si>
    <t>KILOS</t>
  </si>
  <si>
    <t>PORCENTAJE</t>
  </si>
  <si>
    <t>ITEM</t>
  </si>
  <si>
    <t>-</t>
  </si>
  <si>
    <t>VALOR</t>
  </si>
  <si>
    <t>PESOS</t>
  </si>
  <si>
    <t>PRECIO LIBRA</t>
  </si>
  <si>
    <t xml:space="preserve">PULPA DE BRAZO </t>
  </si>
  <si>
    <t xml:space="preserve">PEPINO DE BRAZO </t>
  </si>
  <si>
    <t xml:space="preserve">LOMO DE BRAZO </t>
  </si>
  <si>
    <t xml:space="preserve">CARNE DE PECHO </t>
  </si>
  <si>
    <t>COSTILLA</t>
  </si>
  <si>
    <t>ESPALDILLA</t>
  </si>
  <si>
    <t>VICHES</t>
  </si>
  <si>
    <t>AMPOLLETA</t>
  </si>
  <si>
    <t>PULPA DE PIERNA</t>
  </si>
  <si>
    <t xml:space="preserve">PEPINO DE PIERNA </t>
  </si>
  <si>
    <t xml:space="preserve">HUESO CARNUDO </t>
  </si>
  <si>
    <t>MENUDO (VICERAS, CABEZA, PATAS Y COLA)</t>
  </si>
  <si>
    <t xml:space="preserve">RECORTES </t>
  </si>
  <si>
    <t>PULPA MUCHACHO</t>
  </si>
  <si>
    <t xml:space="preserve">COGOTE O NUCA </t>
  </si>
  <si>
    <t>MATERIA PRIMA INDIRECTA</t>
  </si>
  <si>
    <t xml:space="preserve">PIEZAS </t>
  </si>
  <si>
    <t xml:space="preserve">UTILIDAD DEL BOVINO </t>
  </si>
  <si>
    <t xml:space="preserve">COSTO POR AREA BIENES </t>
  </si>
  <si>
    <t>VALOR TOTAL</t>
  </si>
  <si>
    <t>DIAS</t>
  </si>
  <si>
    <t>CARGO</t>
  </si>
  <si>
    <t>MES</t>
  </si>
  <si>
    <t>COSTO DE CIIF ANUAL</t>
  </si>
  <si>
    <t>TOTAL DEPRECIACION MAQUINARIA Y EQUIPO</t>
  </si>
  <si>
    <t>TOTAL DEPRECIACION DE EQUIPOS DE OFICINA</t>
  </si>
  <si>
    <t>TOTAL DEPRECIACION DE HERRAMIENTA</t>
  </si>
  <si>
    <t>TOTAL DEPRECIACION ALMACEN</t>
  </si>
  <si>
    <t xml:space="preserve">COSTO  TOTAL DE TRABAJADORES POR AREA  </t>
  </si>
  <si>
    <t>COSTO DE NOMINA  PROYECTADA A MESES</t>
  </si>
  <si>
    <t xml:space="preserve">COSTOS DE LA DISTRIBUIDORA NICOL EXPRESADO EN  DIA POR MINUTOS </t>
  </si>
  <si>
    <t xml:space="preserve">TOTAL DE COSTOS EN UN DIA </t>
  </si>
  <si>
    <t>TOTAL</t>
  </si>
  <si>
    <t>DETALLE</t>
  </si>
  <si>
    <t>VALOR UNITARIO</t>
  </si>
  <si>
    <t>T15</t>
  </si>
  <si>
    <t>T19</t>
  </si>
  <si>
    <t>T40</t>
  </si>
  <si>
    <t>T30</t>
  </si>
  <si>
    <t>REFERENCIA</t>
  </si>
  <si>
    <t>PACAS POR 10 UNIDADES</t>
  </si>
  <si>
    <t>VALOR DE LA PACA</t>
  </si>
  <si>
    <t xml:space="preserve"> CEDULAS DE BOLSAS PLASTICA</t>
  </si>
  <si>
    <t>CONSUMO  DE PACAS  POR MES</t>
  </si>
  <si>
    <t>VALOR TOAL DE PACAS ANUAL</t>
  </si>
  <si>
    <t>DOTACIONES</t>
  </si>
  <si>
    <t>DELANTAL EN TELA</t>
  </si>
  <si>
    <t>DELANTAL PLASTICO</t>
  </si>
  <si>
    <t>BOTAS BLANCAS</t>
  </si>
  <si>
    <t>TAPABOCA QUIRURGICO</t>
  </si>
  <si>
    <t>GUANTE INDUSTRIAL</t>
  </si>
  <si>
    <t>GORRA BLANCAS</t>
  </si>
  <si>
    <t>CEDULAS DE DOTACION DEL PERSONAL ANUAL</t>
  </si>
  <si>
    <t>ESCOBA</t>
  </si>
  <si>
    <t>TRAPERO</t>
  </si>
  <si>
    <t>RECOJEDOR</t>
  </si>
  <si>
    <t>VALDE</t>
  </si>
  <si>
    <t>CEDULAS DE ELEMENTOS DE ASEO ANUAL</t>
  </si>
  <si>
    <t>JABON INDUSTRIAL X GALON</t>
  </si>
  <si>
    <t>CEPILLO DE PISO</t>
  </si>
  <si>
    <t>JABON EN POLVO X KILO</t>
  </si>
  <si>
    <t>JABON ANTIBACTERIAL PARA MANOS X GALON</t>
  </si>
  <si>
    <t>GEL ANTIBACTERIAL X GALON</t>
  </si>
  <si>
    <t>HIPOCLORITO DE SODIO AL 15% X GALON</t>
  </si>
  <si>
    <t>PAPEL HIGIENICO X 12 UNIDADES</t>
  </si>
  <si>
    <t>TOALLAS DE MANO DE PAPEL X 6 UNIDADES ROLLO</t>
  </si>
  <si>
    <t>TOALLAS ABSORBENTES</t>
  </si>
  <si>
    <t>TOTAL DE LOS GASTOS ANUALES DE LA DISTRIBUIDORA DE CARNES NICOL</t>
  </si>
  <si>
    <t>CONCEPTO</t>
  </si>
  <si>
    <t>BOLSAS PLASTICAS</t>
  </si>
  <si>
    <t>ELEMENTOS DE ASEO</t>
  </si>
  <si>
    <t>VALOR ANUAL</t>
  </si>
  <si>
    <t>CEDULA DE GASTOS DE SEGURIDAD SOCIAL</t>
  </si>
  <si>
    <t>NOMINA  DE JUNIO 2021</t>
  </si>
  <si>
    <t>NOMINA  DE JULIO 2021</t>
  </si>
  <si>
    <t>NOMINA  DE AGOSTO 2021</t>
  </si>
  <si>
    <t>NOMINA  DE SEPTIEMBRE 2021</t>
  </si>
  <si>
    <t>NOMINA  DE OCTUBRE 2021</t>
  </si>
  <si>
    <t>NOMINA  DE NOVIEMBRE 2021</t>
  </si>
  <si>
    <t>NOMINA  DE DICIEMBRE 2021</t>
  </si>
  <si>
    <t>NOMINA  DE ENERO 2022</t>
  </si>
  <si>
    <t>NOMINA  DE FEBRERO 2022</t>
  </si>
  <si>
    <t>NOMINA  DE MARZO 2022</t>
  </si>
  <si>
    <t>NOMINA  DE ABRIL 2022</t>
  </si>
  <si>
    <t>NOMINA  DE MAYO 2022</t>
  </si>
  <si>
    <t xml:space="preserve">PARAFISCAL </t>
  </si>
  <si>
    <t xml:space="preserve">VALOR MENSUAL </t>
  </si>
  <si>
    <t xml:space="preserve">MESES </t>
  </si>
  <si>
    <t xml:space="preserve">VALOR TOTAL </t>
  </si>
  <si>
    <t xml:space="preserve">PARFISCALES </t>
  </si>
  <si>
    <t xml:space="preserve">SERVICIO PUBLICO </t>
  </si>
  <si>
    <t xml:space="preserve">TOTAL DE SERVICIOS PUBLICOS ANUAL </t>
  </si>
  <si>
    <t xml:space="preserve">CEDULA DE SERVICIOS PUBLICOS DE LA DISTRIBUIDORA DE CARNES NICOL </t>
  </si>
  <si>
    <t xml:space="preserve">CEDULA DE IMPUESTOS DE LA DISTRIBUIDORA DE CARNES NICOL </t>
  </si>
  <si>
    <t>VALOR DEL RUBRO</t>
  </si>
  <si>
    <t>VALOR DE IMPUESTOS PARA EL 2021</t>
  </si>
  <si>
    <t xml:space="preserve">TOTAL DE IMPUESTOS ANUAL </t>
  </si>
  <si>
    <t xml:space="preserve">DIAS </t>
  </si>
  <si>
    <t>VALOR MP</t>
  </si>
  <si>
    <t>PESO BOVINO</t>
  </si>
  <si>
    <t>VALOR  X KILO</t>
  </si>
  <si>
    <t>PESO X KILO</t>
  </si>
  <si>
    <t>CANTIDAS</t>
  </si>
  <si>
    <t xml:space="preserve">PESO ANIMAL VIVO </t>
  </si>
  <si>
    <t xml:space="preserve">PORCENTAJE </t>
  </si>
  <si>
    <t xml:space="preserve">RENDIMIENTO DE MATERIA PRIMA DIRECTA </t>
  </si>
  <si>
    <t xml:space="preserve">RENDIMIENTO DE MATERIA PRIMA INDIRECTA </t>
  </si>
  <si>
    <t>PROMEDIOS MENSUALES</t>
  </si>
  <si>
    <t xml:space="preserve">MES </t>
  </si>
  <si>
    <t xml:space="preserve">PESO PROMEDIO DEL BOVINO </t>
  </si>
  <si>
    <t xml:space="preserve">VALOR PROMEDIO MENSUAL </t>
  </si>
  <si>
    <t xml:space="preserve">UTILIDAD PROMEDIO DIARIA </t>
  </si>
  <si>
    <t xml:space="preserve">UTILIDAD PROMEDIO MENSUAL </t>
  </si>
  <si>
    <t xml:space="preserve">TOTAL PROMEDIO ANUAL DE  DE MP </t>
  </si>
  <si>
    <t xml:space="preserve">VALOR PROMEDIO DE MPD DIARIA </t>
  </si>
  <si>
    <t xml:space="preserve">VALOR PROMEDIO DE MPI DIARIA </t>
  </si>
  <si>
    <t xml:space="preserve">VENTA PROMEDIO MENSUAL DE MPD Y MPI </t>
  </si>
  <si>
    <t xml:space="preserve">TOTAL PROMEDIO DE VENTA MPD   MENSUAL </t>
  </si>
  <si>
    <t xml:space="preserve">TOTAL DE  VENTA PROMEDIO DE MPI MENSUAL </t>
  </si>
  <si>
    <t xml:space="preserve">TOTALES ANUALES </t>
  </si>
  <si>
    <t>VENTA PROMEDIO DE MATERIA PRIMA DIRECTA E INDIRECTA DE LA DISTRIBUIDORA DE CARNES NICOL</t>
  </si>
  <si>
    <t xml:space="preserve">UTILIDAD PROMEDIO DE BOVINO DE LA DISTRIBUIDORA DE CARNES NICOL </t>
  </si>
  <si>
    <t xml:space="preserve">TOTAL ANUAL </t>
  </si>
  <si>
    <t xml:space="preserve">TOTAL MENSUAL </t>
  </si>
  <si>
    <t xml:space="preserve">TOTAL DIARIO </t>
  </si>
  <si>
    <t xml:space="preserve">VALOR DIARIO </t>
  </si>
  <si>
    <t xml:space="preserve">RESMA DE PAPEL </t>
  </si>
  <si>
    <t>CAJA DE LAPICEROS 12 UNIDADES</t>
  </si>
  <si>
    <t>SELLO</t>
  </si>
  <si>
    <t xml:space="preserve">TINTAS PARA IMPRESORA </t>
  </si>
  <si>
    <t xml:space="preserve">TIJERAS </t>
  </si>
  <si>
    <t xml:space="preserve">HUELLERO </t>
  </si>
  <si>
    <t xml:space="preserve">CARPETAS AZ TAMAÑO OFICIO </t>
  </si>
  <si>
    <t xml:space="preserve">CEDULA DE PAPELERIA </t>
  </si>
  <si>
    <t>CAJA DE LAPIZ MIRADO  12 UNIDADES</t>
  </si>
  <si>
    <t xml:space="preserve">LIBRO CONTABLE </t>
  </si>
  <si>
    <t xml:space="preserve">CALCULADORA </t>
  </si>
  <si>
    <t xml:space="preserve">CANASTA PARA BASURA </t>
  </si>
  <si>
    <t xml:space="preserve">MARCADORES </t>
  </si>
  <si>
    <t>VALOR TOTAL ANUAL</t>
  </si>
  <si>
    <t xml:space="preserve">FACTUREROS PACA POR 60 UNIDADES </t>
  </si>
  <si>
    <t xml:space="preserve">BORRADOR CAJA POR 24 UNIDADES </t>
  </si>
  <si>
    <t xml:space="preserve">UTILES DE PAPALERIA </t>
  </si>
  <si>
    <t>BOLSAS PARA BASURA X 12 UNIDADES</t>
  </si>
  <si>
    <t xml:space="preserve">TOTAL HORAS </t>
  </si>
  <si>
    <t xml:space="preserve">TOTAL MINUTOS </t>
  </si>
  <si>
    <t xml:space="preserve">COSTO DE BOLSAS PLASTICAS EN MINUTOS  </t>
  </si>
  <si>
    <t>COSTO DE ELEMENTOS DE ASEO EN MINUTOS</t>
  </si>
  <si>
    <t xml:space="preserve">COSTOS DE PAPELERIA EN MINUTOS </t>
  </si>
  <si>
    <t xml:space="preserve">COSTO DE DOTACION PARA PERSONAL EN MINUTOS  </t>
  </si>
  <si>
    <t>CODIGOS DE ACTIVIDAD</t>
  </si>
  <si>
    <t xml:space="preserve">COSTO TOTAL DEL BIEN POR ACTIVIDAD POR DIA </t>
  </si>
  <si>
    <t xml:space="preserve">COSTO TOTAL DEL BIEN POR ACTIVIDAD POR MES </t>
  </si>
  <si>
    <t xml:space="preserve">COSTO TOTAL DEL OPERARIO POR ACTIVIDAD POR MES </t>
  </si>
  <si>
    <t xml:space="preserve">COSTO POR ACTIVIDAD DE OPERARIOS POR DIA </t>
  </si>
  <si>
    <t xml:space="preserve">COSTO TOTAL DE LAS CIIF POR ACTIVIDAD  POR DIA </t>
  </si>
  <si>
    <t>ADM-FNC 03</t>
  </si>
  <si>
    <t xml:space="preserve">COSTOS DE LA DISTRIBUIDORA NICOL MENSUAL </t>
  </si>
  <si>
    <t xml:space="preserve">COSTO TOTAL DEL BIEN POR ACTIVIDAD ANUAL </t>
  </si>
  <si>
    <t xml:space="preserve">COSTO TOTAL DEL OPERARIO POR ACTIVIDAD ANUAL  </t>
  </si>
  <si>
    <t xml:space="preserve">COSTOS TOTAL ANUAL  POR AREA </t>
  </si>
  <si>
    <t xml:space="preserve">COSTO TOTAL ANUAL DE LOS BIENES </t>
  </si>
  <si>
    <t>COSTO TOTAL ANUAL DE OPERARIO</t>
  </si>
  <si>
    <t>COSTO TOTAL ANUAL  DE LOS BIENES</t>
  </si>
  <si>
    <t xml:space="preserve">COSTO TOTAL ANUAL  DEL OPERARIO </t>
  </si>
  <si>
    <t xml:space="preserve">PRECIO  DE VENTA EN KILOS </t>
  </si>
  <si>
    <t xml:space="preserve">CANTIDAD DE PIEZA O CORTE </t>
  </si>
  <si>
    <t>PORCENTAJE REPRESENTATIVO DE LA PIEZA O CORTE</t>
  </si>
  <si>
    <t xml:space="preserve">PESO UNITARIO DE LA PIEZA O CORTE EN KILOS </t>
  </si>
  <si>
    <t xml:space="preserve">PESO TOTAL DE LA PIEZA O CORTE  EN KILOS </t>
  </si>
  <si>
    <t xml:space="preserve">COSTO UNITARIO  DE CORTE O PIEZA  EN KILOS  </t>
  </si>
  <si>
    <t xml:space="preserve">COSTO TOTAL DE CORTE O PIEZA EN KILOS </t>
  </si>
  <si>
    <t xml:space="preserve">TOTAL DE LA VENTA POR PIEZA O CORTE EN KILOS   </t>
  </si>
  <si>
    <t xml:space="preserve">PRECIO DE COSTO Y VENTA DE LA MATERIA PRIMA DIRECTA </t>
  </si>
  <si>
    <t>PRECIO DE COMPRA DEL DEL BOVINO</t>
  </si>
  <si>
    <t xml:space="preserve">TOTAL  DE LA MATERIA PRIMA INDIRECTA </t>
  </si>
  <si>
    <t xml:space="preserve">RENDIMIENTO DEL BOVINO AL MOMENTO DEL SACRIFICIO </t>
  </si>
  <si>
    <t xml:space="preserve">COSTO REAL DE LA MATERIA PRIMA </t>
  </si>
  <si>
    <t xml:space="preserve">PRECIO DE COMPRA DEL BOVINO </t>
  </si>
  <si>
    <t>COSTO DE PRODUCTO</t>
  </si>
  <si>
    <t xml:space="preserve">MATERIA PRIMA DIRECTA PARA LA VENTA </t>
  </si>
  <si>
    <t xml:space="preserve">MATERIA PRIMA INDIRECTA PARA LA VENTA </t>
  </si>
  <si>
    <t>PORCENTAE</t>
  </si>
  <si>
    <t xml:space="preserve">DESCRIPCION </t>
  </si>
  <si>
    <t xml:space="preserve">COSTO DE LA MATERIA PRIMA DIRECTA </t>
  </si>
  <si>
    <t xml:space="preserve">COSTO DE DESPERDICIO </t>
  </si>
  <si>
    <t>COSTO DE LA COMPRA DE LA RES</t>
  </si>
  <si>
    <t xml:space="preserve">INGRESO TOTAL DE LA VENTA DEL BOVINO </t>
  </si>
  <si>
    <t xml:space="preserve">VALORES </t>
  </si>
  <si>
    <t>PRECIO KILO EN CANAL</t>
  </si>
  <si>
    <t xml:space="preserve">PRECIO DE KILO EN PIE </t>
  </si>
  <si>
    <t>JUNIO 2021</t>
  </si>
  <si>
    <t>JULIO 2021</t>
  </si>
  <si>
    <t>AGOSTO 2021</t>
  </si>
  <si>
    <t>SEPTIEMBRE 2021</t>
  </si>
  <si>
    <t>OCTUBRE 2021</t>
  </si>
  <si>
    <t>NOVIEMBRE  2021</t>
  </si>
  <si>
    <t>DICIEMBRE  2021</t>
  </si>
  <si>
    <t>ENERO 2022</t>
  </si>
  <si>
    <t>FEBRERO 2022</t>
  </si>
  <si>
    <t>MARZO 2022</t>
  </si>
  <si>
    <t>ABRIL 2022</t>
  </si>
  <si>
    <t>MAYO 2022</t>
  </si>
  <si>
    <t xml:space="preserve">IMPUESTO  </t>
  </si>
  <si>
    <t xml:space="preserve">VALOR PROMEDIO DE LA COMPRA DEL  BOVINO DIARIO  </t>
  </si>
  <si>
    <t xml:space="preserve">COSTO PROMEDIO DE LA MP DEL  BOVINO DIARIO  </t>
  </si>
  <si>
    <t xml:space="preserve">COSTO REAL DE LA MP MENSUAL </t>
  </si>
  <si>
    <t xml:space="preserve">MATERIA PRIMA DIRECTA EN LA COMPRA </t>
  </si>
  <si>
    <t xml:space="preserve">COSTO DE LA COMPRA DE LA RES EN PIE </t>
  </si>
  <si>
    <t xml:space="preserve">COSTO REAL DE LA MATERIA PRIMA  EN CANAL </t>
  </si>
  <si>
    <t xml:space="preserve">COSTO PROMEDIO DE LA MATERIA PRIMA EN CANAL </t>
  </si>
  <si>
    <t xml:space="preserve">VALOR DE LA COMPRA PROMEDIO DEL BOVINO VIVO </t>
  </si>
  <si>
    <t xml:space="preserve">COSTO DE KILO </t>
  </si>
  <si>
    <t xml:space="preserve">COSTO KILO </t>
  </si>
  <si>
    <t xml:space="preserve">DESPERDICIO DE VALOR DEL BOVINO </t>
  </si>
  <si>
    <t xml:space="preserve">VENTA ANUAL DE MATERIA PRIMA </t>
  </si>
  <si>
    <t xml:space="preserve">COSTO DE BOVINO </t>
  </si>
  <si>
    <t xml:space="preserve">UTILIDAD DE COMPRA DE BOVINO EN PIE VS VENTAS </t>
  </si>
  <si>
    <t xml:space="preserve">UTILIDAD DE MP EN CANAL  VS VENTAS </t>
  </si>
  <si>
    <t>VENTA ANUAL DE MPI</t>
  </si>
  <si>
    <t>VENTA ANUAL DE MPD</t>
  </si>
  <si>
    <t xml:space="preserve">INGRESO DE LA MATERIA PRIMA INDIRECTA </t>
  </si>
  <si>
    <t xml:space="preserve">INGRESODE LA MATERIA PRIMA INDIRECTA </t>
  </si>
  <si>
    <t>COSTO DE BOVINO EN PIE</t>
  </si>
  <si>
    <t xml:space="preserve">VALOR DE MATERIA PRIMA </t>
  </si>
  <si>
    <t xml:space="preserve">VALOR  UNITARIO </t>
  </si>
  <si>
    <t xml:space="preserve">TOTAL ANUAL DE NOMINA </t>
  </si>
  <si>
    <t xml:space="preserve">TOTAL  POR CARGO </t>
  </si>
  <si>
    <t xml:space="preserve">GASTOS ANUALES </t>
  </si>
  <si>
    <t>VALOR TOTAL DE PACAS POR MES</t>
  </si>
  <si>
    <t xml:space="preserve">UTILIDAD DE MP VIVA </t>
  </si>
  <si>
    <t>UTILIDAD DE MP EN CANAL</t>
  </si>
  <si>
    <t>ESTADO DE RESULTADOS</t>
  </si>
  <si>
    <t>I.N.G.R.E.S.O.S</t>
  </si>
  <si>
    <t>OPERACIONALES</t>
  </si>
  <si>
    <t>SUELDO</t>
  </si>
  <si>
    <t>AUXILIO  DE TRANSPORTE</t>
  </si>
  <si>
    <t>AUXILIO TRANSPORTE</t>
  </si>
  <si>
    <t>CESANTIAS</t>
  </si>
  <si>
    <t>INTERESES SOBRE CESANTIAS</t>
  </si>
  <si>
    <t>INTERESES DE CESANTIA</t>
  </si>
  <si>
    <t>PRIMA DE SERVICIOS</t>
  </si>
  <si>
    <t>GASTO PRIMA DE SERVICIOS</t>
  </si>
  <si>
    <t>VACACIONES</t>
  </si>
  <si>
    <t>GASTO VACACION</t>
  </si>
  <si>
    <t>APORTES CAJA DE COMPESACION</t>
  </si>
  <si>
    <t>IMPUESTOS</t>
  </si>
  <si>
    <t>SERVICIOS</t>
  </si>
  <si>
    <t>GASTOS LEGALES</t>
  </si>
  <si>
    <t>DIVERSOS</t>
  </si>
  <si>
    <t>UTILES PAPELERIA Y FOTOCOPIAS</t>
  </si>
  <si>
    <t>OTROS</t>
  </si>
  <si>
    <t>ENERGIA ELECTRICA</t>
  </si>
  <si>
    <t>T O T A L E S</t>
  </si>
  <si>
    <t xml:space="preserve">VENTA DE MATERIA PRIMA DIRECTA </t>
  </si>
  <si>
    <t xml:space="preserve">VENTA DE MATERIA PRIMA IN DIRECTA </t>
  </si>
  <si>
    <t>INDUSTRIA MANOFACTURERA</t>
  </si>
  <si>
    <t xml:space="preserve">PRODUCCION Y PROCESAMIENTO DE CARNES Y PRODUCTOS CARNICOS </t>
  </si>
  <si>
    <t xml:space="preserve">GASTOS </t>
  </si>
  <si>
    <t xml:space="preserve"> DE ADMINISTRACION ORDINARIOS</t>
  </si>
  <si>
    <t xml:space="preserve">GASTOS DE PERSONAL </t>
  </si>
  <si>
    <t xml:space="preserve">SUELDO </t>
  </si>
  <si>
    <t>IMPUESTO PREDIAL</t>
  </si>
  <si>
    <t>USO DE SUELO</t>
  </si>
  <si>
    <t xml:space="preserve">USO DE SUELO </t>
  </si>
  <si>
    <t>GUIA DE SACRIFICO</t>
  </si>
  <si>
    <t xml:space="preserve">ACUEDUCTO Y ALCANTARILLADO </t>
  </si>
  <si>
    <t xml:space="preserve">INTERNET CLARO </t>
  </si>
  <si>
    <t xml:space="preserve">TELEFONIA CLARO </t>
  </si>
  <si>
    <t>TELEFONO CLARO</t>
  </si>
  <si>
    <t xml:space="preserve">ELEMENTOS DE ASEO </t>
  </si>
  <si>
    <t xml:space="preserve">BOLSAS PLASTICAS </t>
  </si>
  <si>
    <t xml:space="preserve">TRANSPORTE </t>
  </si>
  <si>
    <t xml:space="preserve">COSTOS DE VENTA </t>
  </si>
  <si>
    <t>INDUSTRIA MANUFACTURERA</t>
  </si>
  <si>
    <t xml:space="preserve">COSTO DE MATERIA PRIMA DIRECTA </t>
  </si>
  <si>
    <t>COSTO DE DESPERDICIOS</t>
  </si>
  <si>
    <t xml:space="preserve">RESULTADO DEL PERIODO </t>
  </si>
  <si>
    <t>NIT:  34.328.185-7</t>
  </si>
  <si>
    <t>APORTES A ADMINISTRAD DE RIESGOS LABORALES ARL</t>
  </si>
  <si>
    <t>DOTACION Y SUMUNISTRO A TRABAJADORES</t>
  </si>
  <si>
    <t>APORTES A FONDOS PENSIONES Y/O CESANTIAS</t>
  </si>
  <si>
    <t xml:space="preserve">APORTES CAJA DE COMPENSACION </t>
  </si>
  <si>
    <t>APORTES A ENTIDADES PROMOTORES A LA SALUD</t>
  </si>
  <si>
    <t xml:space="preserve">A LA PROPIEDAD RAIZ </t>
  </si>
  <si>
    <t>OTRO</t>
  </si>
  <si>
    <t>511 4</t>
  </si>
  <si>
    <t>CAJA</t>
  </si>
  <si>
    <t>CAJA GENERAL</t>
  </si>
  <si>
    <t>PROVEEDORES</t>
  </si>
  <si>
    <t>PROVEEDORES NACIONALES</t>
  </si>
  <si>
    <t>MESES</t>
  </si>
  <si>
    <t xml:space="preserve">VENTAS MENSUALES </t>
  </si>
  <si>
    <t xml:space="preserve">GASTOS MENSUALES </t>
  </si>
  <si>
    <t xml:space="preserve">NOMINA MENSUAL </t>
  </si>
  <si>
    <t xml:space="preserve">CIFF MENSUAL </t>
  </si>
  <si>
    <t xml:space="preserve">VALOR  BASE DE IMPUESTOS PARA 2022 </t>
  </si>
  <si>
    <t xml:space="preserve">COMPRA DE MATERIA PRIMA MENSUAL </t>
  </si>
  <si>
    <t xml:space="preserve">TOTAL DE EFECTIVO MENSUAL </t>
  </si>
  <si>
    <t xml:space="preserve">DEPRECIACION ACUMULADA </t>
  </si>
  <si>
    <t xml:space="preserve">SEMOVIENTES </t>
  </si>
  <si>
    <t xml:space="preserve">TERRENO </t>
  </si>
  <si>
    <t>TERRENO RURAL</t>
  </si>
  <si>
    <t xml:space="preserve">MUEBLES Y ENSERES </t>
  </si>
  <si>
    <t xml:space="preserve">MATERIALES REPUESTOS Y ACCESORIAS </t>
  </si>
  <si>
    <t xml:space="preserve">HERRAMIENTAS </t>
  </si>
  <si>
    <t>ACTIVOS BIOLOGICOS SEMOVIENTES</t>
  </si>
  <si>
    <t>ESPECIES MAYORES</t>
  </si>
  <si>
    <t>EFECTIVO Y EQUIVALENTE DEL EFECTIVO</t>
  </si>
  <si>
    <t xml:space="preserve">INVENTARIOS </t>
  </si>
  <si>
    <t xml:space="preserve">CAPITAL SUSCRITO Y PAGADO </t>
  </si>
  <si>
    <t xml:space="preserve">CAPITAL AUTORIZADO </t>
  </si>
  <si>
    <t xml:space="preserve">UTILIDAD DEL EJERCICIO </t>
  </si>
  <si>
    <t xml:space="preserve">RESULTADOS DEL EJERCICIO </t>
  </si>
  <si>
    <t>A 30 DE JUNIO DEL 2021</t>
  </si>
  <si>
    <t xml:space="preserve">CLIENTES NACIONALES </t>
  </si>
  <si>
    <t xml:space="preserve">MERCANCIAS NO FABRICADAS POR LA EMPRESA </t>
  </si>
  <si>
    <t xml:space="preserve">MATERIA PRIMA </t>
  </si>
  <si>
    <t xml:space="preserve">PASIVOS </t>
  </si>
  <si>
    <t xml:space="preserve">ESTADO DE SITUACION FINANCIERA INICIAL </t>
  </si>
  <si>
    <t xml:space="preserve">TIEMPO DE USO DE BIEN X MINUTOS </t>
  </si>
  <si>
    <t xml:space="preserve">COSTO TOTAL DE BIENES EN MINUTOS </t>
  </si>
  <si>
    <t xml:space="preserve">COSTO TOTAL DEL BIEN POR ACTIVIDAD EN MINUTOS </t>
  </si>
  <si>
    <t xml:space="preserve">COSTO POR PROCESO DE LOS BIENES X MINUTOS  </t>
  </si>
  <si>
    <t xml:space="preserve">COSTO TOTAL DE BIENES POR AREA X MINUTOS </t>
  </si>
  <si>
    <t>COSTOS DE LOS BIENES A USAR EN LAS ACTIVIDADES X MINUTOS</t>
  </si>
  <si>
    <t xml:space="preserve">COSTO DE LOS COLABORADORES EN SUS ACTIVIDADES X MINUTOS </t>
  </si>
  <si>
    <t>COSTO DE LAS CIIF USADOS EN CADA ACTIVIDAD X MINUTOS</t>
  </si>
  <si>
    <t xml:space="preserve">COSTO TOTAL DE OPERARIOS X MINUTOS </t>
  </si>
  <si>
    <t xml:space="preserve">TIEMPO DE DOTACION PARA PERSONAL EN MINUTOS  </t>
  </si>
  <si>
    <t xml:space="preserve">TIEMPO DE BOLSAS PLASTICAS EN MINUTOS  </t>
  </si>
  <si>
    <t>TIEMPO DE ELEMENTOS DE ASEO EN MINUTOS</t>
  </si>
  <si>
    <t xml:space="preserve">TIEMPO DE PAPELERIA EN MINUTOS </t>
  </si>
  <si>
    <t>COSTO DE OPERARIO MENSUAL</t>
  </si>
  <si>
    <t xml:space="preserve">COSTO DE BIENES MENSUAL  </t>
  </si>
  <si>
    <t xml:space="preserve">EFECTIVO MENSUAL DE LA DISTRIBUIDORA DE CARNES NICOL </t>
  </si>
  <si>
    <t>COSTOS DE LA DISTRIBUIDORA NICOL ANUAL</t>
  </si>
  <si>
    <t>DE 1 JUNIO 2021 A 30DE MAYO DEL  2022</t>
  </si>
  <si>
    <t>ESTADO DE SITUACION FINANCIERA</t>
  </si>
  <si>
    <t>DE 1 DE JUNIO 2021 A MAYO 30 DEL  2022</t>
  </si>
  <si>
    <t xml:space="preserve">MANO DE OBRA </t>
  </si>
  <si>
    <t xml:space="preserve">COSTOS DE PRODUCCION Y PRESTACION DE SERVICIOS </t>
  </si>
  <si>
    <t>MANO DE OBRA DIRECTA</t>
  </si>
  <si>
    <t xml:space="preserve">COSTOS INDIRECTOS DE FABRICACION </t>
  </si>
  <si>
    <t>EL  proveedor hace entrega de la materia prima al administrador   y se procede con el pago del bovino.</t>
  </si>
  <si>
    <t xml:space="preserve"> </t>
  </si>
  <si>
    <t xml:space="preserve">PLANO ARQUITECTONICO </t>
  </si>
  <si>
    <t>El coloaborador se encarga en separar la pulpa del sistema oseo de la res, para obtener los diferentes tipos de carnes o cortes y  ser llevados al cuarto frio</t>
  </si>
  <si>
    <t xml:space="preserve">El colaborador almacena la  materia prima directa en los cuartos frios para garantizar la calidad del producto </t>
  </si>
  <si>
    <t>Se realiza una ultima limpieza a la materia prima directa para mejorar la presentacion del producto, y por ultimo se debe hacer cortes para su comercializacion.</t>
  </si>
  <si>
    <t>El vendedor es el encargado  de comercializar  el  productos final, asegurando de que lleguen al consumidor.</t>
  </si>
  <si>
    <t>El vendedor y jefe de produccion deben realizar la desinfeccion del local, de la maquinaria y herramientas de trabajo.</t>
  </si>
  <si>
    <t>NIT 34.328.185 -7</t>
  </si>
  <si>
    <t>MATRIZ ABC DIARIA</t>
  </si>
  <si>
    <t>COSTOS UNITARIO X MINUTO LABOR</t>
  </si>
  <si>
    <t>NIT:34.328.185-7</t>
  </si>
  <si>
    <t xml:space="preserve">MATRIZ DIARIA RESUMEN </t>
  </si>
  <si>
    <t xml:space="preserve">MATRIZ ABC  MENSUAL </t>
  </si>
  <si>
    <t>DEPRECIACION ANUAL</t>
  </si>
  <si>
    <t>DEPRECIACION MENSUAL</t>
  </si>
  <si>
    <t>MATRIZ ABC ANUAL</t>
  </si>
  <si>
    <t>NIT:34.328.185 -7</t>
  </si>
  <si>
    <t>DEPRECIACION  DIARIA</t>
  </si>
  <si>
    <t>DPRECIACION POR HORAS</t>
  </si>
  <si>
    <t>DEPRECIACION POR MINUTOS</t>
  </si>
  <si>
    <t xml:space="preserve">NIT: 34.328.185-7 </t>
  </si>
  <si>
    <t xml:space="preserve">DEPRECIACION DE BIENES POR METODO DE LINEA RECTA </t>
  </si>
  <si>
    <t>NIT: 34.328.185-7</t>
  </si>
  <si>
    <t>SERVICIOS PUBLICOS E IMPUESTOS</t>
  </si>
  <si>
    <t>COMPRA DE MATERIA PRIMA ANUAL</t>
  </si>
  <si>
    <t>NIT: 34.328.185 -7</t>
  </si>
  <si>
    <t xml:space="preserve">COMPRA DE MATERIA PRIMA ANUAL </t>
  </si>
  <si>
    <t>NIT 34.328.185- 7</t>
  </si>
  <si>
    <t>COSTO  DE MATERIA PRIMA DIARIO - COSTO DE CORTES O PIEZAS</t>
  </si>
  <si>
    <t xml:space="preserve">COSTO ANUAL DE MATERIA PRIMA DIRECTA - COSTO DE CORTES O PIEZAS </t>
  </si>
  <si>
    <t>VENTA Y UTILIDAD ANUAL DE LA MATERIA PRIMA DIRECTA E INDIRECTA</t>
  </si>
  <si>
    <t xml:space="preserve">EFECTIVO MENSUAL </t>
  </si>
  <si>
    <t xml:space="preserve">NIT:34.328.185-7 </t>
  </si>
  <si>
    <t xml:space="preserve">RESUMEN DE COSTOS OPERACIONALES DESARROLLADOS EN TODO EL EJERCICIO CONTABLE </t>
  </si>
  <si>
    <t xml:space="preserve">NOMINA ANUAL </t>
  </si>
  <si>
    <t>NOMINA MENSUAL</t>
  </si>
  <si>
    <t>TIEMPO DEL CIF AGUA  EN MINUTOS</t>
  </si>
  <si>
    <t xml:space="preserve">TIEMPO DEL CIF ENERGIA EN MINUTOS </t>
  </si>
  <si>
    <t xml:space="preserve">TIEMPO DEL CIF  TELEFONO EN MINUTOS </t>
  </si>
  <si>
    <t>TIEMPO DEL CIF INTERNET EN MINUTOS</t>
  </si>
  <si>
    <t>TIEMPO DEL CIF DE TRANSPORTE PARA NEGOCIACION EN MINUTOS</t>
  </si>
  <si>
    <t>TIEMPO DE CIF IMPUESTO PREDIAL EN MINUTOS</t>
  </si>
  <si>
    <t xml:space="preserve">TIEMPO DE CIF BOMBEROS EN MINUTOS </t>
  </si>
  <si>
    <t>TIEMPO DE CIF USO DE SUELO EN MINUTOS</t>
  </si>
  <si>
    <t>COSTO DEL CIF AGUA  EN MINUTOS</t>
  </si>
  <si>
    <t xml:space="preserve">COSTO DEL CIF ENERGIA EN MINUTOS </t>
  </si>
  <si>
    <t xml:space="preserve">COSTO DEL CIF  TELEFONO EN MINUTOS </t>
  </si>
  <si>
    <t>COSTO DEL CIF INTERNET EN MINUTOS</t>
  </si>
  <si>
    <t>COSTO DEL CIF DE TRANSPORTE PARA NEGOCIACION EN MINUTOS</t>
  </si>
  <si>
    <t>COSTO DE CIF IMPUESTO PREDIAL EN MINUTOS</t>
  </si>
  <si>
    <t xml:space="preserve">COSTO DE CIF BOMBEROS EN MINUTOS </t>
  </si>
  <si>
    <t>COSTO DE CIF USO DE SUELO EN MINUTOS</t>
  </si>
  <si>
    <t xml:space="preserve">COSTO TOTAL DE LAS CIF POR ACTIVIDAD </t>
  </si>
  <si>
    <t xml:space="preserve">COSTO TOTAL DELAS CIF POR AREA </t>
  </si>
  <si>
    <t>COSTO CIF GUIA DE SACRIFICIO EN MINUTOS</t>
  </si>
  <si>
    <t>COSTO POR PROCESO DE CIF</t>
  </si>
  <si>
    <t>COSTO POR AREA CIF</t>
  </si>
  <si>
    <t>COSTO DIARIO TOTAL DE  CIF POR AREAS</t>
  </si>
  <si>
    <t>COSTOS DE CIF MENSUAL</t>
  </si>
  <si>
    <t xml:space="preserve">COSTO TOTAL DE LA CIF POR  ACTIVIDAD POR MES </t>
  </si>
  <si>
    <t xml:space="preserve">COSTO TOTAL DE LAS CIF POR ACTIVIDAD  POR DIA </t>
  </si>
  <si>
    <t xml:space="preserve">COSTO TOTAL DE LA CIF POR  ACTIVIDAD ANUAL </t>
  </si>
  <si>
    <t xml:space="preserve">COSTO TOTAL ANUAL DE LAS CIF </t>
  </si>
  <si>
    <t xml:space="preserve">COSTO TOTAL ANUAL  DE LAS CIF </t>
  </si>
  <si>
    <t xml:space="preserve">TOTAL ANUAL DE LAS CIF </t>
  </si>
  <si>
    <t xml:space="preserve">EXPRESADO EN PESOS </t>
  </si>
  <si>
    <t xml:space="preserve">Expesado en pesos </t>
  </si>
  <si>
    <t>TIEMPO CIF GUIA DE SACRIFICIO EN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</si>
</sst>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_-;_-@_-"/>
    <numFmt numFmtId="166" formatCode="_-* #,##0.0000_-;\-* #,##0.0000_-;_-* &quot;-&quot;_-;_-@_-"/>
    <numFmt numFmtId="167" formatCode="_-&quot;$&quot;\ * #,##0_-;\-&quot;$&quot;\ * #,##0_-;_-&quot;$&quot;\ * &quot;-&quot;??_-;_-@_-"/>
    <numFmt numFmtId="168" formatCode="_-&quot;$&quot;\ * #,##0.000_-;\-&quot;$&quot;\ * #,##0.000_-;_-&quot;$&quot;\ * &quot;-&quot;??_-;_-@_-"/>
    <numFmt numFmtId="169" formatCode="_-&quot;$&quot;\ * #,##0.000_-;\-&quot;$&quot;\ * #,##0.000_-;_-&quot;$&quot;\ * &quot;-&quot;???_-;_-@_-"/>
    <numFmt numFmtId="170" formatCode="&quot;$&quot;\ #,##0.00"/>
    <numFmt numFmtId="171" formatCode="_-&quot;$&quot;\ * #,##0.0_-;\-&quot;$&quot;\ * #,##0.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4">
    <xf numFmtId="0" fontId="0" fillId="0" borderId="0" xfId="0"/>
    <xf numFmtId="0" fontId="2" fillId="0" borderId="0" xfId="0" applyFont="1"/>
    <xf numFmtId="0" fontId="0" fillId="0" borderId="1" xfId="0" applyBorder="1"/>
    <xf numFmtId="44" fontId="0" fillId="0" borderId="0" xfId="2" applyFont="1"/>
    <xf numFmtId="44" fontId="0" fillId="0" borderId="1" xfId="2" applyFont="1" applyBorder="1"/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1" xfId="2" applyFont="1" applyFill="1" applyBorder="1" applyAlignment="1">
      <alignment horizontal="center"/>
    </xf>
    <xf numFmtId="41" fontId="0" fillId="4" borderId="1" xfId="3" applyFont="1" applyFill="1" applyBorder="1"/>
    <xf numFmtId="41" fontId="0" fillId="4" borderId="1" xfId="0" applyNumberFormat="1" applyFill="1" applyBorder="1"/>
    <xf numFmtId="0" fontId="2" fillId="0" borderId="1" xfId="0" applyFont="1" applyBorder="1"/>
    <xf numFmtId="41" fontId="2" fillId="4" borderId="1" xfId="0" applyNumberFormat="1" applyFont="1" applyFill="1" applyBorder="1"/>
    <xf numFmtId="41" fontId="2" fillId="4" borderId="1" xfId="3" applyFont="1" applyFill="1" applyBorder="1"/>
    <xf numFmtId="41" fontId="0" fillId="5" borderId="1" xfId="3" applyFont="1" applyFill="1" applyBorder="1"/>
    <xf numFmtId="41" fontId="0" fillId="0" borderId="1" xfId="0" applyNumberFormat="1" applyBorder="1"/>
    <xf numFmtId="0" fontId="0" fillId="6" borderId="0" xfId="0" applyFill="1"/>
    <xf numFmtId="0" fontId="0" fillId="0" borderId="0" xfId="0" applyAlignment="1">
      <alignment horizontal="center"/>
    </xf>
    <xf numFmtId="167" fontId="0" fillId="0" borderId="1" xfId="2" applyNumberFormat="1" applyFont="1" applyBorder="1"/>
    <xf numFmtId="44" fontId="2" fillId="7" borderId="1" xfId="2" applyFont="1" applyFill="1" applyBorder="1" applyAlignment="1">
      <alignment horizontal="center"/>
    </xf>
    <xf numFmtId="0" fontId="0" fillId="0" borderId="0" xfId="0" applyAlignment="1">
      <alignment vertical="center"/>
    </xf>
    <xf numFmtId="44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wrapText="1"/>
    </xf>
    <xf numFmtId="0" fontId="0" fillId="5" borderId="0" xfId="0" applyFill="1"/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7" fontId="0" fillId="0" borderId="1" xfId="0" applyNumberFormat="1" applyBorder="1"/>
    <xf numFmtId="41" fontId="2" fillId="5" borderId="0" xfId="3" applyFont="1" applyFill="1" applyBorder="1"/>
    <xf numFmtId="166" fontId="2" fillId="5" borderId="0" xfId="3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44" fontId="0" fillId="0" borderId="2" xfId="2" applyFont="1" applyBorder="1"/>
    <xf numFmtId="4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left" vertical="center" wrapText="1"/>
    </xf>
    <xf numFmtId="44" fontId="1" fillId="0" borderId="1" xfId="2" applyFont="1" applyBorder="1"/>
    <xf numFmtId="44" fontId="0" fillId="0" borderId="1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13" borderId="0" xfId="0" applyFill="1"/>
    <xf numFmtId="44" fontId="0" fillId="13" borderId="0" xfId="2" applyFont="1" applyFill="1"/>
    <xf numFmtId="1" fontId="0" fillId="13" borderId="0" xfId="2" applyNumberFormat="1" applyFont="1" applyFill="1"/>
    <xf numFmtId="0" fontId="0" fillId="2" borderId="0" xfId="0" applyFill="1"/>
    <xf numFmtId="43" fontId="0" fillId="2" borderId="0" xfId="1" applyFont="1" applyFill="1"/>
    <xf numFmtId="1" fontId="0" fillId="2" borderId="0" xfId="1" applyNumberFormat="1" applyFont="1" applyFill="1"/>
    <xf numFmtId="0" fontId="0" fillId="14" borderId="0" xfId="0" applyFill="1"/>
    <xf numFmtId="44" fontId="0" fillId="14" borderId="0" xfId="2" applyFont="1" applyFill="1"/>
    <xf numFmtId="1" fontId="0" fillId="14" borderId="0" xfId="2" applyNumberFormat="1" applyFont="1" applyFill="1"/>
    <xf numFmtId="0" fontId="0" fillId="15" borderId="0" xfId="0" applyFill="1"/>
    <xf numFmtId="44" fontId="0" fillId="15" borderId="0" xfId="2" applyFont="1" applyFill="1"/>
    <xf numFmtId="1" fontId="0" fillId="15" borderId="0" xfId="2" applyNumberFormat="1" applyFont="1" applyFill="1"/>
    <xf numFmtId="0" fontId="0" fillId="16" borderId="0" xfId="0" applyFill="1"/>
    <xf numFmtId="44" fontId="0" fillId="16" borderId="0" xfId="2" applyFont="1" applyFill="1"/>
    <xf numFmtId="1" fontId="0" fillId="16" borderId="0" xfId="2" applyNumberFormat="1" applyFont="1" applyFill="1"/>
    <xf numFmtId="1" fontId="2" fillId="16" borderId="1" xfId="2" applyNumberFormat="1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44" fontId="0" fillId="16" borderId="1" xfId="2" applyFont="1" applyFill="1" applyBorder="1" applyAlignment="1">
      <alignment horizontal="center"/>
    </xf>
    <xf numFmtId="1" fontId="0" fillId="16" borderId="1" xfId="2" applyNumberFormat="1" applyFont="1" applyFill="1" applyBorder="1" applyAlignment="1">
      <alignment horizontal="center"/>
    </xf>
    <xf numFmtId="44" fontId="0" fillId="6" borderId="0" xfId="2" applyFont="1" applyFill="1"/>
    <xf numFmtId="167" fontId="0" fillId="6" borderId="0" xfId="2" applyNumberFormat="1" applyFont="1" applyFill="1"/>
    <xf numFmtId="0" fontId="0" fillId="17" borderId="0" xfId="0" applyFill="1"/>
    <xf numFmtId="44" fontId="0" fillId="17" borderId="0" xfId="2" applyFont="1" applyFill="1"/>
    <xf numFmtId="1" fontId="0" fillId="17" borderId="0" xfId="2" applyNumberFormat="1" applyFont="1" applyFill="1"/>
    <xf numFmtId="167" fontId="0" fillId="17" borderId="0" xfId="2" applyNumberFormat="1" applyFont="1" applyFill="1"/>
    <xf numFmtId="167" fontId="0" fillId="14" borderId="0" xfId="2" applyNumberFormat="1" applyFont="1" applyFill="1"/>
    <xf numFmtId="0" fontId="0" fillId="18" borderId="0" xfId="0" applyFill="1"/>
    <xf numFmtId="44" fontId="0" fillId="18" borderId="0" xfId="2" applyFont="1" applyFill="1"/>
    <xf numFmtId="17" fontId="0" fillId="0" borderId="1" xfId="0" applyNumberFormat="1" applyBorder="1"/>
    <xf numFmtId="0" fontId="0" fillId="11" borderId="0" xfId="0" applyFill="1"/>
    <xf numFmtId="0" fontId="2" fillId="0" borderId="13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left"/>
    </xf>
    <xf numFmtId="44" fontId="1" fillId="0" borderId="1" xfId="2" applyFont="1" applyFill="1" applyBorder="1"/>
    <xf numFmtId="0" fontId="2" fillId="0" borderId="13" xfId="0" applyFont="1" applyBorder="1" applyAlignment="1">
      <alignment horizontal="center"/>
    </xf>
    <xf numFmtId="44" fontId="2" fillId="0" borderId="1" xfId="2" applyFont="1" applyFill="1" applyBorder="1" applyAlignment="1">
      <alignment horizontal="center"/>
    </xf>
    <xf numFmtId="0" fontId="0" fillId="10" borderId="0" xfId="0" applyFill="1"/>
    <xf numFmtId="0" fontId="0" fillId="7" borderId="0" xfId="0" applyFill="1"/>
    <xf numFmtId="164" fontId="0" fillId="5" borderId="0" xfId="1" applyNumberFormat="1" applyFont="1" applyFill="1" applyAlignment="1">
      <alignment horizontal="center" vertical="center"/>
    </xf>
    <xf numFmtId="0" fontId="2" fillId="5" borderId="0" xfId="0" applyFont="1" applyFill="1"/>
    <xf numFmtId="44" fontId="0" fillId="0" borderId="0" xfId="0" applyNumberFormat="1" applyAlignment="1">
      <alignment horizontal="center" vertical="center"/>
    </xf>
    <xf numFmtId="10" fontId="0" fillId="0" borderId="0" xfId="4" applyNumberFormat="1" applyFont="1" applyAlignment="1">
      <alignment horizontal="center"/>
    </xf>
    <xf numFmtId="0" fontId="2" fillId="4" borderId="1" xfId="0" applyFont="1" applyFill="1" applyBorder="1"/>
    <xf numFmtId="0" fontId="2" fillId="9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44" fontId="0" fillId="5" borderId="0" xfId="2" applyFont="1" applyFill="1"/>
    <xf numFmtId="167" fontId="0" fillId="5" borderId="1" xfId="2" applyNumberFormat="1" applyFont="1" applyFill="1" applyBorder="1" applyAlignment="1">
      <alignment horizontal="center"/>
    </xf>
    <xf numFmtId="0" fontId="0" fillId="19" borderId="0" xfId="0" applyFill="1"/>
    <xf numFmtId="0" fontId="0" fillId="19" borderId="0" xfId="0" applyFill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167" fontId="0" fillId="16" borderId="1" xfId="2" applyNumberFormat="1" applyFont="1" applyFill="1" applyBorder="1" applyAlignment="1">
      <alignment horizontal="center" vertical="center"/>
    </xf>
    <xf numFmtId="1" fontId="0" fillId="16" borderId="1" xfId="0" applyNumberFormat="1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44" fontId="0" fillId="16" borderId="1" xfId="2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wrapText="1"/>
    </xf>
    <xf numFmtId="1" fontId="0" fillId="16" borderId="1" xfId="0" applyNumberFormat="1" applyFill="1" applyBorder="1" applyAlignment="1">
      <alignment horizontal="center"/>
    </xf>
    <xf numFmtId="9" fontId="0" fillId="16" borderId="1" xfId="4" applyFont="1" applyFill="1" applyBorder="1" applyAlignment="1">
      <alignment horizontal="center" vertical="center"/>
    </xf>
    <xf numFmtId="44" fontId="0" fillId="16" borderId="1" xfId="2" applyFont="1" applyFill="1" applyBorder="1" applyAlignment="1">
      <alignment horizontal="center" vertical="center"/>
    </xf>
    <xf numFmtId="10" fontId="0" fillId="16" borderId="1" xfId="4" applyNumberFormat="1" applyFont="1" applyFill="1" applyBorder="1" applyAlignment="1">
      <alignment horizontal="center" vertical="center"/>
    </xf>
    <xf numFmtId="167" fontId="0" fillId="16" borderId="1" xfId="2" applyNumberFormat="1" applyFont="1" applyFill="1" applyBorder="1" applyAlignment="1">
      <alignment horizontal="center"/>
    </xf>
    <xf numFmtId="0" fontId="0" fillId="16" borderId="1" xfId="0" applyFill="1" applyBorder="1"/>
    <xf numFmtId="0" fontId="2" fillId="16" borderId="1" xfId="0" applyFont="1" applyFill="1" applyBorder="1"/>
    <xf numFmtId="43" fontId="2" fillId="16" borderId="1" xfId="1" applyFont="1" applyFill="1" applyBorder="1" applyAlignment="1">
      <alignment horizontal="center"/>
    </xf>
    <xf numFmtId="9" fontId="2" fillId="16" borderId="1" xfId="4" applyFont="1" applyFill="1" applyBorder="1" applyAlignment="1">
      <alignment horizontal="center"/>
    </xf>
    <xf numFmtId="44" fontId="2" fillId="16" borderId="1" xfId="0" applyNumberFormat="1" applyFont="1" applyFill="1" applyBorder="1"/>
    <xf numFmtId="167" fontId="0" fillId="16" borderId="1" xfId="0" applyNumberFormat="1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/>
    </xf>
    <xf numFmtId="0" fontId="0" fillId="16" borderId="0" xfId="0" applyFill="1" applyAlignment="1">
      <alignment vertical="center" wrapText="1"/>
    </xf>
    <xf numFmtId="0" fontId="0" fillId="12" borderId="0" xfId="0" applyFill="1"/>
    <xf numFmtId="0" fontId="0" fillId="20" borderId="0" xfId="0" applyFill="1"/>
    <xf numFmtId="0" fontId="0" fillId="21" borderId="0" xfId="0" applyFill="1"/>
    <xf numFmtId="44" fontId="0" fillId="7" borderId="1" xfId="2" applyFont="1" applyFill="1" applyBorder="1" applyAlignment="1">
      <alignment horizontal="center"/>
    </xf>
    <xf numFmtId="0" fontId="0" fillId="3" borderId="0" xfId="0" applyFill="1"/>
    <xf numFmtId="167" fontId="0" fillId="0" borderId="0" xfId="0" applyNumberFormat="1"/>
    <xf numFmtId="0" fontId="2" fillId="9" borderId="13" xfId="0" applyFont="1" applyFill="1" applyBorder="1" applyAlignment="1">
      <alignment horizontal="center" vertical="center" wrapText="1"/>
    </xf>
    <xf numFmtId="0" fontId="2" fillId="9" borderId="36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17" fontId="0" fillId="0" borderId="2" xfId="0" applyNumberFormat="1" applyBorder="1"/>
    <xf numFmtId="44" fontId="0" fillId="0" borderId="2" xfId="0" applyNumberFormat="1" applyBorder="1"/>
    <xf numFmtId="0" fontId="0" fillId="0" borderId="2" xfId="0" applyBorder="1" applyAlignment="1">
      <alignment horizontal="center" vertical="center"/>
    </xf>
    <xf numFmtId="167" fontId="0" fillId="5" borderId="1" xfId="0" applyNumberFormat="1" applyFill="1" applyBorder="1"/>
    <xf numFmtId="0" fontId="2" fillId="4" borderId="1" xfId="0" applyFont="1" applyFill="1" applyBorder="1" applyAlignment="1">
      <alignment wrapText="1"/>
    </xf>
    <xf numFmtId="44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2" fillId="0" borderId="0" xfId="0" applyFont="1"/>
    <xf numFmtId="167" fontId="0" fillId="0" borderId="0" xfId="2" applyNumberFormat="1" applyFont="1"/>
    <xf numFmtId="0" fontId="0" fillId="5" borderId="0" xfId="0" applyFill="1" applyAlignment="1">
      <alignment horizontal="center"/>
    </xf>
    <xf numFmtId="164" fontId="0" fillId="5" borderId="0" xfId="1" applyNumberFormat="1" applyFont="1" applyFill="1" applyAlignment="1">
      <alignment horizontal="center"/>
    </xf>
    <xf numFmtId="168" fontId="0" fillId="5" borderId="0" xfId="2" applyNumberFormat="1" applyFon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170" fontId="0" fillId="9" borderId="1" xfId="0" applyNumberFormat="1" applyFill="1" applyBorder="1" applyAlignment="1">
      <alignment horizontal="left" vertical="center"/>
    </xf>
    <xf numFmtId="170" fontId="0" fillId="4" borderId="1" xfId="0" applyNumberFormat="1" applyFill="1" applyBorder="1" applyAlignment="1">
      <alignment horizontal="left" vertical="center"/>
    </xf>
    <xf numFmtId="0" fontId="2" fillId="22" borderId="30" xfId="0" applyFont="1" applyFill="1" applyBorder="1" applyAlignment="1">
      <alignment horizontal="center" vertical="center"/>
    </xf>
    <xf numFmtId="0" fontId="0" fillId="9" borderId="1" xfId="1" applyNumberFormat="1" applyFont="1" applyFill="1" applyBorder="1" applyAlignment="1">
      <alignment horizontal="center" vertical="center"/>
    </xf>
    <xf numFmtId="170" fontId="0" fillId="9" borderId="1" xfId="0" applyNumberFormat="1" applyFill="1" applyBorder="1" applyAlignment="1">
      <alignment horizontal="center" vertical="center"/>
    </xf>
    <xf numFmtId="44" fontId="2" fillId="8" borderId="1" xfId="2" applyFont="1" applyFill="1" applyBorder="1" applyAlignment="1">
      <alignment horizontal="center" vertical="center" wrapText="1"/>
    </xf>
    <xf numFmtId="170" fontId="0" fillId="4" borderId="1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2" fillId="0" borderId="4" xfId="2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7" fontId="0" fillId="0" borderId="27" xfId="0" applyNumberFormat="1" applyBorder="1"/>
    <xf numFmtId="44" fontId="0" fillId="0" borderId="28" xfId="0" applyNumberForma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44" fontId="0" fillId="0" borderId="0" xfId="2" applyFont="1" applyFill="1"/>
    <xf numFmtId="1" fontId="0" fillId="0" borderId="0" xfId="2" applyNumberFormat="1" applyFont="1" applyFill="1"/>
    <xf numFmtId="43" fontId="0" fillId="0" borderId="0" xfId="1" applyFont="1" applyFill="1"/>
    <xf numFmtId="1" fontId="0" fillId="0" borderId="0" xfId="1" applyNumberFormat="1" applyFont="1" applyFill="1"/>
    <xf numFmtId="167" fontId="0" fillId="0" borderId="0" xfId="2" applyNumberFormat="1" applyFont="1" applyFill="1"/>
    <xf numFmtId="0" fontId="6" fillId="4" borderId="0" xfId="0" applyFont="1" applyFill="1"/>
    <xf numFmtId="0" fontId="12" fillId="5" borderId="0" xfId="0" applyFont="1" applyFill="1" applyAlignment="1">
      <alignment horizontal="center" vertical="center"/>
    </xf>
    <xf numFmtId="0" fontId="12" fillId="5" borderId="0" xfId="0" applyFont="1" applyFill="1"/>
    <xf numFmtId="0" fontId="0" fillId="5" borderId="0" xfId="0" applyFill="1" applyAlignment="1">
      <alignment wrapText="1"/>
    </xf>
    <xf numFmtId="0" fontId="15" fillId="5" borderId="0" xfId="0" applyFont="1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167" fontId="12" fillId="5" borderId="10" xfId="0" applyNumberFormat="1" applyFont="1" applyFill="1" applyBorder="1"/>
    <xf numFmtId="167" fontId="0" fillId="5" borderId="10" xfId="0" applyNumberFormat="1" applyFill="1" applyBorder="1"/>
    <xf numFmtId="0" fontId="2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2" fillId="5" borderId="43" xfId="0" applyFont="1" applyFill="1" applyBorder="1"/>
    <xf numFmtId="167" fontId="2" fillId="5" borderId="0" xfId="2" applyNumberFormat="1" applyFont="1" applyFill="1" applyBorder="1"/>
    <xf numFmtId="167" fontId="0" fillId="5" borderId="10" xfId="2" applyNumberFormat="1" applyFont="1" applyFill="1" applyBorder="1"/>
    <xf numFmtId="167" fontId="0" fillId="5" borderId="0" xfId="2" applyNumberFormat="1" applyFont="1" applyFill="1" applyBorder="1"/>
    <xf numFmtId="167" fontId="2" fillId="5" borderId="10" xfId="2" applyNumberFormat="1" applyFont="1" applyFill="1" applyBorder="1"/>
    <xf numFmtId="0" fontId="2" fillId="5" borderId="0" xfId="0" applyFont="1" applyFill="1" applyAlignment="1">
      <alignment wrapText="1"/>
    </xf>
    <xf numFmtId="167" fontId="1" fillId="5" borderId="10" xfId="2" applyNumberFormat="1" applyFont="1" applyFill="1" applyBorder="1"/>
    <xf numFmtId="0" fontId="2" fillId="5" borderId="0" xfId="0" applyFont="1" applyFill="1" applyAlignment="1">
      <alignment horizontal="left" wrapText="1"/>
    </xf>
    <xf numFmtId="0" fontId="0" fillId="5" borderId="9" xfId="0" applyFill="1" applyBorder="1"/>
    <xf numFmtId="167" fontId="1" fillId="5" borderId="0" xfId="2" applyNumberFormat="1" applyFont="1" applyFill="1" applyBorder="1"/>
    <xf numFmtId="167" fontId="2" fillId="5" borderId="43" xfId="2" applyNumberFormat="1" applyFont="1" applyFill="1" applyBorder="1"/>
    <xf numFmtId="167" fontId="2" fillId="5" borderId="12" xfId="2" applyNumberFormat="1" applyFont="1" applyFill="1" applyBorder="1"/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167" fontId="12" fillId="5" borderId="0" xfId="2" applyNumberFormat="1" applyFont="1" applyFill="1" applyBorder="1"/>
    <xf numFmtId="167" fontId="2" fillId="5" borderId="10" xfId="0" applyNumberFormat="1" applyFont="1" applyFill="1" applyBorder="1"/>
    <xf numFmtId="167" fontId="0" fillId="5" borderId="0" xfId="0" applyNumberFormat="1" applyFill="1"/>
    <xf numFmtId="167" fontId="2" fillId="5" borderId="0" xfId="0" applyNumberFormat="1" applyFont="1" applyFill="1"/>
    <xf numFmtId="167" fontId="12" fillId="5" borderId="0" xfId="0" applyNumberFormat="1" applyFont="1" applyFill="1"/>
    <xf numFmtId="167" fontId="12" fillId="5" borderId="10" xfId="2" applyNumberFormat="1" applyFont="1" applyFill="1" applyBorder="1"/>
    <xf numFmtId="167" fontId="13" fillId="5" borderId="10" xfId="0" applyNumberFormat="1" applyFont="1" applyFill="1" applyBorder="1"/>
    <xf numFmtId="167" fontId="2" fillId="5" borderId="12" xfId="0" applyNumberFormat="1" applyFont="1" applyFill="1" applyBorder="1"/>
    <xf numFmtId="0" fontId="2" fillId="5" borderId="0" xfId="0" applyFont="1" applyFill="1" applyAlignment="1">
      <alignment horizontal="center"/>
    </xf>
    <xf numFmtId="0" fontId="2" fillId="22" borderId="13" xfId="0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center" vertical="center" wrapText="1"/>
    </xf>
    <xf numFmtId="44" fontId="0" fillId="9" borderId="1" xfId="2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/>
    </xf>
    <xf numFmtId="44" fontId="0" fillId="8" borderId="1" xfId="2" applyFont="1" applyFill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44" fontId="2" fillId="8" borderId="1" xfId="2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10" xfId="0" applyFill="1" applyBorder="1"/>
    <xf numFmtId="0" fontId="0" fillId="5" borderId="11" xfId="0" applyFill="1" applyBorder="1"/>
    <xf numFmtId="0" fontId="0" fillId="5" borderId="43" xfId="0" applyFill="1" applyBorder="1"/>
    <xf numFmtId="0" fontId="0" fillId="5" borderId="12" xfId="0" applyFill="1" applyBorder="1"/>
    <xf numFmtId="167" fontId="0" fillId="5" borderId="0" xfId="2" applyNumberFormat="1" applyFont="1" applyFill="1"/>
    <xf numFmtId="0" fontId="4" fillId="10" borderId="1" xfId="0" applyFont="1" applyFill="1" applyBorder="1" applyAlignment="1">
      <alignment horizontal="center" vertical="center"/>
    </xf>
    <xf numFmtId="168" fontId="4" fillId="9" borderId="1" xfId="0" applyNumberFormat="1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168" fontId="17" fillId="9" borderId="1" xfId="2" applyNumberFormat="1" applyFont="1" applyFill="1" applyBorder="1" applyAlignment="1">
      <alignment horizontal="center" vertical="center" wrapText="1"/>
    </xf>
    <xf numFmtId="168" fontId="17" fillId="9" borderId="1" xfId="0" applyNumberFormat="1" applyFont="1" applyFill="1" applyBorder="1" applyAlignment="1">
      <alignment horizontal="center" vertical="center" wrapText="1"/>
    </xf>
    <xf numFmtId="44" fontId="4" fillId="9" borderId="1" xfId="2" applyFont="1" applyFill="1" applyBorder="1" applyAlignment="1">
      <alignment horizontal="center" vertical="center" wrapText="1"/>
    </xf>
    <xf numFmtId="0" fontId="17" fillId="20" borderId="27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44" fontId="17" fillId="20" borderId="1" xfId="2" applyFont="1" applyFill="1" applyBorder="1" applyAlignment="1">
      <alignment horizontal="center" vertical="center"/>
    </xf>
    <xf numFmtId="44" fontId="4" fillId="20" borderId="1" xfId="2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168" fontId="17" fillId="9" borderId="39" xfId="2" applyNumberFormat="1" applyFont="1" applyFill="1" applyBorder="1" applyAlignment="1">
      <alignment horizontal="center" vertical="center" wrapText="1"/>
    </xf>
    <xf numFmtId="44" fontId="4" fillId="9" borderId="32" xfId="2" applyFont="1" applyFill="1" applyBorder="1" applyAlignment="1">
      <alignment horizontal="center" vertical="center" wrapText="1"/>
    </xf>
    <xf numFmtId="0" fontId="17" fillId="20" borderId="3" xfId="0" applyFont="1" applyFill="1" applyBorder="1" applyAlignment="1">
      <alignment horizontal="center" vertical="center" wrapText="1"/>
    </xf>
    <xf numFmtId="0" fontId="17" fillId="20" borderId="4" xfId="0" applyFont="1" applyFill="1" applyBorder="1" applyAlignment="1">
      <alignment horizontal="center" vertical="center"/>
    </xf>
    <xf numFmtId="44" fontId="17" fillId="20" borderId="4" xfId="2" applyFont="1" applyFill="1" applyBorder="1" applyAlignment="1">
      <alignment horizontal="center" vertical="center"/>
    </xf>
    <xf numFmtId="167" fontId="17" fillId="20" borderId="4" xfId="2" applyNumberFormat="1" applyFont="1" applyFill="1" applyBorder="1" applyAlignment="1">
      <alignment horizontal="center" vertical="center"/>
    </xf>
    <xf numFmtId="167" fontId="4" fillId="20" borderId="4" xfId="2" applyNumberFormat="1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168" fontId="17" fillId="9" borderId="17" xfId="2" applyNumberFormat="1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20" borderId="45" xfId="0" applyFont="1" applyFill="1" applyBorder="1" applyAlignment="1">
      <alignment horizontal="center" vertical="center" wrapText="1"/>
    </xf>
    <xf numFmtId="0" fontId="17" fillId="20" borderId="46" xfId="0" applyFont="1" applyFill="1" applyBorder="1" applyAlignment="1">
      <alignment horizontal="center" vertical="center"/>
    </xf>
    <xf numFmtId="44" fontId="17" fillId="20" borderId="46" xfId="2" applyFont="1" applyFill="1" applyBorder="1" applyAlignment="1">
      <alignment horizontal="center" vertical="center"/>
    </xf>
    <xf numFmtId="167" fontId="17" fillId="20" borderId="46" xfId="2" applyNumberFormat="1" applyFont="1" applyFill="1" applyBorder="1" applyAlignment="1">
      <alignment horizontal="center" vertical="center"/>
    </xf>
    <xf numFmtId="167" fontId="4" fillId="20" borderId="46" xfId="2" applyNumberFormat="1" applyFont="1" applyFill="1" applyBorder="1" applyAlignment="1">
      <alignment horizontal="center" vertical="center"/>
    </xf>
    <xf numFmtId="167" fontId="4" fillId="20" borderId="47" xfId="2" applyNumberFormat="1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168" fontId="17" fillId="5" borderId="0" xfId="2" applyNumberFormat="1" applyFont="1" applyFill="1" applyBorder="1" applyAlignment="1">
      <alignment horizontal="center" vertical="center"/>
    </xf>
    <xf numFmtId="168" fontId="17" fillId="5" borderId="0" xfId="0" applyNumberFormat="1" applyFont="1" applyFill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168" fontId="4" fillId="9" borderId="4" xfId="2" applyNumberFormat="1" applyFont="1" applyFill="1" applyBorder="1" applyAlignment="1">
      <alignment horizontal="center" vertical="center" wrapText="1"/>
    </xf>
    <xf numFmtId="168" fontId="4" fillId="9" borderId="4" xfId="0" applyNumberFormat="1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50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39" xfId="0" applyFont="1" applyFill="1" applyBorder="1" applyAlignment="1">
      <alignment horizontal="center" vertical="center" wrapText="1"/>
    </xf>
    <xf numFmtId="0" fontId="4" fillId="20" borderId="25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10" borderId="46" xfId="0" applyFont="1" applyFill="1" applyBorder="1" applyAlignment="1">
      <alignment horizontal="center" vertical="center" wrapText="1"/>
    </xf>
    <xf numFmtId="0" fontId="17" fillId="9" borderId="46" xfId="0" applyFont="1" applyFill="1" applyBorder="1" applyAlignment="1">
      <alignment horizontal="center" vertical="center" wrapText="1"/>
    </xf>
    <xf numFmtId="168" fontId="17" fillId="9" borderId="46" xfId="2" applyNumberFormat="1" applyFont="1" applyFill="1" applyBorder="1" applyAlignment="1">
      <alignment horizontal="center" vertical="center" wrapText="1"/>
    </xf>
    <xf numFmtId="168" fontId="17" fillId="9" borderId="46" xfId="0" applyNumberFormat="1" applyFont="1" applyFill="1" applyBorder="1" applyAlignment="1">
      <alignment horizontal="center" vertical="center" wrapText="1"/>
    </xf>
    <xf numFmtId="0" fontId="17" fillId="8" borderId="46" xfId="0" applyFont="1" applyFill="1" applyBorder="1" applyAlignment="1">
      <alignment horizontal="center" vertical="center"/>
    </xf>
    <xf numFmtId="168" fontId="17" fillId="9" borderId="4" xfId="0" applyNumberFormat="1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56" xfId="0" applyFont="1" applyFill="1" applyBorder="1" applyAlignment="1">
      <alignment horizontal="center" vertical="center" wrapText="1"/>
    </xf>
    <xf numFmtId="0" fontId="17" fillId="9" borderId="46" xfId="0" applyFont="1" applyFill="1" applyBorder="1" applyAlignment="1">
      <alignment horizontal="center" vertical="center"/>
    </xf>
    <xf numFmtId="168" fontId="17" fillId="9" borderId="51" xfId="0" applyNumberFormat="1" applyFont="1" applyFill="1" applyBorder="1" applyAlignment="1">
      <alignment horizontal="center" vertical="center" wrapText="1"/>
    </xf>
    <xf numFmtId="44" fontId="4" fillId="9" borderId="46" xfId="0" applyNumberFormat="1" applyFont="1" applyFill="1" applyBorder="1" applyAlignment="1">
      <alignment horizontal="center" vertical="center" wrapText="1"/>
    </xf>
    <xf numFmtId="44" fontId="4" fillId="9" borderId="56" xfId="0" applyNumberFormat="1" applyFont="1" applyFill="1" applyBorder="1" applyAlignment="1">
      <alignment vertical="center" wrapText="1"/>
    </xf>
    <xf numFmtId="0" fontId="17" fillId="8" borderId="57" xfId="0" applyFont="1" applyFill="1" applyBorder="1" applyAlignment="1">
      <alignment horizontal="center" vertical="center"/>
    </xf>
    <xf numFmtId="168" fontId="17" fillId="9" borderId="4" xfId="2" applyNumberFormat="1" applyFont="1" applyFill="1" applyBorder="1" applyAlignment="1">
      <alignment horizontal="center" vertical="center" wrapText="1"/>
    </xf>
    <xf numFmtId="44" fontId="4" fillId="9" borderId="4" xfId="2" applyFont="1" applyFill="1" applyBorder="1" applyAlignment="1">
      <alignment horizontal="center" vertical="center"/>
    </xf>
    <xf numFmtId="44" fontId="4" fillId="20" borderId="4" xfId="2" applyFont="1" applyFill="1" applyBorder="1" applyAlignment="1">
      <alignment horizontal="center" vertical="center"/>
    </xf>
    <xf numFmtId="44" fontId="4" fillId="20" borderId="39" xfId="2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17" fillId="9" borderId="27" xfId="0" applyFont="1" applyFill="1" applyBorder="1" applyAlignment="1">
      <alignment horizontal="left" vertical="center" wrapText="1"/>
    </xf>
    <xf numFmtId="0" fontId="17" fillId="9" borderId="45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left" vertical="center"/>
    </xf>
    <xf numFmtId="0" fontId="17" fillId="9" borderId="3" xfId="0" applyFont="1" applyFill="1" applyBorder="1" applyAlignment="1">
      <alignment horizontal="left" vertical="center" wrapText="1"/>
    </xf>
    <xf numFmtId="0" fontId="17" fillId="9" borderId="27" xfId="0" applyFont="1" applyFill="1" applyBorder="1" applyAlignment="1">
      <alignment horizontal="left" vertical="center"/>
    </xf>
    <xf numFmtId="0" fontId="17" fillId="9" borderId="4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23" borderId="1" xfId="0" applyFont="1" applyFill="1" applyBorder="1" applyAlignment="1">
      <alignment horizontal="center" vertical="center"/>
    </xf>
    <xf numFmtId="44" fontId="17" fillId="23" borderId="1" xfId="0" applyNumberFormat="1" applyFont="1" applyFill="1" applyBorder="1" applyAlignment="1">
      <alignment horizontal="center" vertical="center"/>
    </xf>
    <xf numFmtId="44" fontId="4" fillId="23" borderId="1" xfId="2" applyFont="1" applyFill="1" applyBorder="1" applyAlignment="1">
      <alignment horizontal="center" vertical="center"/>
    </xf>
    <xf numFmtId="44" fontId="4" fillId="23" borderId="1" xfId="0" applyNumberFormat="1" applyFont="1" applyFill="1" applyBorder="1" applyAlignment="1">
      <alignment horizontal="center" vertical="center"/>
    </xf>
    <xf numFmtId="0" fontId="17" fillId="23" borderId="19" xfId="0" applyFont="1" applyFill="1" applyBorder="1" applyAlignment="1">
      <alignment horizontal="center" vertical="center"/>
    </xf>
    <xf numFmtId="44" fontId="17" fillId="23" borderId="19" xfId="0" applyNumberFormat="1" applyFont="1" applyFill="1" applyBorder="1" applyAlignment="1">
      <alignment horizontal="center" vertical="center"/>
    </xf>
    <xf numFmtId="0" fontId="17" fillId="23" borderId="4" xfId="0" applyFont="1" applyFill="1" applyBorder="1" applyAlignment="1">
      <alignment horizontal="center" vertical="center"/>
    </xf>
    <xf numFmtId="44" fontId="17" fillId="23" borderId="4" xfId="0" applyNumberFormat="1" applyFont="1" applyFill="1" applyBorder="1" applyAlignment="1">
      <alignment horizontal="center" vertical="center"/>
    </xf>
    <xf numFmtId="44" fontId="17" fillId="23" borderId="59" xfId="0" applyNumberFormat="1" applyFont="1" applyFill="1" applyBorder="1" applyAlignment="1">
      <alignment horizontal="center" vertical="center"/>
    </xf>
    <xf numFmtId="0" fontId="17" fillId="23" borderId="59" xfId="0" applyFont="1" applyFill="1" applyBorder="1" applyAlignment="1">
      <alignment horizontal="center" vertical="center"/>
    </xf>
    <xf numFmtId="44" fontId="4" fillId="23" borderId="59" xfId="0" applyNumberFormat="1" applyFont="1" applyFill="1" applyBorder="1" applyAlignment="1">
      <alignment horizontal="center" vertical="center"/>
    </xf>
    <xf numFmtId="44" fontId="4" fillId="23" borderId="4" xfId="0" applyNumberFormat="1" applyFont="1" applyFill="1" applyBorder="1" applyAlignment="1">
      <alignment horizontal="center" vertical="center"/>
    </xf>
    <xf numFmtId="44" fontId="4" fillId="23" borderId="39" xfId="0" applyNumberFormat="1" applyFont="1" applyFill="1" applyBorder="1" applyAlignment="1">
      <alignment horizontal="center" vertical="center"/>
    </xf>
    <xf numFmtId="44" fontId="17" fillId="23" borderId="46" xfId="0" applyNumberFormat="1" applyFont="1" applyFill="1" applyBorder="1" applyAlignment="1">
      <alignment horizontal="center" vertical="center"/>
    </xf>
    <xf numFmtId="0" fontId="17" fillId="23" borderId="46" xfId="0" applyFont="1" applyFill="1" applyBorder="1" applyAlignment="1">
      <alignment horizontal="center" vertical="center"/>
    </xf>
    <xf numFmtId="44" fontId="4" fillId="23" borderId="4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23" borderId="32" xfId="0" applyFont="1" applyFill="1" applyBorder="1" applyAlignment="1">
      <alignment horizontal="center" vertical="center" wrapText="1"/>
    </xf>
    <xf numFmtId="0" fontId="4" fillId="23" borderId="4" xfId="0" applyFont="1" applyFill="1" applyBorder="1" applyAlignment="1">
      <alignment horizontal="center" vertical="center" wrapText="1"/>
    </xf>
    <xf numFmtId="0" fontId="4" fillId="23" borderId="25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170" fontId="0" fillId="9" borderId="4" xfId="0" applyNumberFormat="1" applyFill="1" applyBorder="1" applyAlignment="1">
      <alignment horizontal="left" vertical="center"/>
    </xf>
    <xf numFmtId="170" fontId="0" fillId="4" borderId="4" xfId="0" applyNumberFormat="1" applyFill="1" applyBorder="1" applyAlignment="1">
      <alignment horizontal="left" vertical="center"/>
    </xf>
    <xf numFmtId="44" fontId="0" fillId="9" borderId="4" xfId="2" applyFont="1" applyFill="1" applyBorder="1" applyAlignment="1">
      <alignment horizontal="center" vertical="center"/>
    </xf>
    <xf numFmtId="44" fontId="0" fillId="4" borderId="59" xfId="2" applyFont="1" applyFill="1" applyBorder="1" applyAlignment="1">
      <alignment vertical="center"/>
    </xf>
    <xf numFmtId="0" fontId="2" fillId="8" borderId="33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4" fontId="0" fillId="5" borderId="1" xfId="2" applyFont="1" applyFill="1" applyBorder="1" applyAlignment="1">
      <alignment horizontal="center" vertical="center"/>
    </xf>
    <xf numFmtId="44" fontId="0" fillId="5" borderId="4" xfId="2" applyFont="1" applyFill="1" applyBorder="1" applyAlignment="1">
      <alignment horizontal="center" vertical="center"/>
    </xf>
    <xf numFmtId="170" fontId="0" fillId="5" borderId="4" xfId="0" applyNumberFormat="1" applyFill="1" applyBorder="1" applyAlignment="1">
      <alignment horizontal="left" vertical="center"/>
    </xf>
    <xf numFmtId="170" fontId="0" fillId="5" borderId="1" xfId="0" applyNumberForma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44" fontId="0" fillId="5" borderId="0" xfId="0" applyNumberFormat="1" applyFill="1"/>
    <xf numFmtId="0" fontId="2" fillId="22" borderId="39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170" fontId="0" fillId="23" borderId="4" xfId="0" applyNumberFormat="1" applyFill="1" applyBorder="1" applyAlignment="1">
      <alignment horizontal="left" vertical="center"/>
    </xf>
    <xf numFmtId="170" fontId="0" fillId="23" borderId="1" xfId="0" applyNumberFormat="1" applyFill="1" applyBorder="1" applyAlignment="1">
      <alignment horizontal="left" vertical="center"/>
    </xf>
    <xf numFmtId="44" fontId="0" fillId="23" borderId="4" xfId="2" applyFont="1" applyFill="1" applyBorder="1" applyAlignment="1">
      <alignment horizontal="center" vertical="center"/>
    </xf>
    <xf numFmtId="0" fontId="2" fillId="23" borderId="13" xfId="0" applyFont="1" applyFill="1" applyBorder="1" applyAlignment="1">
      <alignment horizontal="center" vertical="center" wrapText="1"/>
    </xf>
    <xf numFmtId="44" fontId="0" fillId="23" borderId="1" xfId="2" applyFont="1" applyFill="1" applyBorder="1" applyAlignment="1">
      <alignment horizontal="center" vertical="center"/>
    </xf>
    <xf numFmtId="0" fontId="2" fillId="11" borderId="33" xfId="0" applyFont="1" applyFill="1" applyBorder="1" applyAlignment="1">
      <alignment horizontal="center" vertical="center" wrapText="1"/>
    </xf>
    <xf numFmtId="164" fontId="0" fillId="5" borderId="1" xfId="1" applyNumberFormat="1" applyFont="1" applyFill="1" applyBorder="1" applyAlignment="1">
      <alignment horizontal="center" vertical="center"/>
    </xf>
    <xf numFmtId="0" fontId="0" fillId="5" borderId="0" xfId="1" applyNumberFormat="1" applyFont="1" applyFill="1" applyAlignment="1">
      <alignment horizontal="center"/>
    </xf>
    <xf numFmtId="170" fontId="0" fillId="5" borderId="1" xfId="0" applyNumberFormat="1" applyFill="1" applyBorder="1" applyAlignment="1">
      <alignment horizontal="center" vertical="center"/>
    </xf>
    <xf numFmtId="170" fontId="0" fillId="5" borderId="0" xfId="0" applyNumberFormat="1" applyFill="1"/>
    <xf numFmtId="0" fontId="0" fillId="5" borderId="0" xfId="1" applyNumberFormat="1" applyFont="1" applyFill="1" applyBorder="1" applyAlignment="1">
      <alignment horizontal="center"/>
    </xf>
    <xf numFmtId="164" fontId="0" fillId="5" borderId="0" xfId="1" applyNumberFormat="1" applyFont="1" applyFill="1" applyBorder="1" applyAlignment="1">
      <alignment horizontal="center"/>
    </xf>
    <xf numFmtId="170" fontId="0" fillId="5" borderId="4" xfId="0" applyNumberFormat="1" applyFill="1" applyBorder="1" applyAlignment="1">
      <alignment horizontal="center" vertical="center"/>
    </xf>
    <xf numFmtId="164" fontId="0" fillId="5" borderId="4" xfId="1" applyNumberFormat="1" applyFont="1" applyFill="1" applyBorder="1" applyAlignment="1">
      <alignment horizontal="center" vertical="center"/>
    </xf>
    <xf numFmtId="44" fontId="0" fillId="5" borderId="28" xfId="2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/>
    </xf>
    <xf numFmtId="170" fontId="0" fillId="9" borderId="4" xfId="0" applyNumberFormat="1" applyFill="1" applyBorder="1" applyAlignment="1">
      <alignment horizontal="center" vertical="center"/>
    </xf>
    <xf numFmtId="164" fontId="0" fillId="9" borderId="4" xfId="1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4" fontId="0" fillId="4" borderId="4" xfId="2" applyFont="1" applyFill="1" applyBorder="1" applyAlignment="1">
      <alignment horizontal="center" vertical="center"/>
    </xf>
    <xf numFmtId="0" fontId="0" fillId="4" borderId="4" xfId="1" applyNumberFormat="1" applyFont="1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23" borderId="4" xfId="0" applyNumberFormat="1" applyFill="1" applyBorder="1" applyAlignment="1">
      <alignment horizontal="center" vertical="center"/>
    </xf>
    <xf numFmtId="164" fontId="0" fillId="23" borderId="4" xfId="1" applyNumberFormat="1" applyFont="1" applyFill="1" applyBorder="1" applyAlignment="1">
      <alignment horizontal="center" vertical="center"/>
    </xf>
    <xf numFmtId="170" fontId="0" fillId="23" borderId="25" xfId="0" applyNumberFormat="1" applyFill="1" applyBorder="1" applyAlignment="1">
      <alignment horizontal="center" vertical="center"/>
    </xf>
    <xf numFmtId="170" fontId="0" fillId="23" borderId="1" xfId="0" applyNumberFormat="1" applyFill="1" applyBorder="1" applyAlignment="1">
      <alignment horizontal="center" vertical="center"/>
    </xf>
    <xf numFmtId="164" fontId="0" fillId="23" borderId="1" xfId="1" applyNumberFormat="1" applyFont="1" applyFill="1" applyBorder="1" applyAlignment="1">
      <alignment horizontal="center" vertical="center"/>
    </xf>
    <xf numFmtId="170" fontId="0" fillId="23" borderId="28" xfId="0" applyNumberFormat="1" applyFill="1" applyBorder="1" applyAlignment="1">
      <alignment horizontal="center" vertical="center"/>
    </xf>
    <xf numFmtId="44" fontId="0" fillId="23" borderId="25" xfId="2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 wrapText="1"/>
    </xf>
    <xf numFmtId="0" fontId="2" fillId="23" borderId="25" xfId="0" applyFont="1" applyFill="1" applyBorder="1" applyAlignment="1">
      <alignment horizontal="center" vertical="center" wrapText="1"/>
    </xf>
    <xf numFmtId="44" fontId="0" fillId="23" borderId="28" xfId="2" applyFont="1" applyFill="1" applyBorder="1" applyAlignment="1">
      <alignment horizontal="center" vertical="center"/>
    </xf>
    <xf numFmtId="0" fontId="6" fillId="5" borderId="0" xfId="0" applyFont="1" applyFill="1"/>
    <xf numFmtId="0" fontId="4" fillId="5" borderId="0" xfId="0" applyFont="1" applyFill="1"/>
    <xf numFmtId="0" fontId="11" fillId="5" borderId="0" xfId="0" applyFont="1" applyFill="1"/>
    <xf numFmtId="0" fontId="11" fillId="0" borderId="0" xfId="0" applyFont="1"/>
    <xf numFmtId="164" fontId="0" fillId="5" borderId="1" xfId="1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4" fontId="2" fillId="5" borderId="0" xfId="2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left" vertical="center"/>
    </xf>
    <xf numFmtId="44" fontId="0" fillId="5" borderId="0" xfId="2" applyFont="1" applyFill="1" applyAlignment="1">
      <alignment horizontal="center" vertical="center"/>
    </xf>
    <xf numFmtId="171" fontId="2" fillId="5" borderId="0" xfId="2" applyNumberFormat="1" applyFont="1" applyFill="1" applyAlignment="1">
      <alignment horizontal="center" vertical="center"/>
    </xf>
    <xf numFmtId="44" fontId="2" fillId="5" borderId="0" xfId="2" applyFont="1" applyFill="1" applyAlignment="1">
      <alignment horizontal="center" vertical="center"/>
    </xf>
    <xf numFmtId="0" fontId="0" fillId="5" borderId="0" xfId="1" applyNumberFormat="1" applyFont="1" applyFill="1" applyBorder="1" applyAlignment="1">
      <alignment horizontal="center" vertical="center"/>
    </xf>
    <xf numFmtId="164" fontId="0" fillId="5" borderId="0" xfId="1" applyNumberFormat="1" applyFont="1" applyFill="1" applyBorder="1" applyAlignment="1">
      <alignment horizontal="center" vertical="center"/>
    </xf>
    <xf numFmtId="44" fontId="0" fillId="5" borderId="0" xfId="2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164" fontId="0" fillId="5" borderId="4" xfId="1" applyNumberFormat="1" applyFont="1" applyFill="1" applyBorder="1" applyAlignment="1">
      <alignment horizontal="left" vertical="center"/>
    </xf>
    <xf numFmtId="0" fontId="2" fillId="24" borderId="4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0" fillId="9" borderId="4" xfId="1" applyNumberFormat="1" applyFont="1" applyFill="1" applyBorder="1" applyAlignment="1">
      <alignment horizontal="center" vertical="center"/>
    </xf>
    <xf numFmtId="164" fontId="2" fillId="4" borderId="13" xfId="1" applyNumberFormat="1" applyFont="1" applyFill="1" applyBorder="1" applyAlignment="1">
      <alignment horizontal="center" vertical="center" wrapText="1"/>
    </xf>
    <xf numFmtId="164" fontId="0" fillId="4" borderId="1" xfId="1" applyNumberFormat="1" applyFont="1" applyFill="1" applyBorder="1" applyAlignment="1">
      <alignment horizontal="center" vertical="center"/>
    </xf>
    <xf numFmtId="164" fontId="0" fillId="4" borderId="4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70" fontId="0" fillId="23" borderId="39" xfId="0" applyNumberFormat="1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170" fontId="0" fillId="23" borderId="17" xfId="0" applyNumberForma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44" fontId="0" fillId="23" borderId="39" xfId="2" applyFont="1" applyFill="1" applyBorder="1" applyAlignment="1">
      <alignment horizontal="center" vertical="center"/>
    </xf>
    <xf numFmtId="44" fontId="2" fillId="23" borderId="1" xfId="2" applyFont="1" applyFill="1" applyBorder="1" applyAlignment="1">
      <alignment horizontal="center" vertical="center"/>
    </xf>
    <xf numFmtId="44" fontId="2" fillId="23" borderId="46" xfId="2" applyFont="1" applyFill="1" applyBorder="1" applyAlignment="1">
      <alignment horizontal="center" vertical="center"/>
    </xf>
    <xf numFmtId="44" fontId="0" fillId="23" borderId="17" xfId="2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 wrapText="1"/>
    </xf>
    <xf numFmtId="44" fontId="2" fillId="23" borderId="1" xfId="2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0" fillId="2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/>
    </xf>
    <xf numFmtId="44" fontId="2" fillId="8" borderId="1" xfId="2" applyFont="1" applyFill="1" applyBorder="1" applyAlignment="1">
      <alignment horizontal="center"/>
    </xf>
    <xf numFmtId="44" fontId="2" fillId="8" borderId="1" xfId="2" applyFont="1" applyFill="1" applyBorder="1"/>
    <xf numFmtId="44" fontId="2" fillId="8" borderId="1" xfId="0" applyNumberFormat="1" applyFont="1" applyFill="1" applyBorder="1"/>
    <xf numFmtId="0" fontId="2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 wrapText="1"/>
    </xf>
    <xf numFmtId="164" fontId="2" fillId="25" borderId="1" xfId="1" applyNumberFormat="1" applyFont="1" applyFill="1" applyBorder="1" applyAlignment="1">
      <alignment horizontal="center" vertical="center"/>
    </xf>
    <xf numFmtId="164" fontId="2" fillId="25" borderId="1" xfId="1" applyNumberFormat="1" applyFont="1" applyFill="1" applyBorder="1" applyAlignment="1">
      <alignment horizontal="left" vertical="center"/>
    </xf>
    <xf numFmtId="164" fontId="2" fillId="25" borderId="1" xfId="1" applyNumberFormat="1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 vertical="center"/>
    </xf>
    <xf numFmtId="0" fontId="2" fillId="25" borderId="28" xfId="0" applyFont="1" applyFill="1" applyBorder="1" applyAlignment="1">
      <alignment horizontal="center" vertical="center" wrapText="1"/>
    </xf>
    <xf numFmtId="164" fontId="2" fillId="25" borderId="28" xfId="1" applyNumberFormat="1" applyFont="1" applyFill="1" applyBorder="1" applyAlignment="1">
      <alignment horizontal="left" vertical="center"/>
    </xf>
    <xf numFmtId="0" fontId="0" fillId="0" borderId="27" xfId="0" applyBorder="1"/>
    <xf numFmtId="0" fontId="2" fillId="8" borderId="27" xfId="0" applyFont="1" applyFill="1" applyBorder="1"/>
    <xf numFmtId="44" fontId="2" fillId="8" borderId="28" xfId="2" applyFont="1" applyFill="1" applyBorder="1"/>
    <xf numFmtId="44" fontId="2" fillId="8" borderId="28" xfId="0" applyNumberFormat="1" applyFont="1" applyFill="1" applyBorder="1"/>
    <xf numFmtId="164" fontId="2" fillId="25" borderId="28" xfId="0" applyNumberFormat="1" applyFont="1" applyFill="1" applyBorder="1"/>
    <xf numFmtId="44" fontId="0" fillId="0" borderId="28" xfId="2" applyFont="1" applyBorder="1" applyAlignment="1">
      <alignment horizontal="center"/>
    </xf>
    <xf numFmtId="0" fontId="2" fillId="8" borderId="45" xfId="0" applyFont="1" applyFill="1" applyBorder="1"/>
    <xf numFmtId="0" fontId="2" fillId="8" borderId="46" xfId="0" applyFont="1" applyFill="1" applyBorder="1" applyAlignment="1">
      <alignment horizontal="center"/>
    </xf>
    <xf numFmtId="44" fontId="2" fillId="8" borderId="46" xfId="2" applyFont="1" applyFill="1" applyBorder="1" applyAlignment="1">
      <alignment horizontal="center"/>
    </xf>
    <xf numFmtId="44" fontId="2" fillId="8" borderId="56" xfId="2" applyFont="1" applyFill="1" applyBorder="1" applyAlignment="1">
      <alignment horizontal="center"/>
    </xf>
    <xf numFmtId="44" fontId="0" fillId="5" borderId="0" xfId="2" applyFont="1" applyFill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44" fontId="0" fillId="0" borderId="28" xfId="2" applyFont="1" applyBorder="1"/>
    <xf numFmtId="0" fontId="0" fillId="0" borderId="27" xfId="0" applyBorder="1" applyAlignment="1">
      <alignment horizontal="left" vertical="center" wrapText="1"/>
    </xf>
    <xf numFmtId="44" fontId="0" fillId="0" borderId="28" xfId="2" applyFont="1" applyBorder="1" applyAlignment="1">
      <alignment horizontal="center" vertical="center"/>
    </xf>
    <xf numFmtId="17" fontId="2" fillId="0" borderId="13" xfId="0" applyNumberFormat="1" applyFont="1" applyBorder="1" applyAlignment="1">
      <alignment horizontal="center" vertical="center"/>
    </xf>
    <xf numFmtId="44" fontId="2" fillId="25" borderId="1" xfId="0" applyNumberFormat="1" applyFont="1" applyFill="1" applyBorder="1"/>
    <xf numFmtId="0" fontId="2" fillId="25" borderId="45" xfId="0" applyFont="1" applyFill="1" applyBorder="1" applyAlignment="1">
      <alignment horizontal="center"/>
    </xf>
    <xf numFmtId="0" fontId="2" fillId="25" borderId="46" xfId="0" applyFont="1" applyFill="1" applyBorder="1" applyAlignment="1">
      <alignment horizontal="center"/>
    </xf>
    <xf numFmtId="44" fontId="2" fillId="25" borderId="46" xfId="2" applyFont="1" applyFill="1" applyBorder="1" applyAlignment="1">
      <alignment horizontal="center"/>
    </xf>
    <xf numFmtId="44" fontId="2" fillId="25" borderId="56" xfId="2" applyFont="1" applyFill="1" applyBorder="1" applyAlignment="1">
      <alignment horizontal="center"/>
    </xf>
    <xf numFmtId="44" fontId="2" fillId="4" borderId="1" xfId="0" applyNumberFormat="1" applyFont="1" applyFill="1" applyBorder="1"/>
    <xf numFmtId="0" fontId="2" fillId="5" borderId="0" xfId="0" applyFont="1" applyFill="1" applyAlignment="1">
      <alignment vertical="center"/>
    </xf>
    <xf numFmtId="44" fontId="2" fillId="8" borderId="28" xfId="0" applyNumberFormat="1" applyFont="1" applyFill="1" applyBorder="1" applyAlignment="1">
      <alignment horizontal="center" vertical="center"/>
    </xf>
    <xf numFmtId="44" fontId="2" fillId="4" borderId="46" xfId="0" applyNumberFormat="1" applyFont="1" applyFill="1" applyBorder="1"/>
    <xf numFmtId="44" fontId="2" fillId="8" borderId="56" xfId="0" applyNumberFormat="1" applyFont="1" applyFill="1" applyBorder="1"/>
    <xf numFmtId="0" fontId="2" fillId="0" borderId="30" xfId="0" applyFont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 wrapText="1"/>
    </xf>
    <xf numFmtId="0" fontId="0" fillId="0" borderId="29" xfId="0" applyBorder="1"/>
    <xf numFmtId="0" fontId="2" fillId="25" borderId="27" xfId="0" applyFont="1" applyFill="1" applyBorder="1"/>
    <xf numFmtId="44" fontId="0" fillId="5" borderId="0" xfId="0" applyNumberFormat="1" applyFill="1" applyAlignment="1">
      <alignment horizontal="center" vertical="center"/>
    </xf>
    <xf numFmtId="17" fontId="2" fillId="9" borderId="1" xfId="0" applyNumberFormat="1" applyFont="1" applyFill="1" applyBorder="1" applyAlignment="1">
      <alignment horizontal="center" vertical="center" wrapText="1"/>
    </xf>
    <xf numFmtId="44" fontId="0" fillId="9" borderId="1" xfId="0" applyNumberFormat="1" applyFill="1" applyBorder="1" applyAlignment="1">
      <alignment horizontal="center" vertical="center"/>
    </xf>
    <xf numFmtId="44" fontId="0" fillId="9" borderId="1" xfId="0" applyNumberFormat="1" applyFill="1" applyBorder="1"/>
    <xf numFmtId="44" fontId="1" fillId="9" borderId="1" xfId="2" applyFont="1" applyFill="1" applyBorder="1"/>
    <xf numFmtId="44" fontId="0" fillId="9" borderId="1" xfId="2" applyFont="1" applyFill="1" applyBorder="1"/>
    <xf numFmtId="167" fontId="2" fillId="4" borderId="1" xfId="0" applyNumberFormat="1" applyFont="1" applyFill="1" applyBorder="1"/>
    <xf numFmtId="44" fontId="2" fillId="4" borderId="1" xfId="2" applyFont="1" applyFill="1" applyBorder="1"/>
    <xf numFmtId="167" fontId="2" fillId="4" borderId="1" xfId="2" applyNumberFormat="1" applyFont="1" applyFill="1" applyBorder="1"/>
    <xf numFmtId="167" fontId="0" fillId="4" borderId="1" xfId="0" applyNumberFormat="1" applyFill="1" applyBorder="1"/>
    <xf numFmtId="0" fontId="0" fillId="5" borderId="1" xfId="0" applyFill="1" applyBorder="1" applyAlignment="1">
      <alignment horizontal="left" vertical="center" wrapText="1"/>
    </xf>
    <xf numFmtId="44" fontId="2" fillId="24" borderId="1" xfId="2" applyFont="1" applyFill="1" applyBorder="1" applyAlignment="1">
      <alignment horizontal="center"/>
    </xf>
    <xf numFmtId="1" fontId="2" fillId="24" borderId="1" xfId="2" applyNumberFormat="1" applyFont="1" applyFill="1" applyBorder="1" applyAlignment="1">
      <alignment horizontal="center"/>
    </xf>
    <xf numFmtId="0" fontId="0" fillId="24" borderId="1" xfId="0" applyFill="1" applyBorder="1" applyAlignment="1">
      <alignment horizontal="center"/>
    </xf>
    <xf numFmtId="44" fontId="0" fillId="24" borderId="1" xfId="2" applyFont="1" applyFill="1" applyBorder="1" applyAlignment="1">
      <alignment horizontal="center"/>
    </xf>
    <xf numFmtId="1" fontId="0" fillId="24" borderId="1" xfId="2" applyNumberFormat="1" applyFont="1" applyFill="1" applyBorder="1" applyAlignment="1">
      <alignment horizontal="center"/>
    </xf>
    <xf numFmtId="167" fontId="0" fillId="24" borderId="1" xfId="2" applyNumberFormat="1" applyFont="1" applyFill="1" applyBorder="1" applyAlignment="1">
      <alignment horizontal="center"/>
    </xf>
    <xf numFmtId="43" fontId="2" fillId="9" borderId="1" xfId="1" applyFont="1" applyFill="1" applyBorder="1" applyAlignment="1">
      <alignment horizontal="center"/>
    </xf>
    <xf numFmtId="1" fontId="2" fillId="9" borderId="1" xfId="2" applyNumberFormat="1" applyFont="1" applyFill="1" applyBorder="1" applyAlignment="1">
      <alignment horizontal="center"/>
    </xf>
    <xf numFmtId="44" fontId="2" fillId="9" borderId="1" xfId="2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44" fontId="0" fillId="9" borderId="1" xfId="2" applyFont="1" applyFill="1" applyBorder="1" applyAlignment="1">
      <alignment horizontal="center"/>
    </xf>
    <xf numFmtId="1" fontId="0" fillId="9" borderId="1" xfId="2" applyNumberFormat="1" applyFont="1" applyFill="1" applyBorder="1" applyAlignment="1">
      <alignment horizontal="center"/>
    </xf>
    <xf numFmtId="167" fontId="0" fillId="9" borderId="1" xfId="2" applyNumberFormat="1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/>
    </xf>
    <xf numFmtId="44" fontId="2" fillId="9" borderId="28" xfId="2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167" fontId="0" fillId="9" borderId="28" xfId="2" applyNumberFormat="1" applyFont="1" applyFill="1" applyBorder="1" applyAlignment="1">
      <alignment horizontal="center"/>
    </xf>
    <xf numFmtId="44" fontId="2" fillId="9" borderId="45" xfId="2" applyFont="1" applyFill="1" applyBorder="1" applyAlignment="1">
      <alignment horizontal="center" vertical="center"/>
    </xf>
    <xf numFmtId="44" fontId="2" fillId="9" borderId="46" xfId="2" applyFont="1" applyFill="1" applyBorder="1" applyAlignment="1">
      <alignment horizontal="center" vertical="center"/>
    </xf>
    <xf numFmtId="1" fontId="2" fillId="9" borderId="46" xfId="2" applyNumberFormat="1" applyFont="1" applyFill="1" applyBorder="1" applyAlignment="1">
      <alignment horizontal="center" vertical="center"/>
    </xf>
    <xf numFmtId="44" fontId="2" fillId="9" borderId="56" xfId="2" applyFont="1" applyFill="1" applyBorder="1" applyAlignment="1">
      <alignment horizontal="center" vertical="center"/>
    </xf>
    <xf numFmtId="0" fontId="2" fillId="24" borderId="27" xfId="0" applyFont="1" applyFill="1" applyBorder="1" applyAlignment="1">
      <alignment horizontal="center"/>
    </xf>
    <xf numFmtId="44" fontId="2" fillId="24" borderId="28" xfId="2" applyFont="1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167" fontId="0" fillId="24" borderId="28" xfId="2" applyNumberFormat="1" applyFont="1" applyFill="1" applyBorder="1" applyAlignment="1">
      <alignment horizontal="center"/>
    </xf>
    <xf numFmtId="44" fontId="0" fillId="24" borderId="28" xfId="2" applyFont="1" applyFill="1" applyBorder="1" applyAlignment="1">
      <alignment horizontal="center"/>
    </xf>
    <xf numFmtId="0" fontId="2" fillId="24" borderId="45" xfId="0" applyFont="1" applyFill="1" applyBorder="1" applyAlignment="1">
      <alignment horizontal="center" vertical="center" wrapText="1"/>
    </xf>
    <xf numFmtId="44" fontId="2" fillId="24" borderId="46" xfId="2" applyFont="1" applyFill="1" applyBorder="1" applyAlignment="1">
      <alignment horizontal="center" vertical="center"/>
    </xf>
    <xf numFmtId="1" fontId="2" fillId="24" borderId="46" xfId="2" applyNumberFormat="1" applyFont="1" applyFill="1" applyBorder="1" applyAlignment="1">
      <alignment horizontal="center" vertical="center"/>
    </xf>
    <xf numFmtId="44" fontId="2" fillId="24" borderId="56" xfId="2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/>
    </xf>
    <xf numFmtId="0" fontId="2" fillId="23" borderId="27" xfId="0" applyFont="1" applyFill="1" applyBorder="1" applyAlignment="1">
      <alignment horizontal="center"/>
    </xf>
    <xf numFmtId="44" fontId="2" fillId="23" borderId="1" xfId="2" applyFont="1" applyFill="1" applyBorder="1" applyAlignment="1">
      <alignment horizontal="center"/>
    </xf>
    <xf numFmtId="1" fontId="2" fillId="23" borderId="1" xfId="2" applyNumberFormat="1" applyFont="1" applyFill="1" applyBorder="1" applyAlignment="1">
      <alignment horizontal="center"/>
    </xf>
    <xf numFmtId="44" fontId="2" fillId="23" borderId="28" xfId="2" applyFont="1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44" fontId="0" fillId="23" borderId="1" xfId="2" applyFont="1" applyFill="1" applyBorder="1" applyAlignment="1">
      <alignment horizontal="center"/>
    </xf>
    <xf numFmtId="1" fontId="0" fillId="23" borderId="1" xfId="2" applyNumberFormat="1" applyFont="1" applyFill="1" applyBorder="1" applyAlignment="1">
      <alignment horizontal="center"/>
    </xf>
    <xf numFmtId="44" fontId="0" fillId="23" borderId="28" xfId="2" applyFont="1" applyFill="1" applyBorder="1" applyAlignment="1">
      <alignment horizontal="center"/>
    </xf>
    <xf numFmtId="44" fontId="2" fillId="23" borderId="45" xfId="2" applyFont="1" applyFill="1" applyBorder="1" applyAlignment="1">
      <alignment horizontal="center" vertical="center"/>
    </xf>
    <xf numFmtId="1" fontId="2" fillId="23" borderId="46" xfId="2" applyNumberFormat="1" applyFont="1" applyFill="1" applyBorder="1" applyAlignment="1">
      <alignment horizontal="center" vertical="center"/>
    </xf>
    <xf numFmtId="44" fontId="2" fillId="23" borderId="56" xfId="2" applyFont="1" applyFill="1" applyBorder="1" applyAlignment="1">
      <alignment horizontal="center" vertical="center"/>
    </xf>
    <xf numFmtId="1" fontId="2" fillId="8" borderId="1" xfId="2" applyNumberFormat="1" applyFont="1" applyFill="1" applyBorder="1" applyAlignment="1">
      <alignment horizontal="center"/>
    </xf>
    <xf numFmtId="44" fontId="0" fillId="8" borderId="1" xfId="2" applyFont="1" applyFill="1" applyBorder="1" applyAlignment="1">
      <alignment horizontal="center"/>
    </xf>
    <xf numFmtId="1" fontId="0" fillId="8" borderId="1" xfId="2" applyNumberFormat="1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44" fontId="2" fillId="8" borderId="28" xfId="2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44" fontId="0" fillId="8" borderId="28" xfId="2" applyFont="1" applyFill="1" applyBorder="1" applyAlignment="1">
      <alignment horizontal="center"/>
    </xf>
    <xf numFmtId="44" fontId="2" fillId="8" borderId="45" xfId="2" applyFont="1" applyFill="1" applyBorder="1" applyAlignment="1">
      <alignment horizontal="center" vertical="center"/>
    </xf>
    <xf numFmtId="44" fontId="2" fillId="8" borderId="46" xfId="2" applyFont="1" applyFill="1" applyBorder="1" applyAlignment="1">
      <alignment horizontal="center" vertical="center"/>
    </xf>
    <xf numFmtId="1" fontId="2" fillId="8" borderId="46" xfId="2" applyNumberFormat="1" applyFont="1" applyFill="1" applyBorder="1" applyAlignment="1">
      <alignment horizontal="center" vertical="center"/>
    </xf>
    <xf numFmtId="44" fontId="2" fillId="8" borderId="56" xfId="2" applyFont="1" applyFill="1" applyBorder="1" applyAlignment="1">
      <alignment horizontal="center" vertical="center"/>
    </xf>
    <xf numFmtId="44" fontId="2" fillId="16" borderId="45" xfId="2" applyFont="1" applyFill="1" applyBorder="1" applyAlignment="1">
      <alignment horizontal="center" vertical="center"/>
    </xf>
    <xf numFmtId="44" fontId="2" fillId="16" borderId="46" xfId="2" applyFont="1" applyFill="1" applyBorder="1" applyAlignment="1">
      <alignment horizontal="center" vertical="center"/>
    </xf>
    <xf numFmtId="1" fontId="2" fillId="16" borderId="46" xfId="2" applyNumberFormat="1" applyFont="1" applyFill="1" applyBorder="1" applyAlignment="1">
      <alignment horizontal="center" vertical="center"/>
    </xf>
    <xf numFmtId="44" fontId="2" fillId="16" borderId="56" xfId="2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/>
    </xf>
    <xf numFmtId="1" fontId="2" fillId="7" borderId="1" xfId="2" applyNumberFormat="1" applyFont="1" applyFill="1" applyBorder="1" applyAlignment="1">
      <alignment horizontal="center"/>
    </xf>
    <xf numFmtId="44" fontId="2" fillId="7" borderId="28" xfId="2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1" fontId="0" fillId="7" borderId="1" xfId="2" applyNumberFormat="1" applyFont="1" applyFill="1" applyBorder="1" applyAlignment="1">
      <alignment horizontal="center"/>
    </xf>
    <xf numFmtId="44" fontId="0" fillId="7" borderId="28" xfId="2" applyFont="1" applyFill="1" applyBorder="1" applyAlignment="1">
      <alignment horizontal="center"/>
    </xf>
    <xf numFmtId="44" fontId="2" fillId="7" borderId="45" xfId="2" applyFont="1" applyFill="1" applyBorder="1" applyAlignment="1">
      <alignment horizontal="center" vertical="center"/>
    </xf>
    <xf numFmtId="44" fontId="2" fillId="7" borderId="46" xfId="2" applyFont="1" applyFill="1" applyBorder="1" applyAlignment="1">
      <alignment horizontal="center" vertical="center"/>
    </xf>
    <xf numFmtId="1" fontId="2" fillId="7" borderId="46" xfId="2" applyNumberFormat="1" applyFont="1" applyFill="1" applyBorder="1" applyAlignment="1">
      <alignment horizontal="center" vertical="center"/>
    </xf>
    <xf numFmtId="44" fontId="2" fillId="7" borderId="56" xfId="2" applyFont="1" applyFill="1" applyBorder="1" applyAlignment="1">
      <alignment horizontal="center" vertical="center"/>
    </xf>
    <xf numFmtId="167" fontId="2" fillId="24" borderId="28" xfId="2" applyNumberFormat="1" applyFont="1" applyFill="1" applyBorder="1" applyAlignment="1">
      <alignment horizontal="center"/>
    </xf>
    <xf numFmtId="44" fontId="2" fillId="24" borderId="45" xfId="2" applyFont="1" applyFill="1" applyBorder="1" applyAlignment="1">
      <alignment horizontal="center" vertical="center"/>
    </xf>
    <xf numFmtId="167" fontId="2" fillId="9" borderId="28" xfId="2" applyNumberFormat="1" applyFont="1" applyFill="1" applyBorder="1" applyAlignment="1">
      <alignment horizontal="center"/>
    </xf>
    <xf numFmtId="167" fontId="2" fillId="23" borderId="28" xfId="2" applyNumberFormat="1" applyFont="1" applyFill="1" applyBorder="1" applyAlignment="1">
      <alignment horizontal="center"/>
    </xf>
    <xf numFmtId="167" fontId="0" fillId="23" borderId="28" xfId="2" applyNumberFormat="1" applyFont="1" applyFill="1" applyBorder="1" applyAlignment="1">
      <alignment horizontal="center"/>
    </xf>
    <xf numFmtId="167" fontId="0" fillId="8" borderId="1" xfId="2" applyNumberFormat="1" applyFont="1" applyFill="1" applyBorder="1" applyAlignment="1">
      <alignment horizontal="center"/>
    </xf>
    <xf numFmtId="167" fontId="2" fillId="8" borderId="28" xfId="2" applyNumberFormat="1" applyFont="1" applyFill="1" applyBorder="1" applyAlignment="1">
      <alignment horizontal="center"/>
    </xf>
    <xf numFmtId="167" fontId="0" fillId="8" borderId="28" xfId="2" applyNumberFormat="1" applyFont="1" applyFill="1" applyBorder="1" applyAlignment="1">
      <alignment horizontal="center"/>
    </xf>
    <xf numFmtId="44" fontId="0" fillId="7" borderId="1" xfId="2" applyFont="1" applyFill="1" applyBorder="1"/>
    <xf numFmtId="0" fontId="2" fillId="7" borderId="29" xfId="0" applyFont="1" applyFill="1" applyBorder="1" applyAlignment="1">
      <alignment horizontal="center"/>
    </xf>
    <xf numFmtId="44" fontId="2" fillId="7" borderId="0" xfId="2" applyFont="1" applyFill="1" applyBorder="1"/>
    <xf numFmtId="167" fontId="2" fillId="7" borderId="28" xfId="2" applyNumberFormat="1" applyFont="1" applyFill="1" applyBorder="1" applyAlignment="1">
      <alignment horizontal="center"/>
    </xf>
    <xf numFmtId="167" fontId="0" fillId="7" borderId="28" xfId="2" applyNumberFormat="1" applyFont="1" applyFill="1" applyBorder="1" applyAlignment="1">
      <alignment horizontal="center"/>
    </xf>
    <xf numFmtId="44" fontId="0" fillId="16" borderId="1" xfId="2" applyFont="1" applyFill="1" applyBorder="1"/>
    <xf numFmtId="0" fontId="2" fillId="16" borderId="9" xfId="0" applyFont="1" applyFill="1" applyBorder="1"/>
    <xf numFmtId="44" fontId="2" fillId="16" borderId="0" xfId="2" applyFont="1" applyFill="1" applyBorder="1"/>
    <xf numFmtId="167" fontId="2" fillId="16" borderId="28" xfId="2" applyNumberFormat="1" applyFont="1" applyFill="1" applyBorder="1" applyAlignment="1">
      <alignment horizontal="center"/>
    </xf>
    <xf numFmtId="0" fontId="0" fillId="16" borderId="27" xfId="0" applyFill="1" applyBorder="1"/>
    <xf numFmtId="167" fontId="0" fillId="16" borderId="28" xfId="2" applyNumberFormat="1" applyFont="1" applyFill="1" applyBorder="1" applyAlignment="1">
      <alignment horizontal="center"/>
    </xf>
    <xf numFmtId="0" fontId="2" fillId="9" borderId="9" xfId="0" applyFont="1" applyFill="1" applyBorder="1"/>
    <xf numFmtId="44" fontId="2" fillId="9" borderId="0" xfId="2" applyFont="1" applyFill="1" applyBorder="1"/>
    <xf numFmtId="0" fontId="0" fillId="9" borderId="27" xfId="0" applyFill="1" applyBorder="1"/>
    <xf numFmtId="44" fontId="0" fillId="9" borderId="28" xfId="2" applyFont="1" applyFill="1" applyBorder="1"/>
    <xf numFmtId="1" fontId="0" fillId="5" borderId="0" xfId="2" applyNumberFormat="1" applyFont="1" applyFill="1"/>
    <xf numFmtId="43" fontId="0" fillId="5" borderId="0" xfId="1" applyFont="1" applyFill="1"/>
    <xf numFmtId="1" fontId="0" fillId="5" borderId="0" xfId="1" applyNumberFormat="1" applyFont="1" applyFill="1"/>
    <xf numFmtId="0" fontId="0" fillId="5" borderId="1" xfId="0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9" fontId="0" fillId="5" borderId="1" xfId="4" applyFont="1" applyFill="1" applyBorder="1" applyAlignment="1">
      <alignment horizontal="center" vertical="center"/>
    </xf>
    <xf numFmtId="10" fontId="0" fillId="5" borderId="1" xfId="4" applyNumberFormat="1" applyFont="1" applyFill="1" applyBorder="1" applyAlignment="1">
      <alignment horizontal="center" vertical="center"/>
    </xf>
    <xf numFmtId="10" fontId="0" fillId="5" borderId="0" xfId="4" applyNumberFormat="1" applyFont="1" applyFill="1" applyAlignment="1">
      <alignment horizontal="center"/>
    </xf>
    <xf numFmtId="0" fontId="0" fillId="5" borderId="1" xfId="0" applyFill="1" applyBorder="1"/>
    <xf numFmtId="9" fontId="0" fillId="5" borderId="0" xfId="4" applyFont="1" applyFill="1" applyBorder="1"/>
    <xf numFmtId="43" fontId="0" fillId="5" borderId="0" xfId="0" applyNumberFormat="1" applyFill="1"/>
    <xf numFmtId="0" fontId="0" fillId="5" borderId="0" xfId="0" applyFill="1" applyAlignment="1">
      <alignment vertical="center" wrapText="1"/>
    </xf>
    <xf numFmtId="0" fontId="2" fillId="5" borderId="27" xfId="0" applyFont="1" applyFill="1" applyBorder="1" applyAlignment="1">
      <alignment horizontal="center"/>
    </xf>
    <xf numFmtId="0" fontId="0" fillId="5" borderId="28" xfId="0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wrapText="1"/>
    </xf>
    <xf numFmtId="0" fontId="2" fillId="5" borderId="45" xfId="0" applyFont="1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/>
    </xf>
    <xf numFmtId="9" fontId="0" fillId="5" borderId="46" xfId="4" applyFont="1" applyFill="1" applyBorder="1" applyAlignment="1">
      <alignment horizontal="center" vertical="center"/>
    </xf>
    <xf numFmtId="10" fontId="0" fillId="5" borderId="56" xfId="4" applyNumberFormat="1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44" fontId="0" fillId="5" borderId="27" xfId="2" applyFont="1" applyFill="1" applyBorder="1" applyAlignment="1">
      <alignment horizontal="center" vertical="center" wrapText="1"/>
    </xf>
    <xf numFmtId="44" fontId="0" fillId="5" borderId="45" xfId="2" applyFont="1" applyFill="1" applyBorder="1" applyAlignment="1">
      <alignment horizontal="center" vertical="center"/>
    </xf>
    <xf numFmtId="44" fontId="0" fillId="5" borderId="46" xfId="2" applyFont="1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27" xfId="0" applyFill="1" applyBorder="1" applyAlignment="1">
      <alignment horizontal="left" vertical="center"/>
    </xf>
    <xf numFmtId="167" fontId="0" fillId="5" borderId="28" xfId="2" applyNumberFormat="1" applyFont="1" applyFill="1" applyBorder="1" applyAlignment="1">
      <alignment horizontal="center"/>
    </xf>
    <xf numFmtId="0" fontId="0" fillId="5" borderId="27" xfId="0" applyFill="1" applyBorder="1"/>
    <xf numFmtId="0" fontId="2" fillId="5" borderId="28" xfId="0" applyFont="1" applyFill="1" applyBorder="1" applyAlignment="1">
      <alignment horizontal="center" vertical="center"/>
    </xf>
    <xf numFmtId="44" fontId="2" fillId="5" borderId="28" xfId="2" applyFont="1" applyFill="1" applyBorder="1" applyAlignment="1">
      <alignment horizontal="center" vertical="center" wrapText="1"/>
    </xf>
    <xf numFmtId="44" fontId="0" fillId="5" borderId="28" xfId="0" applyNumberFormat="1" applyFill="1" applyBorder="1" applyAlignment="1">
      <alignment horizontal="center" vertical="center"/>
    </xf>
    <xf numFmtId="0" fontId="0" fillId="5" borderId="45" xfId="0" applyFill="1" applyBorder="1" applyAlignment="1">
      <alignment horizontal="center"/>
    </xf>
    <xf numFmtId="9" fontId="0" fillId="5" borderId="46" xfId="0" applyNumberFormat="1" applyFill="1" applyBorder="1" applyAlignment="1">
      <alignment horizontal="center"/>
    </xf>
    <xf numFmtId="44" fontId="0" fillId="5" borderId="56" xfId="2" applyFont="1" applyFill="1" applyBorder="1" applyAlignment="1">
      <alignment horizontal="center"/>
    </xf>
    <xf numFmtId="0" fontId="2" fillId="5" borderId="27" xfId="0" applyFont="1" applyFill="1" applyBorder="1"/>
    <xf numFmtId="44" fontId="2" fillId="5" borderId="28" xfId="2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wrapText="1"/>
    </xf>
    <xf numFmtId="43" fontId="0" fillId="5" borderId="28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wrapText="1"/>
    </xf>
    <xf numFmtId="0" fontId="2" fillId="4" borderId="45" xfId="0" applyFont="1" applyFill="1" applyBorder="1" applyAlignment="1">
      <alignment wrapText="1"/>
    </xf>
    <xf numFmtId="43" fontId="2" fillId="4" borderId="56" xfId="0" applyNumberFormat="1" applyFont="1" applyFill="1" applyBorder="1" applyAlignment="1">
      <alignment horizontal="center" vertical="center"/>
    </xf>
    <xf numFmtId="0" fontId="2" fillId="4" borderId="45" xfId="0" applyFont="1" applyFill="1" applyBorder="1"/>
    <xf numFmtId="0" fontId="2" fillId="4" borderId="46" xfId="0" applyFont="1" applyFill="1" applyBorder="1"/>
    <xf numFmtId="43" fontId="2" fillId="4" borderId="46" xfId="1" applyFont="1" applyFill="1" applyBorder="1" applyAlignment="1">
      <alignment horizontal="center"/>
    </xf>
    <xf numFmtId="10" fontId="2" fillId="4" borderId="46" xfId="4" applyNumberFormat="1" applyFont="1" applyFill="1" applyBorder="1" applyAlignment="1">
      <alignment horizontal="center"/>
    </xf>
    <xf numFmtId="43" fontId="2" fillId="4" borderId="56" xfId="1" applyFont="1" applyFill="1" applyBorder="1" applyAlignment="1">
      <alignment horizontal="center"/>
    </xf>
    <xf numFmtId="43" fontId="0" fillId="5" borderId="0" xfId="0" applyNumberFormat="1" applyFill="1" applyAlignment="1">
      <alignment horizontal="center" vertical="center"/>
    </xf>
    <xf numFmtId="0" fontId="0" fillId="16" borderId="10" xfId="0" applyFill="1" applyBorder="1"/>
    <xf numFmtId="0" fontId="0" fillId="16" borderId="0" xfId="0" applyFill="1" applyAlignment="1">
      <alignment horizontal="center"/>
    </xf>
    <xf numFmtId="44" fontId="0" fillId="16" borderId="10" xfId="2" applyFont="1" applyFill="1" applyBorder="1"/>
    <xf numFmtId="44" fontId="0" fillId="16" borderId="0" xfId="0" applyNumberFormat="1" applyFill="1"/>
    <xf numFmtId="0" fontId="0" fillId="16" borderId="9" xfId="0" applyFill="1" applyBorder="1"/>
    <xf numFmtId="0" fontId="0" fillId="16" borderId="0" xfId="0" applyFill="1" applyAlignment="1">
      <alignment horizontal="center" vertical="center"/>
    </xf>
    <xf numFmtId="0" fontId="2" fillId="16" borderId="28" xfId="0" applyFont="1" applyFill="1" applyBorder="1" applyAlignment="1">
      <alignment horizontal="center" vertical="center" wrapText="1"/>
    </xf>
    <xf numFmtId="0" fontId="0" fillId="16" borderId="27" xfId="0" applyFill="1" applyBorder="1" applyAlignment="1">
      <alignment horizontal="left" vertical="center"/>
    </xf>
    <xf numFmtId="43" fontId="2" fillId="16" borderId="28" xfId="1" applyFont="1" applyFill="1" applyBorder="1" applyAlignment="1">
      <alignment horizontal="center"/>
    </xf>
    <xf numFmtId="43" fontId="0" fillId="16" borderId="0" xfId="0" applyNumberFormat="1" applyFill="1"/>
    <xf numFmtId="43" fontId="0" fillId="16" borderId="0" xfId="1" applyFont="1" applyFill="1" applyBorder="1"/>
    <xf numFmtId="0" fontId="0" fillId="16" borderId="43" xfId="0" applyFill="1" applyBorder="1"/>
    <xf numFmtId="0" fontId="0" fillId="16" borderId="12" xfId="0" applyFill="1" applyBorder="1"/>
    <xf numFmtId="167" fontId="0" fillId="5" borderId="0" xfId="2" applyNumberFormat="1" applyFont="1" applyFill="1" applyBorder="1" applyAlignment="1">
      <alignment horizontal="center"/>
    </xf>
    <xf numFmtId="43" fontId="2" fillId="5" borderId="0" xfId="1" applyFont="1" applyFill="1" applyBorder="1" applyAlignment="1">
      <alignment horizontal="center"/>
    </xf>
    <xf numFmtId="0" fontId="0" fillId="24" borderId="10" xfId="0" applyFill="1" applyBorder="1"/>
    <xf numFmtId="0" fontId="0" fillId="24" borderId="0" xfId="0" applyFill="1"/>
    <xf numFmtId="0" fontId="2" fillId="24" borderId="33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/>
    </xf>
    <xf numFmtId="0" fontId="0" fillId="24" borderId="0" xfId="0" applyFill="1" applyAlignment="1">
      <alignment horizontal="center"/>
    </xf>
    <xf numFmtId="0" fontId="0" fillId="24" borderId="1" xfId="0" applyFill="1" applyBorder="1" applyAlignment="1">
      <alignment horizontal="center" vertical="center" wrapText="1"/>
    </xf>
    <xf numFmtId="167" fontId="0" fillId="24" borderId="1" xfId="2" applyNumberFormat="1" applyFont="1" applyFill="1" applyBorder="1" applyAlignment="1">
      <alignment horizontal="center" vertical="center"/>
    </xf>
    <xf numFmtId="44" fontId="0" fillId="24" borderId="10" xfId="2" applyFont="1" applyFill="1" applyBorder="1"/>
    <xf numFmtId="1" fontId="0" fillId="24" borderId="1" xfId="0" applyNumberFormat="1" applyFill="1" applyBorder="1" applyAlignment="1">
      <alignment horizontal="center" vertical="center"/>
    </xf>
    <xf numFmtId="9" fontId="0" fillId="24" borderId="1" xfId="0" applyNumberFormat="1" applyFill="1" applyBorder="1" applyAlignment="1">
      <alignment horizontal="center" vertical="center"/>
    </xf>
    <xf numFmtId="44" fontId="0" fillId="24" borderId="1" xfId="2" applyFont="1" applyFill="1" applyBorder="1" applyAlignment="1">
      <alignment horizontal="center" vertical="center" wrapText="1"/>
    </xf>
    <xf numFmtId="1" fontId="0" fillId="24" borderId="1" xfId="0" applyNumberFormat="1" applyFill="1" applyBorder="1" applyAlignment="1">
      <alignment horizontal="center"/>
    </xf>
    <xf numFmtId="9" fontId="0" fillId="24" borderId="1" xfId="4" applyFont="1" applyFill="1" applyBorder="1" applyAlignment="1">
      <alignment horizontal="center" vertical="center"/>
    </xf>
    <xf numFmtId="44" fontId="0" fillId="24" borderId="1" xfId="2" applyFont="1" applyFill="1" applyBorder="1" applyAlignment="1">
      <alignment horizontal="center" vertical="center"/>
    </xf>
    <xf numFmtId="10" fontId="0" fillId="24" borderId="1" xfId="4" applyNumberFormat="1" applyFont="1" applyFill="1" applyBorder="1" applyAlignment="1">
      <alignment horizontal="center" vertical="center"/>
    </xf>
    <xf numFmtId="44" fontId="0" fillId="24" borderId="0" xfId="0" applyNumberFormat="1" applyFill="1"/>
    <xf numFmtId="0" fontId="0" fillId="24" borderId="0" xfId="0" applyFill="1" applyAlignment="1">
      <alignment horizontal="center" vertical="center"/>
    </xf>
    <xf numFmtId="0" fontId="2" fillId="24" borderId="28" xfId="0" applyFont="1" applyFill="1" applyBorder="1" applyAlignment="1">
      <alignment horizontal="center" vertical="center" wrapText="1"/>
    </xf>
    <xf numFmtId="43" fontId="2" fillId="24" borderId="1" xfId="1" applyFont="1" applyFill="1" applyBorder="1" applyAlignment="1">
      <alignment horizontal="center"/>
    </xf>
    <xf numFmtId="9" fontId="2" fillId="24" borderId="1" xfId="4" applyFont="1" applyFill="1" applyBorder="1" applyAlignment="1">
      <alignment horizontal="center"/>
    </xf>
    <xf numFmtId="43" fontId="2" fillId="24" borderId="28" xfId="1" applyFont="1" applyFill="1" applyBorder="1" applyAlignment="1">
      <alignment horizontal="center"/>
    </xf>
    <xf numFmtId="43" fontId="0" fillId="24" borderId="0" xfId="0" applyNumberFormat="1" applyFill="1"/>
    <xf numFmtId="43" fontId="0" fillId="24" borderId="0" xfId="1" applyFont="1" applyFill="1" applyBorder="1"/>
    <xf numFmtId="0" fontId="2" fillId="24" borderId="27" xfId="0" applyFont="1" applyFill="1" applyBorder="1"/>
    <xf numFmtId="0" fontId="2" fillId="24" borderId="1" xfId="0" applyFont="1" applyFill="1" applyBorder="1"/>
    <xf numFmtId="44" fontId="2" fillId="24" borderId="1" xfId="0" applyNumberFormat="1" applyFont="1" applyFill="1" applyBorder="1"/>
    <xf numFmtId="167" fontId="2" fillId="24" borderId="1" xfId="2" applyNumberFormat="1" applyFont="1" applyFill="1" applyBorder="1" applyAlignment="1">
      <alignment horizontal="center" vertical="center" wrapText="1"/>
    </xf>
    <xf numFmtId="167" fontId="0" fillId="24" borderId="1" xfId="0" applyNumberFormat="1" applyFill="1" applyBorder="1" applyAlignment="1">
      <alignment horizontal="center" vertical="center"/>
    </xf>
    <xf numFmtId="9" fontId="0" fillId="24" borderId="1" xfId="0" applyNumberFormat="1" applyFill="1" applyBorder="1" applyAlignment="1">
      <alignment horizontal="center"/>
    </xf>
    <xf numFmtId="0" fontId="0" fillId="24" borderId="0" xfId="0" applyFill="1" applyAlignment="1">
      <alignment vertical="center" wrapText="1"/>
    </xf>
    <xf numFmtId="167" fontId="2" fillId="24" borderId="1" xfId="2" applyNumberFormat="1" applyFont="1" applyFill="1" applyBorder="1" applyAlignment="1">
      <alignment horizontal="center" vertical="center"/>
    </xf>
    <xf numFmtId="0" fontId="0" fillId="24" borderId="27" xfId="0" applyFill="1" applyBorder="1" applyAlignment="1">
      <alignment wrapText="1"/>
    </xf>
    <xf numFmtId="167" fontId="0" fillId="24" borderId="0" xfId="0" applyNumberFormat="1" applyFill="1"/>
    <xf numFmtId="0" fontId="2" fillId="24" borderId="45" xfId="0" applyFont="1" applyFill="1" applyBorder="1" applyAlignment="1">
      <alignment wrapText="1"/>
    </xf>
    <xf numFmtId="164" fontId="2" fillId="24" borderId="46" xfId="0" applyNumberFormat="1" applyFont="1" applyFill="1" applyBorder="1" applyAlignment="1">
      <alignment horizontal="center" vertical="center"/>
    </xf>
    <xf numFmtId="44" fontId="0" fillId="24" borderId="43" xfId="2" applyFont="1" applyFill="1" applyBorder="1"/>
    <xf numFmtId="167" fontId="0" fillId="24" borderId="43" xfId="0" applyNumberFormat="1" applyFill="1" applyBorder="1"/>
    <xf numFmtId="0" fontId="0" fillId="24" borderId="43" xfId="0" applyFill="1" applyBorder="1"/>
    <xf numFmtId="0" fontId="0" fillId="24" borderId="12" xfId="0" applyFill="1" applyBorder="1"/>
    <xf numFmtId="0" fontId="0" fillId="9" borderId="0" xfId="0" applyFill="1"/>
    <xf numFmtId="0" fontId="0" fillId="9" borderId="10" xfId="0" applyFill="1" applyBorder="1"/>
    <xf numFmtId="0" fontId="2" fillId="9" borderId="3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167" fontId="0" fillId="9" borderId="1" xfId="2" applyNumberFormat="1" applyFont="1" applyFill="1" applyBorder="1" applyAlignment="1">
      <alignment horizontal="center" vertical="center"/>
    </xf>
    <xf numFmtId="44" fontId="0" fillId="9" borderId="10" xfId="2" applyFont="1" applyFill="1" applyBorder="1"/>
    <xf numFmtId="1" fontId="0" fillId="9" borderId="1" xfId="0" applyNumberForma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44" fontId="0" fillId="9" borderId="1" xfId="2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/>
    </xf>
    <xf numFmtId="9" fontId="0" fillId="9" borderId="1" xfId="4" applyFont="1" applyFill="1" applyBorder="1" applyAlignment="1">
      <alignment horizontal="center" vertical="center"/>
    </xf>
    <xf numFmtId="10" fontId="0" fillId="9" borderId="1" xfId="4" applyNumberFormat="1" applyFont="1" applyFill="1" applyBorder="1" applyAlignment="1">
      <alignment horizontal="center" vertical="center"/>
    </xf>
    <xf numFmtId="44" fontId="0" fillId="9" borderId="0" xfId="0" applyNumberFormat="1" applyFill="1"/>
    <xf numFmtId="0" fontId="0" fillId="9" borderId="9" xfId="0" applyFill="1" applyBorder="1"/>
    <xf numFmtId="0" fontId="2" fillId="9" borderId="28" xfId="0" applyFont="1" applyFill="1" applyBorder="1" applyAlignment="1">
      <alignment horizontal="center" vertical="center" wrapText="1"/>
    </xf>
    <xf numFmtId="0" fontId="0" fillId="9" borderId="27" xfId="0" applyFill="1" applyBorder="1" applyAlignment="1">
      <alignment horizontal="left" vertical="center"/>
    </xf>
    <xf numFmtId="9" fontId="2" fillId="9" borderId="1" xfId="4" applyFont="1" applyFill="1" applyBorder="1" applyAlignment="1">
      <alignment horizontal="center"/>
    </xf>
    <xf numFmtId="43" fontId="2" fillId="9" borderId="28" xfId="1" applyFont="1" applyFill="1" applyBorder="1" applyAlignment="1">
      <alignment horizontal="center"/>
    </xf>
    <xf numFmtId="43" fontId="0" fillId="9" borderId="0" xfId="0" applyNumberFormat="1" applyFill="1"/>
    <xf numFmtId="43" fontId="0" fillId="9" borderId="0" xfId="1" applyFont="1" applyFill="1" applyBorder="1"/>
    <xf numFmtId="0" fontId="2" fillId="9" borderId="1" xfId="0" applyFont="1" applyFill="1" applyBorder="1"/>
    <xf numFmtId="44" fontId="2" fillId="9" borderId="1" xfId="0" applyNumberFormat="1" applyFont="1" applyFill="1" applyBorder="1"/>
    <xf numFmtId="167" fontId="2" fillId="9" borderId="1" xfId="2" applyNumberFormat="1" applyFont="1" applyFill="1" applyBorder="1" applyAlignment="1">
      <alignment horizontal="center" vertical="center" wrapText="1"/>
    </xf>
    <xf numFmtId="167" fontId="0" fillId="9" borderId="1" xfId="0" applyNumberForma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/>
    </xf>
    <xf numFmtId="0" fontId="0" fillId="9" borderId="0" xfId="0" applyFill="1" applyAlignment="1">
      <alignment vertical="center" wrapText="1"/>
    </xf>
    <xf numFmtId="164" fontId="2" fillId="9" borderId="1" xfId="2" applyNumberFormat="1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9" borderId="1" xfId="2" applyNumberFormat="1" applyFont="1" applyFill="1" applyBorder="1" applyAlignment="1">
      <alignment horizontal="center" vertical="center"/>
    </xf>
    <xf numFmtId="164" fontId="2" fillId="9" borderId="46" xfId="0" applyNumberFormat="1" applyFont="1" applyFill="1" applyBorder="1" applyAlignment="1">
      <alignment horizontal="center" vertical="center"/>
    </xf>
    <xf numFmtId="44" fontId="0" fillId="9" borderId="43" xfId="2" applyFont="1" applyFill="1" applyBorder="1"/>
    <xf numFmtId="0" fontId="0" fillId="9" borderId="43" xfId="0" applyFill="1" applyBorder="1"/>
    <xf numFmtId="0" fontId="0" fillId="9" borderId="12" xfId="0" applyFill="1" applyBorder="1"/>
    <xf numFmtId="0" fontId="0" fillId="23" borderId="0" xfId="0" applyFill="1"/>
    <xf numFmtId="0" fontId="0" fillId="23" borderId="10" xfId="0" applyFill="1" applyBorder="1"/>
    <xf numFmtId="0" fontId="2" fillId="23" borderId="33" xfId="0" applyFont="1" applyFill="1" applyBorder="1" applyAlignment="1">
      <alignment horizontal="center" vertical="center" wrapText="1"/>
    </xf>
    <xf numFmtId="0" fontId="0" fillId="23" borderId="0" xfId="0" applyFill="1" applyAlignment="1">
      <alignment horizontal="center"/>
    </xf>
    <xf numFmtId="0" fontId="0" fillId="23" borderId="1" xfId="0" applyFill="1" applyBorder="1" applyAlignment="1">
      <alignment horizontal="center" vertical="center" wrapText="1"/>
    </xf>
    <xf numFmtId="167" fontId="0" fillId="23" borderId="1" xfId="2" applyNumberFormat="1" applyFont="1" applyFill="1" applyBorder="1" applyAlignment="1">
      <alignment horizontal="center" vertical="center"/>
    </xf>
    <xf numFmtId="44" fontId="0" fillId="23" borderId="10" xfId="2" applyFont="1" applyFill="1" applyBorder="1"/>
    <xf numFmtId="1" fontId="0" fillId="23" borderId="1" xfId="0" applyNumberFormat="1" applyFill="1" applyBorder="1" applyAlignment="1">
      <alignment horizontal="center" vertical="center"/>
    </xf>
    <xf numFmtId="9" fontId="0" fillId="23" borderId="1" xfId="0" applyNumberFormat="1" applyFill="1" applyBorder="1" applyAlignment="1">
      <alignment horizontal="center" vertical="center"/>
    </xf>
    <xf numFmtId="44" fontId="0" fillId="23" borderId="1" xfId="2" applyFont="1" applyFill="1" applyBorder="1" applyAlignment="1">
      <alignment horizontal="center" vertical="center" wrapText="1"/>
    </xf>
    <xf numFmtId="1" fontId="0" fillId="23" borderId="1" xfId="0" applyNumberFormat="1" applyFill="1" applyBorder="1" applyAlignment="1">
      <alignment horizontal="center"/>
    </xf>
    <xf numFmtId="9" fontId="0" fillId="23" borderId="1" xfId="4" applyFont="1" applyFill="1" applyBorder="1" applyAlignment="1">
      <alignment horizontal="center" vertical="center"/>
    </xf>
    <xf numFmtId="10" fontId="0" fillId="23" borderId="1" xfId="4" applyNumberFormat="1" applyFont="1" applyFill="1" applyBorder="1" applyAlignment="1">
      <alignment horizontal="center" vertical="center"/>
    </xf>
    <xf numFmtId="44" fontId="0" fillId="23" borderId="0" xfId="0" applyNumberFormat="1" applyFill="1"/>
    <xf numFmtId="0" fontId="0" fillId="23" borderId="9" xfId="0" applyFill="1" applyBorder="1"/>
    <xf numFmtId="0" fontId="0" fillId="23" borderId="0" xfId="0" applyFill="1" applyAlignment="1">
      <alignment horizontal="center" vertical="center"/>
    </xf>
    <xf numFmtId="0" fontId="2" fillId="23" borderId="28" xfId="0" applyFont="1" applyFill="1" applyBorder="1" applyAlignment="1">
      <alignment horizontal="center" vertical="center" wrapText="1"/>
    </xf>
    <xf numFmtId="0" fontId="0" fillId="23" borderId="27" xfId="0" applyFill="1" applyBorder="1" applyAlignment="1">
      <alignment horizontal="left" vertical="center"/>
    </xf>
    <xf numFmtId="0" fontId="0" fillId="23" borderId="1" xfId="0" applyFill="1" applyBorder="1" applyAlignment="1">
      <alignment horizontal="center"/>
    </xf>
    <xf numFmtId="167" fontId="0" fillId="23" borderId="1" xfId="2" applyNumberFormat="1" applyFont="1" applyFill="1" applyBorder="1" applyAlignment="1">
      <alignment horizontal="center"/>
    </xf>
    <xf numFmtId="0" fontId="0" fillId="23" borderId="27" xfId="0" applyFill="1" applyBorder="1"/>
    <xf numFmtId="43" fontId="2" fillId="23" borderId="1" xfId="1" applyFont="1" applyFill="1" applyBorder="1" applyAlignment="1">
      <alignment horizontal="center"/>
    </xf>
    <xf numFmtId="9" fontId="2" fillId="23" borderId="1" xfId="4" applyFont="1" applyFill="1" applyBorder="1" applyAlignment="1">
      <alignment horizontal="center"/>
    </xf>
    <xf numFmtId="43" fontId="2" fillId="23" borderId="28" xfId="1" applyFont="1" applyFill="1" applyBorder="1" applyAlignment="1">
      <alignment horizontal="center"/>
    </xf>
    <xf numFmtId="43" fontId="0" fillId="23" borderId="0" xfId="0" applyNumberFormat="1" applyFill="1"/>
    <xf numFmtId="43" fontId="0" fillId="23" borderId="0" xfId="1" applyFont="1" applyFill="1" applyBorder="1"/>
    <xf numFmtId="0" fontId="2" fillId="23" borderId="1" xfId="0" applyFont="1" applyFill="1" applyBorder="1"/>
    <xf numFmtId="44" fontId="2" fillId="23" borderId="1" xfId="0" applyNumberFormat="1" applyFont="1" applyFill="1" applyBorder="1"/>
    <xf numFmtId="167" fontId="2" fillId="23" borderId="1" xfId="2" applyNumberFormat="1" applyFont="1" applyFill="1" applyBorder="1" applyAlignment="1">
      <alignment horizontal="center" vertical="center" wrapText="1"/>
    </xf>
    <xf numFmtId="167" fontId="0" fillId="23" borderId="1" xfId="0" applyNumberFormat="1" applyFill="1" applyBorder="1" applyAlignment="1">
      <alignment horizontal="center" vertical="center"/>
    </xf>
    <xf numFmtId="9" fontId="0" fillId="23" borderId="1" xfId="0" applyNumberFormat="1" applyFill="1" applyBorder="1" applyAlignment="1">
      <alignment horizontal="center"/>
    </xf>
    <xf numFmtId="0" fontId="0" fillId="23" borderId="0" xfId="0" applyFill="1" applyAlignment="1">
      <alignment vertical="center" wrapText="1"/>
    </xf>
    <xf numFmtId="167" fontId="2" fillId="23" borderId="1" xfId="2" applyNumberFormat="1" applyFont="1" applyFill="1" applyBorder="1" applyAlignment="1">
      <alignment horizontal="center" vertical="center"/>
    </xf>
    <xf numFmtId="164" fontId="2" fillId="23" borderId="46" xfId="0" applyNumberFormat="1" applyFont="1" applyFill="1" applyBorder="1" applyAlignment="1">
      <alignment horizontal="center" vertical="center"/>
    </xf>
    <xf numFmtId="44" fontId="0" fillId="23" borderId="43" xfId="2" applyFont="1" applyFill="1" applyBorder="1"/>
    <xf numFmtId="0" fontId="0" fillId="23" borderId="43" xfId="0" applyFill="1" applyBorder="1"/>
    <xf numFmtId="0" fontId="0" fillId="23" borderId="12" xfId="0" applyFill="1" applyBorder="1"/>
    <xf numFmtId="0" fontId="0" fillId="8" borderId="0" xfId="0" applyFill="1"/>
    <xf numFmtId="0" fontId="0" fillId="8" borderId="10" xfId="0" applyFill="1" applyBorder="1"/>
    <xf numFmtId="0" fontId="0" fillId="8" borderId="1" xfId="0" applyFill="1" applyBorder="1" applyAlignment="1">
      <alignment horizontal="center" vertical="center" wrapText="1"/>
    </xf>
    <xf numFmtId="167" fontId="0" fillId="8" borderId="1" xfId="2" applyNumberFormat="1" applyFont="1" applyFill="1" applyBorder="1" applyAlignment="1">
      <alignment horizontal="center" vertical="center"/>
    </xf>
    <xf numFmtId="44" fontId="0" fillId="8" borderId="10" xfId="2" applyFont="1" applyFill="1" applyBorder="1"/>
    <xf numFmtId="1" fontId="0" fillId="8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44" fontId="0" fillId="8" borderId="1" xfId="2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/>
    </xf>
    <xf numFmtId="9" fontId="0" fillId="8" borderId="1" xfId="4" applyFont="1" applyFill="1" applyBorder="1" applyAlignment="1">
      <alignment horizontal="center" vertical="center"/>
    </xf>
    <xf numFmtId="10" fontId="0" fillId="8" borderId="1" xfId="4" applyNumberFormat="1" applyFont="1" applyFill="1" applyBorder="1" applyAlignment="1">
      <alignment horizontal="center" vertical="center"/>
    </xf>
    <xf numFmtId="44" fontId="0" fillId="8" borderId="0" xfId="0" applyNumberFormat="1" applyFill="1"/>
    <xf numFmtId="0" fontId="0" fillId="8" borderId="9" xfId="0" applyFill="1" applyBorder="1"/>
    <xf numFmtId="0" fontId="0" fillId="8" borderId="0" xfId="0" applyFill="1" applyAlignment="1">
      <alignment horizontal="center" vertical="center"/>
    </xf>
    <xf numFmtId="0" fontId="0" fillId="8" borderId="27" xfId="0" applyFill="1" applyBorder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0" fillId="8" borderId="27" xfId="0" applyFill="1" applyBorder="1"/>
    <xf numFmtId="43" fontId="2" fillId="8" borderId="1" xfId="1" applyFont="1" applyFill="1" applyBorder="1" applyAlignment="1">
      <alignment horizontal="center"/>
    </xf>
    <xf numFmtId="164" fontId="2" fillId="8" borderId="1" xfId="1" applyNumberFormat="1" applyFont="1" applyFill="1" applyBorder="1" applyAlignment="1">
      <alignment horizontal="center"/>
    </xf>
    <xf numFmtId="9" fontId="2" fillId="8" borderId="1" xfId="4" applyFont="1" applyFill="1" applyBorder="1" applyAlignment="1">
      <alignment horizontal="center"/>
    </xf>
    <xf numFmtId="43" fontId="2" fillId="8" borderId="28" xfId="1" applyFont="1" applyFill="1" applyBorder="1" applyAlignment="1">
      <alignment horizontal="center"/>
    </xf>
    <xf numFmtId="43" fontId="0" fillId="8" borderId="0" xfId="0" applyNumberFormat="1" applyFill="1"/>
    <xf numFmtId="43" fontId="0" fillId="8" borderId="0" xfId="1" applyFont="1" applyFill="1" applyBorder="1"/>
    <xf numFmtId="167" fontId="2" fillId="8" borderId="1" xfId="2" applyNumberFormat="1" applyFont="1" applyFill="1" applyBorder="1" applyAlignment="1">
      <alignment horizontal="center" vertical="center" wrapText="1"/>
    </xf>
    <xf numFmtId="167" fontId="0" fillId="8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/>
    </xf>
    <xf numFmtId="0" fontId="0" fillId="8" borderId="0" xfId="0" applyFill="1" applyAlignment="1">
      <alignment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8" borderId="1" xfId="2" applyNumberFormat="1" applyFont="1" applyFill="1" applyBorder="1" applyAlignment="1">
      <alignment horizontal="center" vertical="center"/>
    </xf>
    <xf numFmtId="164" fontId="2" fillId="8" borderId="46" xfId="0" applyNumberFormat="1" applyFont="1" applyFill="1" applyBorder="1" applyAlignment="1">
      <alignment horizontal="center" vertical="center"/>
    </xf>
    <xf numFmtId="44" fontId="0" fillId="8" borderId="43" xfId="2" applyFont="1" applyFill="1" applyBorder="1"/>
    <xf numFmtId="0" fontId="0" fillId="8" borderId="43" xfId="0" applyFill="1" applyBorder="1"/>
    <xf numFmtId="0" fontId="0" fillId="8" borderId="12" xfId="0" applyFill="1" applyBorder="1"/>
    <xf numFmtId="0" fontId="0" fillId="22" borderId="10" xfId="0" applyFill="1" applyBorder="1"/>
    <xf numFmtId="0" fontId="0" fillId="22" borderId="0" xfId="0" applyFill="1"/>
    <xf numFmtId="0" fontId="0" fillId="22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 wrapText="1"/>
    </xf>
    <xf numFmtId="167" fontId="0" fillId="22" borderId="1" xfId="2" applyNumberFormat="1" applyFont="1" applyFill="1" applyBorder="1" applyAlignment="1">
      <alignment horizontal="center" vertical="center"/>
    </xf>
    <xf numFmtId="44" fontId="0" fillId="22" borderId="10" xfId="2" applyFont="1" applyFill="1" applyBorder="1"/>
    <xf numFmtId="1" fontId="0" fillId="22" borderId="1" xfId="0" applyNumberFormat="1" applyFill="1" applyBorder="1" applyAlignment="1">
      <alignment horizontal="center" vertical="center"/>
    </xf>
    <xf numFmtId="9" fontId="0" fillId="22" borderId="1" xfId="0" applyNumberFormat="1" applyFill="1" applyBorder="1" applyAlignment="1">
      <alignment horizontal="center" vertical="center"/>
    </xf>
    <xf numFmtId="44" fontId="0" fillId="22" borderId="1" xfId="2" applyFont="1" applyFill="1" applyBorder="1" applyAlignment="1">
      <alignment horizontal="center" vertical="center" wrapText="1"/>
    </xf>
    <xf numFmtId="1" fontId="0" fillId="22" borderId="1" xfId="0" applyNumberFormat="1" applyFill="1" applyBorder="1" applyAlignment="1">
      <alignment horizontal="center"/>
    </xf>
    <xf numFmtId="9" fontId="0" fillId="22" borderId="1" xfId="4" applyFont="1" applyFill="1" applyBorder="1" applyAlignment="1">
      <alignment horizontal="center" vertical="center"/>
    </xf>
    <xf numFmtId="44" fontId="0" fillId="22" borderId="1" xfId="2" applyFont="1" applyFill="1" applyBorder="1" applyAlignment="1">
      <alignment horizontal="center" vertical="center"/>
    </xf>
    <xf numFmtId="10" fontId="0" fillId="22" borderId="1" xfId="4" applyNumberFormat="1" applyFont="1" applyFill="1" applyBorder="1" applyAlignment="1">
      <alignment horizontal="center" vertical="center"/>
    </xf>
    <xf numFmtId="44" fontId="0" fillId="22" borderId="0" xfId="0" applyNumberFormat="1" applyFill="1"/>
    <xf numFmtId="0" fontId="0" fillId="22" borderId="0" xfId="0" applyFill="1" applyAlignment="1">
      <alignment horizontal="center" vertical="center"/>
    </xf>
    <xf numFmtId="0" fontId="2" fillId="22" borderId="28" xfId="0" applyFont="1" applyFill="1" applyBorder="1" applyAlignment="1">
      <alignment horizontal="center" vertical="center" wrapText="1"/>
    </xf>
    <xf numFmtId="0" fontId="0" fillId="22" borderId="27" xfId="0" applyFill="1" applyBorder="1" applyAlignment="1">
      <alignment horizontal="left" vertical="center"/>
    </xf>
    <xf numFmtId="0" fontId="0" fillId="22" borderId="1" xfId="0" applyFill="1" applyBorder="1" applyAlignment="1">
      <alignment horizontal="center"/>
    </xf>
    <xf numFmtId="167" fontId="0" fillId="22" borderId="1" xfId="2" applyNumberFormat="1" applyFont="1" applyFill="1" applyBorder="1" applyAlignment="1">
      <alignment horizontal="center"/>
    </xf>
    <xf numFmtId="167" fontId="0" fillId="22" borderId="28" xfId="2" applyNumberFormat="1" applyFont="1" applyFill="1" applyBorder="1" applyAlignment="1">
      <alignment horizontal="center"/>
    </xf>
    <xf numFmtId="43" fontId="2" fillId="22" borderId="1" xfId="1" applyFont="1" applyFill="1" applyBorder="1" applyAlignment="1">
      <alignment horizontal="center"/>
    </xf>
    <xf numFmtId="9" fontId="2" fillId="22" borderId="1" xfId="4" applyFont="1" applyFill="1" applyBorder="1" applyAlignment="1">
      <alignment horizontal="center"/>
    </xf>
    <xf numFmtId="43" fontId="2" fillId="22" borderId="28" xfId="1" applyFont="1" applyFill="1" applyBorder="1" applyAlignment="1">
      <alignment horizontal="center"/>
    </xf>
    <xf numFmtId="43" fontId="0" fillId="22" borderId="0" xfId="0" applyNumberFormat="1" applyFill="1"/>
    <xf numFmtId="43" fontId="0" fillId="22" borderId="0" xfId="1" applyFont="1" applyFill="1" applyBorder="1"/>
    <xf numFmtId="0" fontId="2" fillId="22" borderId="1" xfId="0" applyFont="1" applyFill="1" applyBorder="1"/>
    <xf numFmtId="44" fontId="2" fillId="22" borderId="1" xfId="0" applyNumberFormat="1" applyFont="1" applyFill="1" applyBorder="1"/>
    <xf numFmtId="44" fontId="2" fillId="22" borderId="1" xfId="2" applyFont="1" applyFill="1" applyBorder="1" applyAlignment="1">
      <alignment horizontal="center" vertical="center" wrapText="1"/>
    </xf>
    <xf numFmtId="171" fontId="0" fillId="22" borderId="1" xfId="0" applyNumberFormat="1" applyFill="1" applyBorder="1" applyAlignment="1">
      <alignment horizontal="center" vertical="center"/>
    </xf>
    <xf numFmtId="171" fontId="0" fillId="22" borderId="1" xfId="2" applyNumberFormat="1" applyFont="1" applyFill="1" applyBorder="1" applyAlignment="1">
      <alignment horizontal="center" vertical="center"/>
    </xf>
    <xf numFmtId="9" fontId="0" fillId="22" borderId="1" xfId="0" applyNumberFormat="1" applyFill="1" applyBorder="1" applyAlignment="1">
      <alignment horizontal="center"/>
    </xf>
    <xf numFmtId="171" fontId="0" fillId="22" borderId="1" xfId="2" applyNumberFormat="1" applyFont="1" applyFill="1" applyBorder="1" applyAlignment="1">
      <alignment horizontal="center"/>
    </xf>
    <xf numFmtId="0" fontId="0" fillId="22" borderId="0" xfId="0" applyFill="1" applyAlignment="1">
      <alignment vertical="center" wrapText="1"/>
    </xf>
    <xf numFmtId="44" fontId="2" fillId="22" borderId="1" xfId="2" applyFont="1" applyFill="1" applyBorder="1" applyAlignment="1">
      <alignment horizontal="center" vertical="center"/>
    </xf>
    <xf numFmtId="43" fontId="0" fillId="22" borderId="1" xfId="0" applyNumberFormat="1" applyFill="1" applyBorder="1" applyAlignment="1">
      <alignment horizontal="center" vertical="center"/>
    </xf>
    <xf numFmtId="167" fontId="0" fillId="22" borderId="1" xfId="0" applyNumberFormat="1" applyFill="1" applyBorder="1" applyAlignment="1">
      <alignment horizontal="center" vertical="center"/>
    </xf>
    <xf numFmtId="167" fontId="2" fillId="22" borderId="46" xfId="0" applyNumberFormat="1" applyFont="1" applyFill="1" applyBorder="1" applyAlignment="1">
      <alignment horizontal="center" vertical="center"/>
    </xf>
    <xf numFmtId="44" fontId="0" fillId="22" borderId="43" xfId="2" applyFont="1" applyFill="1" applyBorder="1"/>
    <xf numFmtId="0" fontId="0" fillId="22" borderId="43" xfId="0" applyFill="1" applyBorder="1"/>
    <xf numFmtId="0" fontId="0" fillId="22" borderId="12" xfId="0" applyFill="1" applyBorder="1"/>
    <xf numFmtId="44" fontId="2" fillId="9" borderId="1" xfId="2" applyFont="1" applyFill="1" applyBorder="1" applyAlignment="1">
      <alignment horizontal="center" vertical="center" wrapText="1"/>
    </xf>
    <xf numFmtId="167" fontId="2" fillId="9" borderId="1" xfId="2" applyNumberFormat="1" applyFont="1" applyFill="1" applyBorder="1" applyAlignment="1">
      <alignment horizontal="center" vertical="center"/>
    </xf>
    <xf numFmtId="44" fontId="0" fillId="23" borderId="1" xfId="0" applyNumberFormat="1" applyFill="1" applyBorder="1" applyAlignment="1">
      <alignment horizontal="center" vertical="center"/>
    </xf>
    <xf numFmtId="164" fontId="0" fillId="23" borderId="1" xfId="0" applyNumberFormat="1" applyFill="1" applyBorder="1" applyAlignment="1">
      <alignment horizontal="center" vertical="center"/>
    </xf>
    <xf numFmtId="164" fontId="0" fillId="23" borderId="1" xfId="2" applyNumberFormat="1" applyFont="1" applyFill="1" applyBorder="1" applyAlignment="1">
      <alignment horizontal="center" vertical="center"/>
    </xf>
    <xf numFmtId="43" fontId="2" fillId="23" borderId="46" xfId="0" applyNumberFormat="1" applyFont="1" applyFill="1" applyBorder="1" applyAlignment="1">
      <alignment horizontal="center" vertical="center"/>
    </xf>
    <xf numFmtId="44" fontId="0" fillId="8" borderId="1" xfId="0" applyNumberFormat="1" applyFill="1" applyBorder="1" applyAlignment="1">
      <alignment horizontal="center" vertical="center"/>
    </xf>
    <xf numFmtId="167" fontId="2" fillId="8" borderId="1" xfId="2" applyNumberFormat="1" applyFont="1" applyFill="1" applyBorder="1" applyAlignment="1">
      <alignment horizontal="center" vertical="center"/>
    </xf>
    <xf numFmtId="167" fontId="2" fillId="8" borderId="46" xfId="0" applyNumberFormat="1" applyFont="1" applyFill="1" applyBorder="1" applyAlignment="1">
      <alignment horizontal="center" vertical="center"/>
    </xf>
    <xf numFmtId="167" fontId="0" fillId="8" borderId="43" xfId="2" applyNumberFormat="1" applyFont="1" applyFill="1" applyBorder="1"/>
    <xf numFmtId="164" fontId="2" fillId="8" borderId="28" xfId="1" applyNumberFormat="1" applyFont="1" applyFill="1" applyBorder="1" applyAlignment="1">
      <alignment horizontal="center"/>
    </xf>
    <xf numFmtId="164" fontId="0" fillId="8" borderId="0" xfId="0" applyNumberFormat="1" applyFill="1"/>
    <xf numFmtId="164" fontId="0" fillId="8" borderId="43" xfId="0" applyNumberFormat="1" applyFill="1" applyBorder="1"/>
    <xf numFmtId="164" fontId="2" fillId="23" borderId="28" xfId="1" applyNumberFormat="1" applyFont="1" applyFill="1" applyBorder="1" applyAlignment="1">
      <alignment horizontal="center"/>
    </xf>
    <xf numFmtId="167" fontId="0" fillId="23" borderId="43" xfId="2" applyNumberFormat="1" applyFont="1" applyFill="1" applyBorder="1"/>
    <xf numFmtId="44" fontId="2" fillId="16" borderId="1" xfId="2" applyFont="1" applyFill="1" applyBorder="1" applyAlignment="1">
      <alignment horizontal="center" vertical="center" wrapText="1"/>
    </xf>
    <xf numFmtId="167" fontId="2" fillId="16" borderId="1" xfId="2" applyNumberFormat="1" applyFont="1" applyFill="1" applyBorder="1" applyAlignment="1">
      <alignment horizontal="center" vertical="center"/>
    </xf>
    <xf numFmtId="167" fontId="2" fillId="16" borderId="46" xfId="0" applyNumberFormat="1" applyFont="1" applyFill="1" applyBorder="1" applyAlignment="1">
      <alignment horizontal="center" vertical="center"/>
    </xf>
    <xf numFmtId="167" fontId="0" fillId="16" borderId="43" xfId="2" applyNumberFormat="1" applyFont="1" applyFill="1" applyBorder="1"/>
    <xf numFmtId="0" fontId="2" fillId="8" borderId="1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2" fillId="24" borderId="30" xfId="0" applyFont="1" applyFill="1" applyBorder="1" applyAlignment="1">
      <alignment vertical="center"/>
    </xf>
    <xf numFmtId="0" fontId="2" fillId="24" borderId="27" xfId="0" applyFont="1" applyFill="1" applyBorder="1" applyAlignment="1">
      <alignment wrapText="1"/>
    </xf>
    <xf numFmtId="0" fontId="2" fillId="24" borderId="27" xfId="0" applyFont="1" applyFill="1" applyBorder="1" applyAlignment="1">
      <alignment vertical="center" wrapText="1"/>
    </xf>
    <xf numFmtId="0" fontId="0" fillId="24" borderId="9" xfId="0" applyFill="1" applyBorder="1"/>
    <xf numFmtId="0" fontId="0" fillId="24" borderId="27" xfId="0" applyFill="1" applyBorder="1" applyAlignment="1">
      <alignment vertical="center"/>
    </xf>
    <xf numFmtId="0" fontId="0" fillId="24" borderId="27" xfId="0" applyFill="1" applyBorder="1"/>
    <xf numFmtId="0" fontId="2" fillId="24" borderId="27" xfId="0" applyFont="1" applyFill="1" applyBorder="1" applyAlignment="1">
      <alignment vertical="center"/>
    </xf>
    <xf numFmtId="0" fontId="0" fillId="24" borderId="27" xfId="0" applyFill="1" applyBorder="1" applyAlignment="1">
      <alignment vertical="center" wrapText="1"/>
    </xf>
    <xf numFmtId="0" fontId="0" fillId="5" borderId="0" xfId="0" applyFill="1" applyAlignment="1">
      <alignment horizontal="left"/>
    </xf>
    <xf numFmtId="0" fontId="2" fillId="9" borderId="27" xfId="0" applyFont="1" applyFill="1" applyBorder="1" applyAlignment="1">
      <alignment horizontal="left" vertical="center" wrapText="1"/>
    </xf>
    <xf numFmtId="0" fontId="0" fillId="9" borderId="9" xfId="0" applyFill="1" applyBorder="1" applyAlignment="1">
      <alignment horizontal="left"/>
    </xf>
    <xf numFmtId="0" fontId="2" fillId="9" borderId="27" xfId="0" applyFont="1" applyFill="1" applyBorder="1" applyAlignment="1">
      <alignment horizontal="left" vertical="center"/>
    </xf>
    <xf numFmtId="0" fontId="0" fillId="9" borderId="27" xfId="0" applyFill="1" applyBorder="1" applyAlignment="1">
      <alignment horizontal="left"/>
    </xf>
    <xf numFmtId="0" fontId="2" fillId="9" borderId="27" xfId="0" applyFont="1" applyFill="1" applyBorder="1" applyAlignment="1">
      <alignment horizontal="left"/>
    </xf>
    <xf numFmtId="0" fontId="0" fillId="9" borderId="27" xfId="0" applyFill="1" applyBorder="1" applyAlignment="1">
      <alignment horizontal="left" vertical="center" wrapText="1"/>
    </xf>
    <xf numFmtId="0" fontId="0" fillId="9" borderId="27" xfId="0" applyFill="1" applyBorder="1" applyAlignment="1">
      <alignment horizontal="left" wrapText="1"/>
    </xf>
    <xf numFmtId="0" fontId="2" fillId="9" borderId="45" xfId="0" applyFont="1" applyFill="1" applyBorder="1" applyAlignment="1">
      <alignment horizontal="left" wrapText="1"/>
    </xf>
    <xf numFmtId="0" fontId="0" fillId="16" borderId="0" xfId="0" applyFill="1" applyAlignment="1">
      <alignment horizontal="left"/>
    </xf>
    <xf numFmtId="0" fontId="2" fillId="23" borderId="27" xfId="0" applyFont="1" applyFill="1" applyBorder="1" applyAlignment="1">
      <alignment horizontal="left" vertical="center"/>
    </xf>
    <xf numFmtId="0" fontId="2" fillId="23" borderId="27" xfId="0" applyFont="1" applyFill="1" applyBorder="1" applyAlignment="1">
      <alignment horizontal="left" vertical="center" wrapText="1"/>
    </xf>
    <xf numFmtId="0" fontId="0" fillId="23" borderId="27" xfId="0" applyFill="1" applyBorder="1" applyAlignment="1">
      <alignment horizontal="left" vertical="center" wrapText="1"/>
    </xf>
    <xf numFmtId="0" fontId="0" fillId="23" borderId="9" xfId="0" applyFill="1" applyBorder="1" applyAlignment="1">
      <alignment horizontal="left" vertical="center"/>
    </xf>
    <xf numFmtId="0" fontId="2" fillId="23" borderId="45" xfId="0" applyFont="1" applyFill="1" applyBorder="1" applyAlignment="1">
      <alignment horizontal="left" vertical="center" wrapText="1"/>
    </xf>
    <xf numFmtId="0" fontId="0" fillId="12" borderId="0" xfId="0" applyFill="1" applyAlignment="1">
      <alignment horizontal="left" vertical="center"/>
    </xf>
    <xf numFmtId="0" fontId="0" fillId="5" borderId="43" xfId="0" applyFill="1" applyBorder="1" applyAlignment="1">
      <alignment horizontal="left"/>
    </xf>
    <xf numFmtId="0" fontId="2" fillId="8" borderId="27" xfId="0" applyFont="1" applyFill="1" applyBorder="1" applyAlignment="1">
      <alignment horizontal="left" vertical="center"/>
    </xf>
    <xf numFmtId="0" fontId="0" fillId="8" borderId="27" xfId="0" applyFill="1" applyBorder="1" applyAlignment="1">
      <alignment horizontal="left" vertical="center" wrapText="1"/>
    </xf>
    <xf numFmtId="0" fontId="0" fillId="5" borderId="43" xfId="0" applyFill="1" applyBorder="1" applyAlignment="1">
      <alignment horizontal="left" vertical="center"/>
    </xf>
    <xf numFmtId="0" fontId="0" fillId="8" borderId="9" xfId="0" applyFill="1" applyBorder="1" applyAlignment="1">
      <alignment horizontal="left" vertical="center"/>
    </xf>
    <xf numFmtId="0" fontId="2" fillId="8" borderId="45" xfId="0" applyFont="1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/>
    </xf>
    <xf numFmtId="0" fontId="2" fillId="22" borderId="10" xfId="0" applyFont="1" applyFill="1" applyBorder="1" applyAlignment="1">
      <alignment horizontal="center" vertical="center" wrapText="1"/>
    </xf>
    <xf numFmtId="0" fontId="2" fillId="22" borderId="27" xfId="0" applyFont="1" applyFill="1" applyBorder="1" applyAlignment="1">
      <alignment horizontal="left" vertical="center"/>
    </xf>
    <xf numFmtId="0" fontId="2" fillId="22" borderId="27" xfId="0" applyFont="1" applyFill="1" applyBorder="1" applyAlignment="1">
      <alignment horizontal="left" vertical="center" wrapText="1"/>
    </xf>
    <xf numFmtId="0" fontId="0" fillId="22" borderId="27" xfId="0" applyFill="1" applyBorder="1" applyAlignment="1">
      <alignment horizontal="left" vertical="center" wrapText="1"/>
    </xf>
    <xf numFmtId="0" fontId="0" fillId="22" borderId="9" xfId="0" applyFill="1" applyBorder="1" applyAlignment="1">
      <alignment horizontal="left" vertical="center"/>
    </xf>
    <xf numFmtId="0" fontId="2" fillId="22" borderId="45" xfId="0" applyFont="1" applyFill="1" applyBorder="1" applyAlignment="1">
      <alignment horizontal="left" vertical="center" wrapText="1"/>
    </xf>
    <xf numFmtId="0" fontId="0" fillId="20" borderId="0" xfId="0" applyFill="1" applyAlignment="1">
      <alignment horizontal="left" vertical="center"/>
    </xf>
    <xf numFmtId="0" fontId="2" fillId="9" borderId="27" xfId="0" applyFont="1" applyFill="1" applyBorder="1" applyAlignment="1">
      <alignment horizontal="left" wrapText="1"/>
    </xf>
    <xf numFmtId="0" fontId="2" fillId="8" borderId="27" xfId="0" applyFont="1" applyFill="1" applyBorder="1" applyAlignment="1">
      <alignment horizontal="left" vertical="center" wrapText="1"/>
    </xf>
    <xf numFmtId="0" fontId="2" fillId="9" borderId="27" xfId="0" applyFont="1" applyFill="1" applyBorder="1" applyAlignment="1">
      <alignment vertical="center"/>
    </xf>
    <xf numFmtId="0" fontId="0" fillId="9" borderId="27" xfId="0" applyFill="1" applyBorder="1" applyAlignment="1">
      <alignment horizontal="center" vertical="center"/>
    </xf>
    <xf numFmtId="0" fontId="0" fillId="9" borderId="9" xfId="0" applyFill="1" applyBorder="1" applyAlignment="1">
      <alignment horizontal="left" vertical="center"/>
    </xf>
    <xf numFmtId="0" fontId="2" fillId="9" borderId="45" xfId="0" applyFont="1" applyFill="1" applyBorder="1" applyAlignment="1">
      <alignment horizontal="left" vertical="center" wrapText="1"/>
    </xf>
    <xf numFmtId="0" fontId="0" fillId="21" borderId="0" xfId="0" applyFill="1" applyAlignment="1">
      <alignment horizontal="left" vertical="center"/>
    </xf>
    <xf numFmtId="0" fontId="2" fillId="23" borderId="27" xfId="0" applyFont="1" applyFill="1" applyBorder="1" applyAlignment="1">
      <alignment vertical="center"/>
    </xf>
    <xf numFmtId="0" fontId="0" fillId="11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" fillId="16" borderId="10" xfId="0" applyFont="1" applyFill="1" applyBorder="1" applyAlignment="1">
      <alignment horizontal="center" vertical="center" wrapText="1"/>
    </xf>
    <xf numFmtId="0" fontId="2" fillId="16" borderId="27" xfId="0" applyFont="1" applyFill="1" applyBorder="1" applyAlignment="1">
      <alignment horizontal="left" vertical="center" wrapText="1"/>
    </xf>
    <xf numFmtId="0" fontId="2" fillId="16" borderId="27" xfId="0" applyFont="1" applyFill="1" applyBorder="1" applyAlignment="1">
      <alignment horizontal="left" vertical="center"/>
    </xf>
    <xf numFmtId="0" fontId="0" fillId="16" borderId="27" xfId="0" applyFill="1" applyBorder="1" applyAlignment="1">
      <alignment horizontal="left" vertical="center" wrapText="1"/>
    </xf>
    <xf numFmtId="0" fontId="0" fillId="16" borderId="9" xfId="0" applyFill="1" applyBorder="1" applyAlignment="1">
      <alignment horizontal="left" vertical="center"/>
    </xf>
    <xf numFmtId="0" fontId="2" fillId="16" borderId="45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9" borderId="1" xfId="0" applyFill="1" applyBorder="1"/>
    <xf numFmtId="0" fontId="0" fillId="19" borderId="0" xfId="0" applyFill="1" applyAlignment="1">
      <alignment horizontal="left" vertical="center"/>
    </xf>
    <xf numFmtId="0" fontId="16" fillId="5" borderId="0" xfId="0" applyFont="1" applyFill="1"/>
    <xf numFmtId="167" fontId="0" fillId="5" borderId="0" xfId="2" applyNumberFormat="1" applyFont="1" applyFill="1" applyBorder="1" applyAlignment="1"/>
    <xf numFmtId="167" fontId="0" fillId="8" borderId="1" xfId="2" applyNumberFormat="1" applyFont="1" applyFill="1" applyBorder="1" applyAlignment="1"/>
    <xf numFmtId="44" fontId="0" fillId="23" borderId="1" xfId="0" applyNumberFormat="1" applyFill="1" applyBorder="1"/>
    <xf numFmtId="0" fontId="0" fillId="23" borderId="1" xfId="0" applyFill="1" applyBorder="1" applyAlignment="1">
      <alignment horizontal="center" vertical="top"/>
    </xf>
    <xf numFmtId="167" fontId="0" fillId="23" borderId="1" xfId="2" applyNumberFormat="1" applyFont="1" applyFill="1" applyBorder="1" applyAlignment="1"/>
    <xf numFmtId="17" fontId="0" fillId="24" borderId="1" xfId="0" applyNumberFormat="1" applyFill="1" applyBorder="1" applyAlignment="1">
      <alignment horizontal="center"/>
    </xf>
    <xf numFmtId="44" fontId="0" fillId="24" borderId="1" xfId="0" applyNumberFormat="1" applyFill="1" applyBorder="1"/>
    <xf numFmtId="44" fontId="0" fillId="24" borderId="1" xfId="2" applyFont="1" applyFill="1" applyBorder="1" applyAlignment="1"/>
    <xf numFmtId="0" fontId="6" fillId="4" borderId="11" xfId="0" applyFont="1" applyFill="1" applyBorder="1"/>
    <xf numFmtId="44" fontId="6" fillId="4" borderId="43" xfId="0" applyNumberFormat="1" applyFont="1" applyFill="1" applyBorder="1"/>
    <xf numFmtId="44" fontId="6" fillId="4" borderId="12" xfId="0" applyNumberFormat="1" applyFont="1" applyFill="1" applyBorder="1"/>
    <xf numFmtId="41" fontId="0" fillId="5" borderId="0" xfId="3" applyFont="1" applyFill="1"/>
    <xf numFmtId="41" fontId="2" fillId="5" borderId="0" xfId="0" applyNumberFormat="1" applyFont="1" applyFill="1"/>
    <xf numFmtId="41" fontId="0" fillId="5" borderId="0" xfId="0" applyNumberFormat="1" applyFill="1"/>
    <xf numFmtId="44" fontId="2" fillId="5" borderId="0" xfId="0" applyNumberFormat="1" applyFont="1" applyFill="1"/>
    <xf numFmtId="0" fontId="2" fillId="0" borderId="1" xfId="0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41" fontId="2" fillId="4" borderId="0" xfId="0" applyNumberFormat="1" applyFont="1" applyFill="1"/>
    <xf numFmtId="17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44" fontId="2" fillId="8" borderId="1" xfId="0" applyNumberFormat="1" applyFont="1" applyFill="1" applyBorder="1" applyAlignment="1">
      <alignment vertical="center"/>
    </xf>
    <xf numFmtId="0" fontId="20" fillId="5" borderId="0" xfId="0" applyFont="1" applyFill="1"/>
    <xf numFmtId="0" fontId="2" fillId="9" borderId="1" xfId="0" applyFont="1" applyFill="1" applyBorder="1" applyAlignment="1">
      <alignment vertical="center"/>
    </xf>
    <xf numFmtId="41" fontId="0" fillId="9" borderId="1" xfId="3" applyFont="1" applyFill="1" applyBorder="1"/>
    <xf numFmtId="3" fontId="0" fillId="9" borderId="1" xfId="0" applyNumberFormat="1" applyFill="1" applyBorder="1" applyAlignment="1">
      <alignment horizontal="right"/>
    </xf>
    <xf numFmtId="41" fontId="0" fillId="9" borderId="1" xfId="0" applyNumberFormat="1" applyFill="1" applyBorder="1"/>
    <xf numFmtId="3" fontId="2" fillId="9" borderId="1" xfId="0" applyNumberFormat="1" applyFont="1" applyFill="1" applyBorder="1"/>
    <xf numFmtId="41" fontId="2" fillId="9" borderId="1" xfId="0" applyNumberFormat="1" applyFont="1" applyFill="1" applyBorder="1"/>
    <xf numFmtId="41" fontId="2" fillId="9" borderId="1" xfId="3" applyFont="1" applyFill="1" applyBorder="1"/>
    <xf numFmtId="3" fontId="0" fillId="9" borderId="1" xfId="0" applyNumberFormat="1" applyFill="1" applyBorder="1"/>
    <xf numFmtId="3" fontId="2" fillId="9" borderId="1" xfId="0" applyNumberFormat="1" applyFont="1" applyFill="1" applyBorder="1" applyAlignment="1">
      <alignment horizontal="right"/>
    </xf>
    <xf numFmtId="41" fontId="0" fillId="9" borderId="1" xfId="3" applyFont="1" applyFill="1" applyBorder="1" applyAlignment="1">
      <alignment horizontal="right"/>
    </xf>
    <xf numFmtId="165" fontId="0" fillId="9" borderId="1" xfId="3" applyNumberFormat="1" applyFont="1" applyFill="1" applyBorder="1"/>
    <xf numFmtId="41" fontId="0" fillId="9" borderId="0" xfId="3" applyFont="1" applyFill="1" applyBorder="1"/>
    <xf numFmtId="165" fontId="0" fillId="9" borderId="28" xfId="3" applyNumberFormat="1" applyFont="1" applyFill="1" applyBorder="1"/>
    <xf numFmtId="0" fontId="0" fillId="9" borderId="45" xfId="0" applyFill="1" applyBorder="1"/>
    <xf numFmtId="0" fontId="0" fillId="9" borderId="46" xfId="0" applyFill="1" applyBorder="1"/>
    <xf numFmtId="0" fontId="2" fillId="9" borderId="46" xfId="0" applyFont="1" applyFill="1" applyBorder="1"/>
    <xf numFmtId="41" fontId="2" fillId="9" borderId="46" xfId="0" applyNumberFormat="1" applyFont="1" applyFill="1" applyBorder="1"/>
    <xf numFmtId="41" fontId="2" fillId="9" borderId="46" xfId="3" applyFont="1" applyFill="1" applyBorder="1"/>
    <xf numFmtId="166" fontId="2" fillId="9" borderId="46" xfId="3" applyNumberFormat="1" applyFont="1" applyFill="1" applyBorder="1"/>
    <xf numFmtId="166" fontId="2" fillId="9" borderId="56" xfId="3" applyNumberFormat="1" applyFont="1" applyFill="1" applyBorder="1"/>
    <xf numFmtId="0" fontId="2" fillId="16" borderId="1" xfId="0" applyFont="1" applyFill="1" applyBorder="1" applyAlignment="1">
      <alignment vertical="center"/>
    </xf>
    <xf numFmtId="41" fontId="0" fillId="16" borderId="1" xfId="3" applyFont="1" applyFill="1" applyBorder="1"/>
    <xf numFmtId="3" fontId="0" fillId="16" borderId="1" xfId="0" applyNumberFormat="1" applyFill="1" applyBorder="1" applyAlignment="1">
      <alignment horizontal="right"/>
    </xf>
    <xf numFmtId="41" fontId="0" fillId="16" borderId="1" xfId="0" applyNumberFormat="1" applyFill="1" applyBorder="1"/>
    <xf numFmtId="3" fontId="2" fillId="16" borderId="1" xfId="0" applyNumberFormat="1" applyFont="1" applyFill="1" applyBorder="1"/>
    <xf numFmtId="41" fontId="2" fillId="16" borderId="1" xfId="0" applyNumberFormat="1" applyFont="1" applyFill="1" applyBorder="1"/>
    <xf numFmtId="41" fontId="2" fillId="16" borderId="1" xfId="3" applyFont="1" applyFill="1" applyBorder="1"/>
    <xf numFmtId="3" fontId="0" fillId="16" borderId="1" xfId="0" applyNumberFormat="1" applyFill="1" applyBorder="1"/>
    <xf numFmtId="3" fontId="2" fillId="16" borderId="1" xfId="0" applyNumberFormat="1" applyFont="1" applyFill="1" applyBorder="1" applyAlignment="1">
      <alignment horizontal="right"/>
    </xf>
    <xf numFmtId="41" fontId="0" fillId="16" borderId="1" xfId="3" applyFont="1" applyFill="1" applyBorder="1" applyAlignment="1">
      <alignment horizontal="right"/>
    </xf>
    <xf numFmtId="165" fontId="0" fillId="16" borderId="1" xfId="3" applyNumberFormat="1" applyFont="1" applyFill="1" applyBorder="1"/>
    <xf numFmtId="0" fontId="19" fillId="5" borderId="0" xfId="0" applyFont="1" applyFill="1"/>
    <xf numFmtId="0" fontId="21" fillId="5" borderId="0" xfId="0" applyFont="1" applyFill="1"/>
    <xf numFmtId="0" fontId="22" fillId="5" borderId="0" xfId="0" applyFont="1" applyFill="1"/>
    <xf numFmtId="0" fontId="19" fillId="0" borderId="0" xfId="0" applyFont="1"/>
    <xf numFmtId="0" fontId="21" fillId="0" borderId="0" xfId="0" applyFont="1"/>
    <xf numFmtId="0" fontId="2" fillId="16" borderId="27" xfId="0" applyFont="1" applyFill="1" applyBorder="1" applyAlignment="1">
      <alignment vertical="center"/>
    </xf>
    <xf numFmtId="0" fontId="0" fillId="16" borderId="27" xfId="0" applyFill="1" applyBorder="1" applyAlignment="1">
      <alignment horizontal="center" vertical="center"/>
    </xf>
    <xf numFmtId="41" fontId="0" fillId="16" borderId="0" xfId="3" applyFont="1" applyFill="1" applyBorder="1"/>
    <xf numFmtId="165" fontId="0" fillId="16" borderId="28" xfId="3" applyNumberFormat="1" applyFont="1" applyFill="1" applyBorder="1"/>
    <xf numFmtId="0" fontId="0" fillId="16" borderId="45" xfId="0" applyFill="1" applyBorder="1"/>
    <xf numFmtId="0" fontId="0" fillId="16" borderId="46" xfId="0" applyFill="1" applyBorder="1"/>
    <xf numFmtId="0" fontId="2" fillId="16" borderId="46" xfId="0" applyFont="1" applyFill="1" applyBorder="1"/>
    <xf numFmtId="41" fontId="2" fillId="16" borderId="46" xfId="0" applyNumberFormat="1" applyFont="1" applyFill="1" applyBorder="1"/>
    <xf numFmtId="41" fontId="2" fillId="16" borderId="46" xfId="3" applyFont="1" applyFill="1" applyBorder="1"/>
    <xf numFmtId="166" fontId="2" fillId="16" borderId="46" xfId="3" applyNumberFormat="1" applyFont="1" applyFill="1" applyBorder="1"/>
    <xf numFmtId="166" fontId="2" fillId="16" borderId="56" xfId="3" applyNumberFormat="1" applyFont="1" applyFill="1" applyBorder="1"/>
    <xf numFmtId="0" fontId="2" fillId="23" borderId="1" xfId="0" applyFont="1" applyFill="1" applyBorder="1" applyAlignment="1">
      <alignment vertical="center"/>
    </xf>
    <xf numFmtId="0" fontId="2" fillId="23" borderId="1" xfId="0" applyFont="1" applyFill="1" applyBorder="1" applyAlignment="1">
      <alignment horizontal="center" wrapText="1"/>
    </xf>
    <xf numFmtId="0" fontId="0" fillId="23" borderId="27" xfId="0" applyFill="1" applyBorder="1" applyAlignment="1">
      <alignment horizontal="center" vertical="center"/>
    </xf>
    <xf numFmtId="0" fontId="0" fillId="23" borderId="1" xfId="0" applyFill="1" applyBorder="1"/>
    <xf numFmtId="41" fontId="0" fillId="23" borderId="1" xfId="3" applyFont="1" applyFill="1" applyBorder="1"/>
    <xf numFmtId="3" fontId="0" fillId="23" borderId="1" xfId="0" applyNumberFormat="1" applyFill="1" applyBorder="1" applyAlignment="1">
      <alignment horizontal="right"/>
    </xf>
    <xf numFmtId="41" fontId="0" fillId="23" borderId="1" xfId="0" applyNumberFormat="1" applyFill="1" applyBorder="1"/>
    <xf numFmtId="3" fontId="2" fillId="23" borderId="1" xfId="0" applyNumberFormat="1" applyFont="1" applyFill="1" applyBorder="1"/>
    <xf numFmtId="41" fontId="2" fillId="23" borderId="1" xfId="0" applyNumberFormat="1" applyFont="1" applyFill="1" applyBorder="1"/>
    <xf numFmtId="41" fontId="2" fillId="23" borderId="1" xfId="3" applyFont="1" applyFill="1" applyBorder="1"/>
    <xf numFmtId="41" fontId="0" fillId="23" borderId="0" xfId="3" applyFont="1" applyFill="1" applyBorder="1"/>
    <xf numFmtId="3" fontId="0" fillId="23" borderId="1" xfId="0" applyNumberFormat="1" applyFill="1" applyBorder="1"/>
    <xf numFmtId="3" fontId="2" fillId="23" borderId="1" xfId="0" applyNumberFormat="1" applyFont="1" applyFill="1" applyBorder="1" applyAlignment="1">
      <alignment horizontal="right"/>
    </xf>
    <xf numFmtId="41" fontId="0" fillId="23" borderId="1" xfId="3" applyFont="1" applyFill="1" applyBorder="1" applyAlignment="1">
      <alignment horizontal="right"/>
    </xf>
    <xf numFmtId="165" fontId="0" fillId="23" borderId="1" xfId="3" applyNumberFormat="1" applyFont="1" applyFill="1" applyBorder="1"/>
    <xf numFmtId="165" fontId="0" fillId="23" borderId="28" xfId="3" applyNumberFormat="1" applyFont="1" applyFill="1" applyBorder="1"/>
    <xf numFmtId="0" fontId="0" fillId="23" borderId="45" xfId="0" applyFill="1" applyBorder="1"/>
    <xf numFmtId="0" fontId="0" fillId="23" borderId="46" xfId="0" applyFill="1" applyBorder="1"/>
    <xf numFmtId="0" fontId="2" fillId="23" borderId="46" xfId="0" applyFont="1" applyFill="1" applyBorder="1"/>
    <xf numFmtId="41" fontId="2" fillId="23" borderId="46" xfId="0" applyNumberFormat="1" applyFont="1" applyFill="1" applyBorder="1"/>
    <xf numFmtId="41" fontId="2" fillId="23" borderId="46" xfId="3" applyFont="1" applyFill="1" applyBorder="1"/>
    <xf numFmtId="166" fontId="2" fillId="23" borderId="46" xfId="3" applyNumberFormat="1" applyFont="1" applyFill="1" applyBorder="1"/>
    <xf numFmtId="166" fontId="2" fillId="23" borderId="56" xfId="3" applyNumberFormat="1" applyFont="1" applyFill="1" applyBorder="1"/>
    <xf numFmtId="41" fontId="2" fillId="4" borderId="46" xfId="0" applyNumberFormat="1" applyFont="1" applyFill="1" applyBorder="1"/>
    <xf numFmtId="41" fontId="2" fillId="4" borderId="46" xfId="3" applyFont="1" applyFill="1" applyBorder="1"/>
    <xf numFmtId="0" fontId="2" fillId="8" borderId="27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0" fillId="8" borderId="27" xfId="0" applyFill="1" applyBorder="1" applyAlignment="1">
      <alignment horizontal="center" vertical="center"/>
    </xf>
    <xf numFmtId="0" fontId="0" fillId="8" borderId="1" xfId="0" applyFill="1" applyBorder="1"/>
    <xf numFmtId="41" fontId="0" fillId="8" borderId="1" xfId="3" applyFont="1" applyFill="1" applyBorder="1"/>
    <xf numFmtId="3" fontId="0" fillId="8" borderId="1" xfId="0" applyNumberFormat="1" applyFill="1" applyBorder="1" applyAlignment="1">
      <alignment horizontal="right"/>
    </xf>
    <xf numFmtId="41" fontId="0" fillId="8" borderId="1" xfId="0" applyNumberFormat="1" applyFill="1" applyBorder="1"/>
    <xf numFmtId="3" fontId="2" fillId="8" borderId="1" xfId="0" applyNumberFormat="1" applyFont="1" applyFill="1" applyBorder="1"/>
    <xf numFmtId="41" fontId="2" fillId="8" borderId="1" xfId="0" applyNumberFormat="1" applyFont="1" applyFill="1" applyBorder="1"/>
    <xf numFmtId="41" fontId="2" fillId="8" borderId="1" xfId="3" applyFont="1" applyFill="1" applyBorder="1"/>
    <xf numFmtId="41" fontId="0" fillId="8" borderId="0" xfId="3" applyFont="1" applyFill="1" applyBorder="1"/>
    <xf numFmtId="3" fontId="0" fillId="8" borderId="1" xfId="0" applyNumberFormat="1" applyFill="1" applyBorder="1"/>
    <xf numFmtId="3" fontId="2" fillId="8" borderId="1" xfId="0" applyNumberFormat="1" applyFont="1" applyFill="1" applyBorder="1" applyAlignment="1">
      <alignment horizontal="right"/>
    </xf>
    <xf numFmtId="41" fontId="0" fillId="8" borderId="1" xfId="3" applyFont="1" applyFill="1" applyBorder="1" applyAlignment="1">
      <alignment horizontal="right"/>
    </xf>
    <xf numFmtId="165" fontId="0" fillId="8" borderId="1" xfId="3" applyNumberFormat="1" applyFont="1" applyFill="1" applyBorder="1"/>
    <xf numFmtId="165" fontId="0" fillId="8" borderId="28" xfId="3" applyNumberFormat="1" applyFont="1" applyFill="1" applyBorder="1"/>
    <xf numFmtId="0" fontId="0" fillId="8" borderId="45" xfId="0" applyFill="1" applyBorder="1"/>
    <xf numFmtId="0" fontId="0" fillId="8" borderId="46" xfId="0" applyFill="1" applyBorder="1"/>
    <xf numFmtId="0" fontId="2" fillId="8" borderId="46" xfId="0" applyFont="1" applyFill="1" applyBorder="1"/>
    <xf numFmtId="41" fontId="2" fillId="8" borderId="46" xfId="0" applyNumberFormat="1" applyFont="1" applyFill="1" applyBorder="1"/>
    <xf numFmtId="41" fontId="2" fillId="8" borderId="46" xfId="3" applyFont="1" applyFill="1" applyBorder="1"/>
    <xf numFmtId="166" fontId="2" fillId="8" borderId="46" xfId="3" applyNumberFormat="1" applyFont="1" applyFill="1" applyBorder="1"/>
    <xf numFmtId="166" fontId="2" fillId="8" borderId="56" xfId="3" applyNumberFormat="1" applyFont="1" applyFill="1" applyBorder="1"/>
    <xf numFmtId="0" fontId="19" fillId="8" borderId="0" xfId="0" applyFont="1" applyFill="1"/>
    <xf numFmtId="0" fontId="19" fillId="8" borderId="10" xfId="0" applyFont="1" applyFill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right"/>
    </xf>
    <xf numFmtId="3" fontId="2" fillId="4" borderId="1" xfId="0" applyNumberFormat="1" applyFont="1" applyFill="1" applyBorder="1"/>
    <xf numFmtId="3" fontId="0" fillId="4" borderId="1" xfId="0" applyNumberFormat="1" applyFill="1" applyBorder="1"/>
    <xf numFmtId="3" fontId="2" fillId="4" borderId="1" xfId="0" applyNumberFormat="1" applyFont="1" applyFill="1" applyBorder="1" applyAlignment="1">
      <alignment horizontal="right"/>
    </xf>
    <xf numFmtId="41" fontId="0" fillId="4" borderId="1" xfId="3" applyFont="1" applyFill="1" applyBorder="1" applyAlignment="1">
      <alignment horizontal="right"/>
    </xf>
    <xf numFmtId="165" fontId="0" fillId="4" borderId="1" xfId="3" applyNumberFormat="1" applyFont="1" applyFill="1" applyBorder="1"/>
    <xf numFmtId="166" fontId="2" fillId="4" borderId="1" xfId="3" applyNumberFormat="1" applyFont="1" applyFill="1" applyBorder="1"/>
    <xf numFmtId="0" fontId="0" fillId="4" borderId="0" xfId="0" applyFill="1"/>
    <xf numFmtId="0" fontId="0" fillId="4" borderId="10" xfId="0" applyFill="1" applyBorder="1"/>
    <xf numFmtId="0" fontId="2" fillId="4" borderId="27" xfId="0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0" fillId="4" borderId="27" xfId="0" applyFill="1" applyBorder="1"/>
    <xf numFmtId="0" fontId="0" fillId="4" borderId="9" xfId="0" applyFill="1" applyBorder="1"/>
    <xf numFmtId="41" fontId="0" fillId="4" borderId="0" xfId="3" applyFont="1" applyFill="1" applyBorder="1"/>
    <xf numFmtId="0" fontId="2" fillId="4" borderId="28" xfId="0" applyFont="1" applyFill="1" applyBorder="1" applyAlignment="1">
      <alignment horizontal="center" vertical="center" wrapText="1"/>
    </xf>
    <xf numFmtId="165" fontId="0" fillId="4" borderId="28" xfId="3" applyNumberFormat="1" applyFont="1" applyFill="1" applyBorder="1"/>
    <xf numFmtId="0" fontId="0" fillId="4" borderId="45" xfId="0" applyFill="1" applyBorder="1"/>
    <xf numFmtId="0" fontId="0" fillId="4" borderId="46" xfId="0" applyFill="1" applyBorder="1"/>
    <xf numFmtId="166" fontId="2" fillId="4" borderId="46" xfId="3" applyNumberFormat="1" applyFont="1" applyFill="1" applyBorder="1"/>
    <xf numFmtId="166" fontId="2" fillId="4" borderId="56" xfId="3" applyNumberFormat="1" applyFont="1" applyFill="1" applyBorder="1"/>
    <xf numFmtId="0" fontId="19" fillId="23" borderId="0" xfId="0" applyFont="1" applyFill="1"/>
    <xf numFmtId="0" fontId="19" fillId="23" borderId="10" xfId="0" applyFont="1" applyFill="1" applyBorder="1"/>
    <xf numFmtId="0" fontId="2" fillId="5" borderId="1" xfId="0" applyFont="1" applyFill="1" applyBorder="1" applyAlignment="1">
      <alignment vertical="center"/>
    </xf>
    <xf numFmtId="3" fontId="0" fillId="5" borderId="1" xfId="0" applyNumberFormat="1" applyFill="1" applyBorder="1" applyAlignment="1">
      <alignment horizontal="right"/>
    </xf>
    <xf numFmtId="41" fontId="0" fillId="5" borderId="1" xfId="0" applyNumberFormat="1" applyFill="1" applyBorder="1"/>
    <xf numFmtId="3" fontId="0" fillId="5" borderId="1" xfId="0" applyNumberFormat="1" applyFill="1" applyBorder="1"/>
    <xf numFmtId="41" fontId="0" fillId="5" borderId="1" xfId="3" applyFont="1" applyFill="1" applyBorder="1" applyAlignment="1">
      <alignment horizontal="right"/>
    </xf>
    <xf numFmtId="165" fontId="0" fillId="5" borderId="1" xfId="3" applyNumberFormat="1" applyFont="1" applyFill="1" applyBorder="1"/>
    <xf numFmtId="44" fontId="2" fillId="4" borderId="19" xfId="2" applyFont="1" applyFill="1" applyBorder="1"/>
    <xf numFmtId="0" fontId="14" fillId="5" borderId="7" xfId="0" applyFont="1" applyFill="1" applyBorder="1" applyAlignment="1">
      <alignment horizontal="center"/>
    </xf>
    <xf numFmtId="0" fontId="14" fillId="5" borderId="42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wrapText="1"/>
    </xf>
    <xf numFmtId="0" fontId="14" fillId="5" borderId="0" xfId="0" applyFont="1" applyFill="1" applyAlignment="1">
      <alignment horizontal="center" wrapText="1"/>
    </xf>
    <xf numFmtId="0" fontId="14" fillId="5" borderId="10" xfId="0" applyFont="1" applyFill="1" applyBorder="1" applyAlignment="1">
      <alignment horizontal="center" wrapText="1"/>
    </xf>
    <xf numFmtId="0" fontId="14" fillId="5" borderId="9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4" fillId="20" borderId="9" xfId="0" applyFont="1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17" fillId="23" borderId="2" xfId="0" applyFont="1" applyFill="1" applyBorder="1" applyAlignment="1">
      <alignment horizontal="center" vertical="center"/>
    </xf>
    <xf numFmtId="0" fontId="17" fillId="23" borderId="5" xfId="0" applyFont="1" applyFill="1" applyBorder="1" applyAlignment="1">
      <alignment horizontal="center" vertical="center"/>
    </xf>
    <xf numFmtId="0" fontId="17" fillId="23" borderId="51" xfId="0" applyFont="1" applyFill="1" applyBorder="1" applyAlignment="1">
      <alignment horizontal="center" vertical="center"/>
    </xf>
    <xf numFmtId="44" fontId="17" fillId="23" borderId="2" xfId="0" applyNumberFormat="1" applyFont="1" applyFill="1" applyBorder="1" applyAlignment="1">
      <alignment horizontal="center" vertical="center"/>
    </xf>
    <xf numFmtId="0" fontId="17" fillId="23" borderId="13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44" fontId="4" fillId="23" borderId="25" xfId="0" applyNumberFormat="1" applyFont="1" applyFill="1" applyBorder="1" applyAlignment="1">
      <alignment horizontal="center" vertical="center"/>
    </xf>
    <xf numFmtId="0" fontId="4" fillId="23" borderId="28" xfId="0" applyFont="1" applyFill="1" applyBorder="1" applyAlignment="1">
      <alignment horizontal="center" vertical="center"/>
    </xf>
    <xf numFmtId="0" fontId="4" fillId="23" borderId="56" xfId="0" applyFont="1" applyFill="1" applyBorder="1" applyAlignment="1">
      <alignment horizontal="center" vertical="center"/>
    </xf>
    <xf numFmtId="0" fontId="17" fillId="8" borderId="34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7" fillId="8" borderId="31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44" fontId="4" fillId="23" borderId="28" xfId="0" applyNumberFormat="1" applyFont="1" applyFill="1" applyBorder="1" applyAlignment="1">
      <alignment horizontal="center" vertical="center"/>
    </xf>
    <xf numFmtId="44" fontId="4" fillId="23" borderId="1" xfId="0" applyNumberFormat="1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4" fillId="23" borderId="46" xfId="0" applyFont="1" applyFill="1" applyBorder="1" applyAlignment="1">
      <alignment horizontal="center" vertical="center"/>
    </xf>
    <xf numFmtId="44" fontId="4" fillId="23" borderId="2" xfId="0" applyNumberFormat="1" applyFont="1" applyFill="1" applyBorder="1" applyAlignment="1">
      <alignment horizontal="center" vertical="center"/>
    </xf>
    <xf numFmtId="0" fontId="4" fillId="23" borderId="5" xfId="0" applyFont="1" applyFill="1" applyBorder="1" applyAlignment="1">
      <alignment horizontal="center" vertical="center"/>
    </xf>
    <xf numFmtId="0" fontId="4" fillId="23" borderId="13" xfId="0" applyFont="1" applyFill="1" applyBorder="1" applyAlignment="1">
      <alignment horizontal="center" vertical="center"/>
    </xf>
    <xf numFmtId="0" fontId="4" fillId="23" borderId="51" xfId="0" applyFont="1" applyFill="1" applyBorder="1" applyAlignment="1">
      <alignment horizontal="center" vertical="center"/>
    </xf>
    <xf numFmtId="0" fontId="17" fillId="8" borderId="55" xfId="0" applyFont="1" applyFill="1" applyBorder="1" applyAlignment="1">
      <alignment horizontal="center" vertical="center"/>
    </xf>
    <xf numFmtId="44" fontId="17" fillId="20" borderId="2" xfId="2" applyFont="1" applyFill="1" applyBorder="1" applyAlignment="1">
      <alignment horizontal="center" vertical="center"/>
    </xf>
    <xf numFmtId="44" fontId="17" fillId="20" borderId="5" xfId="2" applyFont="1" applyFill="1" applyBorder="1" applyAlignment="1">
      <alignment horizontal="center" vertical="center"/>
    </xf>
    <xf numFmtId="44" fontId="17" fillId="20" borderId="13" xfId="2" applyFon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/>
    </xf>
    <xf numFmtId="44" fontId="4" fillId="23" borderId="17" xfId="0" applyNumberFormat="1" applyFont="1" applyFill="1" applyBorder="1" applyAlignment="1">
      <alignment horizontal="center" vertical="center"/>
    </xf>
    <xf numFmtId="0" fontId="4" fillId="23" borderId="17" xfId="0" applyFont="1" applyFill="1" applyBorder="1" applyAlignment="1">
      <alignment horizontal="center" vertical="center"/>
    </xf>
    <xf numFmtId="0" fontId="4" fillId="23" borderId="47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textRotation="255" wrapText="1"/>
    </xf>
    <xf numFmtId="0" fontId="4" fillId="10" borderId="27" xfId="0" applyFont="1" applyFill="1" applyBorder="1" applyAlignment="1">
      <alignment horizontal="center" vertical="center" textRotation="255" wrapText="1"/>
    </xf>
    <xf numFmtId="0" fontId="4" fillId="10" borderId="45" xfId="0" applyFont="1" applyFill="1" applyBorder="1" applyAlignment="1">
      <alignment horizontal="center" vertical="center" textRotation="255" wrapText="1"/>
    </xf>
    <xf numFmtId="44" fontId="4" fillId="9" borderId="38" xfId="2" applyFont="1" applyFill="1" applyBorder="1" applyAlignment="1">
      <alignment horizontal="center" vertical="center" wrapText="1"/>
    </xf>
    <xf numFmtId="44" fontId="4" fillId="9" borderId="33" xfId="2" applyFont="1" applyFill="1" applyBorder="1" applyAlignment="1">
      <alignment horizontal="center" vertical="center" wrapText="1"/>
    </xf>
    <xf numFmtId="44" fontId="4" fillId="9" borderId="36" xfId="2" applyFont="1" applyFill="1" applyBorder="1" applyAlignment="1">
      <alignment horizontal="center" vertical="center" wrapText="1"/>
    </xf>
    <xf numFmtId="44" fontId="4" fillId="20" borderId="40" xfId="2" applyFont="1" applyFill="1" applyBorder="1" applyAlignment="1">
      <alignment horizontal="center" vertical="center"/>
    </xf>
    <xf numFmtId="44" fontId="4" fillId="20" borderId="15" xfId="2" applyFont="1" applyFill="1" applyBorder="1" applyAlignment="1">
      <alignment horizontal="center" vertical="center"/>
    </xf>
    <xf numFmtId="44" fontId="4" fillId="20" borderId="14" xfId="2" applyFont="1" applyFill="1" applyBorder="1" applyAlignment="1">
      <alignment horizontal="center" vertical="center"/>
    </xf>
    <xf numFmtId="44" fontId="4" fillId="20" borderId="54" xfId="2" applyFont="1" applyFill="1" applyBorder="1" applyAlignment="1">
      <alignment horizontal="center" vertical="center"/>
    </xf>
    <xf numFmtId="44" fontId="4" fillId="20" borderId="1" xfId="2" applyFont="1" applyFill="1" applyBorder="1" applyAlignment="1">
      <alignment horizontal="center" vertical="center"/>
    </xf>
    <xf numFmtId="44" fontId="4" fillId="20" borderId="2" xfId="2" applyFont="1" applyFill="1" applyBorder="1" applyAlignment="1">
      <alignment horizontal="center" vertical="center"/>
    </xf>
    <xf numFmtId="44" fontId="4" fillId="20" borderId="13" xfId="2" applyFont="1" applyFill="1" applyBorder="1" applyAlignment="1">
      <alignment horizontal="center" vertical="center"/>
    </xf>
    <xf numFmtId="167" fontId="4" fillId="20" borderId="39" xfId="2" applyNumberFormat="1" applyFont="1" applyFill="1" applyBorder="1" applyAlignment="1">
      <alignment horizontal="center" vertical="center"/>
    </xf>
    <xf numFmtId="167" fontId="4" fillId="20" borderId="17" xfId="2" applyNumberFormat="1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/>
    </xf>
    <xf numFmtId="44" fontId="17" fillId="20" borderId="1" xfId="2" applyFont="1" applyFill="1" applyBorder="1" applyAlignment="1">
      <alignment horizontal="center" vertical="center"/>
    </xf>
    <xf numFmtId="167" fontId="17" fillId="20" borderId="1" xfId="2" applyNumberFormat="1" applyFont="1" applyFill="1" applyBorder="1" applyAlignment="1">
      <alignment horizontal="center" vertical="center"/>
    </xf>
    <xf numFmtId="44" fontId="17" fillId="20" borderId="51" xfId="2" applyFont="1" applyFill="1" applyBorder="1" applyAlignment="1">
      <alignment horizontal="center" vertical="center"/>
    </xf>
    <xf numFmtId="44" fontId="4" fillId="23" borderId="2" xfId="2" applyFont="1" applyFill="1" applyBorder="1" applyAlignment="1">
      <alignment horizontal="center" vertical="center"/>
    </xf>
    <xf numFmtId="44" fontId="4" fillId="23" borderId="5" xfId="2" applyFont="1" applyFill="1" applyBorder="1" applyAlignment="1">
      <alignment horizontal="center" vertical="center"/>
    </xf>
    <xf numFmtId="44" fontId="4" fillId="23" borderId="13" xfId="2" applyFont="1" applyFill="1" applyBorder="1" applyAlignment="1">
      <alignment horizontal="center" vertical="center"/>
    </xf>
    <xf numFmtId="44" fontId="4" fillId="9" borderId="35" xfId="2" applyFont="1" applyFill="1" applyBorder="1" applyAlignment="1">
      <alignment horizontal="center" vertical="center" wrapText="1"/>
    </xf>
    <xf numFmtId="44" fontId="4" fillId="9" borderId="48" xfId="2" applyFont="1" applyFill="1" applyBorder="1" applyAlignment="1">
      <alignment horizontal="center" vertical="center" wrapText="1"/>
    </xf>
    <xf numFmtId="0" fontId="17" fillId="20" borderId="27" xfId="0" applyFont="1" applyFill="1" applyBorder="1" applyAlignment="1">
      <alignment horizontal="center" vertical="center" wrapText="1"/>
    </xf>
    <xf numFmtId="44" fontId="4" fillId="9" borderId="19" xfId="2" applyFont="1" applyFill="1" applyBorder="1" applyAlignment="1">
      <alignment vertical="center" wrapText="1"/>
    </xf>
    <xf numFmtId="0" fontId="17" fillId="20" borderId="2" xfId="0" applyFont="1" applyFill="1" applyBorder="1" applyAlignment="1">
      <alignment horizontal="center" vertical="center"/>
    </xf>
    <xf numFmtId="0" fontId="17" fillId="20" borderId="5" xfId="0" applyFont="1" applyFill="1" applyBorder="1" applyAlignment="1">
      <alignment horizontal="center" vertical="center"/>
    </xf>
    <xf numFmtId="0" fontId="17" fillId="20" borderId="51" xfId="0" applyFont="1" applyFill="1" applyBorder="1" applyAlignment="1">
      <alignment horizontal="center" vertical="center"/>
    </xf>
    <xf numFmtId="0" fontId="17" fillId="20" borderId="29" xfId="0" applyFont="1" applyFill="1" applyBorder="1" applyAlignment="1">
      <alignment horizontal="center" vertical="center" wrapText="1"/>
    </xf>
    <xf numFmtId="0" fontId="17" fillId="20" borderId="26" xfId="0" applyFont="1" applyFill="1" applyBorder="1" applyAlignment="1">
      <alignment horizontal="center" vertical="center" wrapText="1"/>
    </xf>
    <xf numFmtId="0" fontId="17" fillId="20" borderId="53" xfId="0" applyFont="1" applyFill="1" applyBorder="1" applyAlignment="1">
      <alignment horizontal="center" vertical="center" wrapText="1"/>
    </xf>
    <xf numFmtId="0" fontId="17" fillId="20" borderId="30" xfId="0" applyFont="1" applyFill="1" applyBorder="1" applyAlignment="1">
      <alignment horizontal="center" vertical="center" wrapText="1"/>
    </xf>
    <xf numFmtId="44" fontId="4" fillId="9" borderId="23" xfId="2" applyFont="1" applyFill="1" applyBorder="1" applyAlignment="1">
      <alignment horizontal="center" vertical="center" wrapText="1"/>
    </xf>
    <xf numFmtId="44" fontId="4" fillId="9" borderId="24" xfId="2" applyFont="1" applyFill="1" applyBorder="1" applyAlignment="1">
      <alignment horizontal="center" vertical="center" wrapText="1"/>
    </xf>
    <xf numFmtId="44" fontId="4" fillId="9" borderId="52" xfId="2" applyFont="1" applyFill="1" applyBorder="1" applyAlignment="1">
      <alignment horizontal="center" vertical="center" wrapText="1"/>
    </xf>
    <xf numFmtId="44" fontId="4" fillId="9" borderId="2" xfId="2" applyFont="1" applyFill="1" applyBorder="1" applyAlignment="1">
      <alignment horizontal="center" vertical="center"/>
    </xf>
    <xf numFmtId="44" fontId="4" fillId="9" borderId="5" xfId="2" applyFont="1" applyFill="1" applyBorder="1" applyAlignment="1">
      <alignment horizontal="center" vertical="center"/>
    </xf>
    <xf numFmtId="44" fontId="4" fillId="9" borderId="13" xfId="2" applyFont="1" applyFill="1" applyBorder="1" applyAlignment="1">
      <alignment horizontal="center" vertical="center"/>
    </xf>
    <xf numFmtId="44" fontId="4" fillId="20" borderId="38" xfId="2" applyFont="1" applyFill="1" applyBorder="1" applyAlignment="1">
      <alignment horizontal="center" vertical="center"/>
    </xf>
    <xf numFmtId="44" fontId="4" fillId="20" borderId="33" xfId="2" applyFont="1" applyFill="1" applyBorder="1" applyAlignment="1">
      <alignment horizontal="center" vertical="center"/>
    </xf>
    <xf numFmtId="44" fontId="4" fillId="20" borderId="48" xfId="2" applyFont="1" applyFill="1" applyBorder="1" applyAlignment="1">
      <alignment horizontal="center" vertical="center"/>
    </xf>
    <xf numFmtId="167" fontId="4" fillId="20" borderId="38" xfId="2" applyNumberFormat="1" applyFont="1" applyFill="1" applyBorder="1" applyAlignment="1">
      <alignment horizontal="center" vertical="center"/>
    </xf>
    <xf numFmtId="167" fontId="4" fillId="20" borderId="33" xfId="2" applyNumberFormat="1" applyFont="1" applyFill="1" applyBorder="1" applyAlignment="1">
      <alignment horizontal="center" vertical="center"/>
    </xf>
    <xf numFmtId="167" fontId="4" fillId="20" borderId="48" xfId="2" applyNumberFormat="1" applyFont="1" applyFill="1" applyBorder="1" applyAlignment="1">
      <alignment horizontal="center" vertical="center"/>
    </xf>
    <xf numFmtId="167" fontId="4" fillId="20" borderId="1" xfId="2" applyNumberFormat="1" applyFont="1" applyFill="1" applyBorder="1" applyAlignment="1">
      <alignment horizontal="center" vertical="center"/>
    </xf>
    <xf numFmtId="169" fontId="4" fillId="9" borderId="35" xfId="0" applyNumberFormat="1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17" fillId="20" borderId="2" xfId="0" applyFont="1" applyFill="1" applyBorder="1" applyAlignment="1">
      <alignment horizontal="center" vertical="center" wrapText="1"/>
    </xf>
    <xf numFmtId="0" fontId="17" fillId="20" borderId="13" xfId="0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17" fillId="20" borderId="13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56" xfId="0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44" fontId="4" fillId="20" borderId="5" xfId="2" applyFont="1" applyFill="1" applyBorder="1" applyAlignment="1">
      <alignment horizontal="center" vertical="center"/>
    </xf>
    <xf numFmtId="44" fontId="4" fillId="20" borderId="51" xfId="2" applyFont="1" applyFill="1" applyBorder="1" applyAlignment="1">
      <alignment horizontal="center" vertical="center"/>
    </xf>
    <xf numFmtId="44" fontId="4" fillId="20" borderId="35" xfId="2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textRotation="255"/>
    </xf>
    <xf numFmtId="0" fontId="4" fillId="10" borderId="45" xfId="0" applyFont="1" applyFill="1" applyBorder="1" applyAlignment="1">
      <alignment horizontal="center" vertical="center" textRotation="255"/>
    </xf>
    <xf numFmtId="0" fontId="4" fillId="10" borderId="46" xfId="0" applyFont="1" applyFill="1" applyBorder="1" applyAlignment="1">
      <alignment horizontal="center" vertical="center" wrapText="1"/>
    </xf>
    <xf numFmtId="0" fontId="4" fillId="10" borderId="58" xfId="0" applyFont="1" applyFill="1" applyBorder="1" applyAlignment="1">
      <alignment horizontal="center" vertical="center" textRotation="255"/>
    </xf>
    <xf numFmtId="0" fontId="4" fillId="10" borderId="26" xfId="0" applyFont="1" applyFill="1" applyBorder="1" applyAlignment="1">
      <alignment horizontal="center" vertical="center" textRotation="255"/>
    </xf>
    <xf numFmtId="0" fontId="4" fillId="10" borderId="53" xfId="0" applyFont="1" applyFill="1" applyBorder="1" applyAlignment="1">
      <alignment horizontal="center" vertical="center" textRotation="255"/>
    </xf>
    <xf numFmtId="0" fontId="4" fillId="10" borderId="1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 wrapText="1"/>
    </xf>
    <xf numFmtId="0" fontId="4" fillId="10" borderId="59" xfId="0" applyFont="1" applyFill="1" applyBorder="1" applyAlignment="1">
      <alignment horizontal="center" vertical="center" wrapText="1"/>
    </xf>
    <xf numFmtId="44" fontId="4" fillId="9" borderId="2" xfId="2" applyFont="1" applyFill="1" applyBorder="1" applyAlignment="1">
      <alignment horizontal="center" vertical="center" wrapText="1"/>
    </xf>
    <xf numFmtId="44" fontId="4" fillId="9" borderId="5" xfId="2" applyFont="1" applyFill="1" applyBorder="1" applyAlignment="1">
      <alignment horizontal="center" vertical="center" wrapText="1"/>
    </xf>
    <xf numFmtId="44" fontId="4" fillId="9" borderId="51" xfId="2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44" fontId="4" fillId="23" borderId="59" xfId="2" applyFont="1" applyFill="1" applyBorder="1" applyAlignment="1">
      <alignment horizontal="center" vertical="center"/>
    </xf>
    <xf numFmtId="169" fontId="4" fillId="9" borderId="2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51" xfId="0" applyFont="1" applyFill="1" applyBorder="1" applyAlignment="1">
      <alignment horizontal="center" vertical="center" wrapText="1"/>
    </xf>
    <xf numFmtId="169" fontId="4" fillId="9" borderId="37" xfId="0" applyNumberFormat="1" applyFont="1" applyFill="1" applyBorder="1" applyAlignment="1">
      <alignment horizontal="center" vertical="center" wrapText="1"/>
    </xf>
    <xf numFmtId="169" fontId="4" fillId="9" borderId="24" xfId="0" applyNumberFormat="1" applyFont="1" applyFill="1" applyBorder="1" applyAlignment="1">
      <alignment horizontal="center" vertical="center" wrapText="1"/>
    </xf>
    <xf numFmtId="169" fontId="4" fillId="9" borderId="52" xfId="0" applyNumberFormat="1" applyFont="1" applyFill="1" applyBorder="1" applyAlignment="1">
      <alignment horizontal="center" vertical="center" wrapText="1"/>
    </xf>
    <xf numFmtId="44" fontId="4" fillId="9" borderId="38" xfId="2" applyFont="1" applyFill="1" applyBorder="1" applyAlignment="1">
      <alignment horizontal="center" vertical="center"/>
    </xf>
    <xf numFmtId="44" fontId="4" fillId="9" borderId="33" xfId="2" applyFont="1" applyFill="1" applyBorder="1" applyAlignment="1">
      <alignment horizontal="center" vertical="center"/>
    </xf>
    <xf numFmtId="44" fontId="4" fillId="9" borderId="36" xfId="2" applyFont="1" applyFill="1" applyBorder="1" applyAlignment="1">
      <alignment horizontal="center" vertical="center"/>
    </xf>
    <xf numFmtId="44" fontId="4" fillId="9" borderId="13" xfId="2" applyFont="1" applyFill="1" applyBorder="1" applyAlignment="1">
      <alignment horizontal="center" vertical="center" wrapText="1"/>
    </xf>
    <xf numFmtId="44" fontId="4" fillId="23" borderId="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44" fontId="2" fillId="9" borderId="1" xfId="0" applyNumberFormat="1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44" fontId="2" fillId="23" borderId="1" xfId="0" applyNumberFormat="1" applyFont="1" applyFill="1" applyBorder="1" applyAlignment="1">
      <alignment horizontal="center" vertical="center"/>
    </xf>
    <xf numFmtId="0" fontId="2" fillId="23" borderId="46" xfId="0" applyFont="1" applyFill="1" applyBorder="1" applyAlignment="1">
      <alignment horizontal="center" vertical="center"/>
    </xf>
    <xf numFmtId="44" fontId="2" fillId="11" borderId="28" xfId="0" applyNumberFormat="1" applyFont="1" applyFill="1" applyBorder="1" applyAlignment="1">
      <alignment horizontal="center" vertical="center"/>
    </xf>
    <xf numFmtId="0" fontId="2" fillId="11" borderId="56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44" fontId="0" fillId="23" borderId="2" xfId="2" applyFont="1" applyFill="1" applyBorder="1" applyAlignment="1">
      <alignment horizontal="center" vertical="center"/>
    </xf>
    <xf numFmtId="44" fontId="0" fillId="23" borderId="5" xfId="2" applyFont="1" applyFill="1" applyBorder="1" applyAlignment="1">
      <alignment horizontal="center" vertical="center"/>
    </xf>
    <xf numFmtId="44" fontId="0" fillId="23" borderId="51" xfId="2" applyFont="1" applyFill="1" applyBorder="1" applyAlignment="1">
      <alignment horizontal="center" vertical="center"/>
    </xf>
    <xf numFmtId="44" fontId="0" fillId="23" borderId="59" xfId="2" applyFont="1" applyFill="1" applyBorder="1" applyAlignment="1">
      <alignment horizontal="center" vertical="center"/>
    </xf>
    <xf numFmtId="44" fontId="2" fillId="11" borderId="38" xfId="2" applyFont="1" applyFill="1" applyBorder="1" applyAlignment="1">
      <alignment horizontal="center" vertical="center"/>
    </xf>
    <xf numFmtId="44" fontId="2" fillId="11" borderId="33" xfId="2" applyFont="1" applyFill="1" applyBorder="1" applyAlignment="1">
      <alignment horizontal="center" vertical="center"/>
    </xf>
    <xf numFmtId="44" fontId="2" fillId="11" borderId="48" xfId="2" applyFont="1" applyFill="1" applyBorder="1" applyAlignment="1">
      <alignment horizontal="center" vertical="center"/>
    </xf>
    <xf numFmtId="44" fontId="0" fillId="23" borderId="13" xfId="2" applyFont="1" applyFill="1" applyBorder="1" applyAlignment="1">
      <alignment horizontal="center" vertical="center"/>
    </xf>
    <xf numFmtId="44" fontId="0" fillId="4" borderId="5" xfId="2" applyFont="1" applyFill="1" applyBorder="1" applyAlignment="1">
      <alignment horizontal="center" vertical="center"/>
    </xf>
    <xf numFmtId="44" fontId="0" fillId="4" borderId="13" xfId="2" applyFont="1" applyFill="1" applyBorder="1" applyAlignment="1">
      <alignment horizontal="center" vertical="center"/>
    </xf>
    <xf numFmtId="44" fontId="0" fillId="4" borderId="2" xfId="2" applyFont="1" applyFill="1" applyBorder="1" applyAlignment="1">
      <alignment horizontal="center" vertical="center"/>
    </xf>
    <xf numFmtId="44" fontId="0" fillId="4" borderId="51" xfId="2" applyFont="1" applyFill="1" applyBorder="1" applyAlignment="1">
      <alignment horizontal="center" vertical="center"/>
    </xf>
    <xf numFmtId="44" fontId="0" fillId="4" borderId="59" xfId="2" applyFont="1" applyFill="1" applyBorder="1" applyAlignment="1">
      <alignment horizontal="center" vertical="center"/>
    </xf>
    <xf numFmtId="44" fontId="2" fillId="4" borderId="59" xfId="2" applyFont="1" applyFill="1" applyBorder="1" applyAlignment="1">
      <alignment horizontal="center" vertical="center"/>
    </xf>
    <xf numFmtId="44" fontId="2" fillId="4" borderId="5" xfId="2" applyFont="1" applyFill="1" applyBorder="1" applyAlignment="1">
      <alignment horizontal="center" vertical="center"/>
    </xf>
    <xf numFmtId="44" fontId="2" fillId="4" borderId="51" xfId="2" applyFont="1" applyFill="1" applyBorder="1" applyAlignment="1">
      <alignment horizontal="center" vertical="center"/>
    </xf>
    <xf numFmtId="44" fontId="2" fillId="4" borderId="1" xfId="2" applyFont="1" applyFill="1" applyBorder="1" applyAlignment="1">
      <alignment horizontal="center" vertical="center"/>
    </xf>
    <xf numFmtId="44" fontId="2" fillId="4" borderId="46" xfId="2" applyFont="1" applyFill="1" applyBorder="1" applyAlignment="1">
      <alignment horizontal="center" vertical="center"/>
    </xf>
    <xf numFmtId="44" fontId="0" fillId="23" borderId="1" xfId="2" applyFont="1" applyFill="1" applyBorder="1" applyAlignment="1">
      <alignment horizontal="center" vertical="center"/>
    </xf>
    <xf numFmtId="44" fontId="0" fillId="23" borderId="46" xfId="2" applyFont="1" applyFill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44" fontId="0" fillId="4" borderId="46" xfId="2" applyFont="1" applyFill="1" applyBorder="1" applyAlignment="1">
      <alignment horizontal="center" vertical="center"/>
    </xf>
    <xf numFmtId="44" fontId="0" fillId="9" borderId="59" xfId="2" applyFont="1" applyFill="1" applyBorder="1" applyAlignment="1">
      <alignment horizontal="center" vertical="center"/>
    </xf>
    <xf numFmtId="44" fontId="0" fillId="9" borderId="5" xfId="2" applyFont="1" applyFill="1" applyBorder="1" applyAlignment="1">
      <alignment horizontal="center" vertical="center"/>
    </xf>
    <xf numFmtId="44" fontId="0" fillId="9" borderId="13" xfId="2" applyFont="1" applyFill="1" applyBorder="1" applyAlignment="1">
      <alignment horizontal="center" vertical="center"/>
    </xf>
    <xf numFmtId="44" fontId="0" fillId="9" borderId="51" xfId="2" applyFont="1" applyFill="1" applyBorder="1" applyAlignment="1">
      <alignment horizontal="center" vertical="center"/>
    </xf>
    <xf numFmtId="44" fontId="0" fillId="9" borderId="2" xfId="2" applyFont="1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 textRotation="255" wrapText="1"/>
    </xf>
    <xf numFmtId="0" fontId="2" fillId="22" borderId="27" xfId="0" applyFont="1" applyFill="1" applyBorder="1" applyAlignment="1">
      <alignment horizontal="center" vertical="center" textRotation="255" wrapText="1"/>
    </xf>
    <xf numFmtId="0" fontId="2" fillId="22" borderId="4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44" fontId="0" fillId="9" borderId="1" xfId="2" applyFont="1" applyFill="1" applyBorder="1" applyAlignment="1">
      <alignment horizontal="center" vertical="center"/>
    </xf>
    <xf numFmtId="0" fontId="2" fillId="22" borderId="58" xfId="0" applyFont="1" applyFill="1" applyBorder="1" applyAlignment="1">
      <alignment horizontal="center" vertical="center" textRotation="255"/>
    </xf>
    <xf numFmtId="0" fontId="2" fillId="22" borderId="26" xfId="0" applyFont="1" applyFill="1" applyBorder="1" applyAlignment="1">
      <alignment horizontal="center" vertical="center" textRotation="255"/>
    </xf>
    <xf numFmtId="0" fontId="2" fillId="22" borderId="53" xfId="0" applyFont="1" applyFill="1" applyBorder="1" applyAlignment="1">
      <alignment horizontal="center" vertical="center" textRotation="255"/>
    </xf>
    <xf numFmtId="0" fontId="2" fillId="22" borderId="58" xfId="0" applyFont="1" applyFill="1" applyBorder="1" applyAlignment="1">
      <alignment horizontal="center" vertical="center" wrapText="1"/>
    </xf>
    <xf numFmtId="0" fontId="2" fillId="22" borderId="26" xfId="0" applyFont="1" applyFill="1" applyBorder="1" applyAlignment="1">
      <alignment horizontal="center" vertical="center" wrapText="1"/>
    </xf>
    <xf numFmtId="0" fontId="2" fillId="22" borderId="30" xfId="0" applyFont="1" applyFill="1" applyBorder="1" applyAlignment="1">
      <alignment horizontal="center" vertical="center" wrapText="1"/>
    </xf>
    <xf numFmtId="0" fontId="2" fillId="22" borderId="1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22" borderId="40" xfId="0" applyFont="1" applyFill="1" applyBorder="1" applyAlignment="1">
      <alignment horizontal="center" vertical="center"/>
    </xf>
    <xf numFmtId="0" fontId="2" fillId="22" borderId="14" xfId="0" applyFont="1" applyFill="1" applyBorder="1" applyAlignment="1">
      <alignment horizontal="center" vertical="center"/>
    </xf>
    <xf numFmtId="0" fontId="2" fillId="22" borderId="54" xfId="0" applyFont="1" applyFill="1" applyBorder="1" applyAlignment="1">
      <alignment horizontal="center" vertical="center"/>
    </xf>
    <xf numFmtId="0" fontId="2" fillId="22" borderId="29" xfId="0" applyFont="1" applyFill="1" applyBorder="1" applyAlignment="1">
      <alignment horizontal="center" vertical="center" wrapText="1"/>
    </xf>
    <xf numFmtId="0" fontId="2" fillId="22" borderId="5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 vertical="center" textRotation="255"/>
    </xf>
    <xf numFmtId="0" fontId="2" fillId="22" borderId="45" xfId="0" applyFont="1" applyFill="1" applyBorder="1" applyAlignment="1">
      <alignment horizontal="center" vertical="center" textRotation="255"/>
    </xf>
    <xf numFmtId="0" fontId="2" fillId="22" borderId="2" xfId="0" applyFont="1" applyFill="1" applyBorder="1" applyAlignment="1">
      <alignment horizontal="center" vertical="center"/>
    </xf>
    <xf numFmtId="0" fontId="2" fillId="22" borderId="13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 wrapText="1"/>
    </xf>
    <xf numFmtId="44" fontId="0" fillId="9" borderId="46" xfId="2" applyFont="1" applyFill="1" applyBorder="1" applyAlignment="1">
      <alignment horizontal="center" vertical="center"/>
    </xf>
    <xf numFmtId="170" fontId="2" fillId="4" borderId="59" xfId="0" applyNumberFormat="1" applyFont="1" applyFill="1" applyBorder="1" applyAlignment="1">
      <alignment horizontal="left" vertical="center"/>
    </xf>
    <xf numFmtId="170" fontId="2" fillId="4" borderId="5" xfId="0" applyNumberFormat="1" applyFont="1" applyFill="1" applyBorder="1" applyAlignment="1">
      <alignment horizontal="left" vertical="center"/>
    </xf>
    <xf numFmtId="170" fontId="2" fillId="4" borderId="13" xfId="0" applyNumberFormat="1" applyFont="1" applyFill="1" applyBorder="1" applyAlignment="1">
      <alignment horizontal="left" vertical="center"/>
    </xf>
    <xf numFmtId="170" fontId="0" fillId="23" borderId="2" xfId="0" applyNumberFormat="1" applyFill="1" applyBorder="1" applyAlignment="1">
      <alignment horizontal="left" vertical="center"/>
    </xf>
    <xf numFmtId="170" fontId="0" fillId="23" borderId="5" xfId="0" applyNumberFormat="1" applyFill="1" applyBorder="1" applyAlignment="1">
      <alignment horizontal="left" vertical="center"/>
    </xf>
    <xf numFmtId="170" fontId="0" fillId="23" borderId="13" xfId="0" applyNumberFormat="1" applyFill="1" applyBorder="1" applyAlignment="1">
      <alignment horizontal="left" vertical="center"/>
    </xf>
    <xf numFmtId="170" fontId="0" fillId="23" borderId="59" xfId="0" applyNumberFormat="1" applyFill="1" applyBorder="1" applyAlignment="1">
      <alignment horizontal="left" vertical="center"/>
    </xf>
    <xf numFmtId="170" fontId="2" fillId="11" borderId="38" xfId="0" applyNumberFormat="1" applyFont="1" applyFill="1" applyBorder="1" applyAlignment="1">
      <alignment horizontal="left" vertical="center"/>
    </xf>
    <xf numFmtId="170" fontId="2" fillId="11" borderId="33" xfId="0" applyNumberFormat="1" applyFont="1" applyFill="1" applyBorder="1" applyAlignment="1">
      <alignment horizontal="left" vertical="center"/>
    </xf>
    <xf numFmtId="170" fontId="2" fillId="11" borderId="36" xfId="0" applyNumberFormat="1" applyFont="1" applyFill="1" applyBorder="1" applyAlignment="1">
      <alignment horizontal="left" vertical="center"/>
    </xf>
    <xf numFmtId="170" fontId="0" fillId="9" borderId="2" xfId="0" applyNumberFormat="1" applyFill="1" applyBorder="1" applyAlignment="1">
      <alignment horizontal="left" vertical="center"/>
    </xf>
    <xf numFmtId="170" fontId="0" fillId="9" borderId="5" xfId="0" applyNumberFormat="1" applyFill="1" applyBorder="1" applyAlignment="1">
      <alignment horizontal="left" vertical="center"/>
    </xf>
    <xf numFmtId="170" fontId="0" fillId="9" borderId="13" xfId="0" applyNumberFormat="1" applyFill="1" applyBorder="1" applyAlignment="1">
      <alignment horizontal="left" vertical="center"/>
    </xf>
    <xf numFmtId="170" fontId="0" fillId="9" borderId="59" xfId="0" applyNumberFormat="1" applyFill="1" applyBorder="1" applyAlignment="1">
      <alignment horizontal="left" vertical="center"/>
    </xf>
    <xf numFmtId="170" fontId="0" fillId="4" borderId="2" xfId="0" applyNumberFormat="1" applyFill="1" applyBorder="1" applyAlignment="1">
      <alignment horizontal="left" vertical="center"/>
    </xf>
    <xf numFmtId="170" fontId="0" fillId="4" borderId="5" xfId="0" applyNumberFormat="1" applyFill="1" applyBorder="1" applyAlignment="1">
      <alignment horizontal="left" vertical="center"/>
    </xf>
    <xf numFmtId="170" fontId="0" fillId="4" borderId="13" xfId="0" applyNumberFormat="1" applyFill="1" applyBorder="1" applyAlignment="1">
      <alignment horizontal="left" vertical="center"/>
    </xf>
    <xf numFmtId="170" fontId="0" fillId="4" borderId="59" xfId="0" applyNumberFormat="1" applyFill="1" applyBorder="1" applyAlignment="1">
      <alignment horizontal="left" vertical="center"/>
    </xf>
    <xf numFmtId="0" fontId="2" fillId="22" borderId="5" xfId="0" applyFont="1" applyFill="1" applyBorder="1" applyAlignment="1">
      <alignment horizontal="center" vertical="center"/>
    </xf>
    <xf numFmtId="0" fontId="2" fillId="22" borderId="51" xfId="0" applyFont="1" applyFill="1" applyBorder="1" applyAlignment="1">
      <alignment horizontal="center" vertical="center"/>
    </xf>
    <xf numFmtId="0" fontId="2" fillId="22" borderId="46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2" fillId="22" borderId="2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13" xfId="0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horizontal="center" vertical="center"/>
    </xf>
    <xf numFmtId="44" fontId="2" fillId="4" borderId="51" xfId="0" applyNumberFormat="1" applyFont="1" applyFill="1" applyBorder="1" applyAlignment="1">
      <alignment horizontal="center" vertical="center"/>
    </xf>
    <xf numFmtId="44" fontId="2" fillId="5" borderId="35" xfId="0" applyNumberFormat="1" applyFont="1" applyFill="1" applyBorder="1" applyAlignment="1">
      <alignment horizontal="center" vertical="center"/>
    </xf>
    <xf numFmtId="44" fontId="2" fillId="5" borderId="48" xfId="0" applyNumberFormat="1" applyFont="1" applyFill="1" applyBorder="1" applyAlignment="1">
      <alignment horizontal="center" vertical="center"/>
    </xf>
    <xf numFmtId="164" fontId="0" fillId="23" borderId="2" xfId="1" applyNumberFormat="1" applyFont="1" applyFill="1" applyBorder="1" applyAlignment="1">
      <alignment horizontal="center" vertical="center"/>
    </xf>
    <xf numFmtId="164" fontId="0" fillId="23" borderId="13" xfId="1" applyNumberFormat="1" applyFont="1" applyFill="1" applyBorder="1" applyAlignment="1">
      <alignment horizontal="center" vertical="center"/>
    </xf>
    <xf numFmtId="44" fontId="2" fillId="9" borderId="2" xfId="0" applyNumberFormat="1" applyFont="1" applyFill="1" applyBorder="1" applyAlignment="1">
      <alignment horizontal="center" vertical="center"/>
    </xf>
    <xf numFmtId="44" fontId="2" fillId="9" borderId="51" xfId="0" applyNumberFormat="1" applyFont="1" applyFill="1" applyBorder="1" applyAlignment="1">
      <alignment horizontal="center" vertical="center"/>
    </xf>
    <xf numFmtId="0" fontId="0" fillId="4" borderId="2" xfId="1" applyNumberFormat="1" applyFont="1" applyFill="1" applyBorder="1" applyAlignment="1">
      <alignment horizontal="center" vertical="center"/>
    </xf>
    <xf numFmtId="0" fontId="0" fillId="4" borderId="5" xfId="1" applyNumberFormat="1" applyFont="1" applyFill="1" applyBorder="1" applyAlignment="1">
      <alignment horizontal="center" vertical="center"/>
    </xf>
    <xf numFmtId="0" fontId="0" fillId="4" borderId="13" xfId="1" applyNumberFormat="1" applyFont="1" applyFill="1" applyBorder="1" applyAlignment="1">
      <alignment horizontal="center" vertical="center"/>
    </xf>
    <xf numFmtId="170" fontId="0" fillId="4" borderId="2" xfId="0" applyNumberFormat="1" applyFill="1" applyBorder="1" applyAlignment="1">
      <alignment horizontal="center" vertical="center"/>
    </xf>
    <xf numFmtId="170" fontId="0" fillId="4" borderId="5" xfId="0" applyNumberFormat="1" applyFill="1" applyBorder="1" applyAlignment="1">
      <alignment horizontal="center" vertical="center"/>
    </xf>
    <xf numFmtId="170" fontId="0" fillId="4" borderId="13" xfId="0" applyNumberFormat="1" applyFill="1" applyBorder="1" applyAlignment="1">
      <alignment horizontal="center" vertical="center"/>
    </xf>
    <xf numFmtId="44" fontId="2" fillId="5" borderId="40" xfId="0" applyNumberFormat="1" applyFont="1" applyFill="1" applyBorder="1" applyAlignment="1">
      <alignment horizontal="center" vertical="center"/>
    </xf>
    <xf numFmtId="44" fontId="2" fillId="5" borderId="34" xfId="0" applyNumberFormat="1" applyFont="1" applyFill="1" applyBorder="1" applyAlignment="1">
      <alignment horizontal="center" vertical="center"/>
    </xf>
    <xf numFmtId="44" fontId="2" fillId="5" borderId="54" xfId="0" applyNumberFormat="1" applyFont="1" applyFill="1" applyBorder="1" applyAlignment="1">
      <alignment horizontal="center" vertical="center"/>
    </xf>
    <xf numFmtId="44" fontId="2" fillId="5" borderId="55" xfId="0" applyNumberFormat="1" applyFont="1" applyFill="1" applyBorder="1" applyAlignment="1">
      <alignment horizontal="center" vertical="center"/>
    </xf>
    <xf numFmtId="0" fontId="0" fillId="4" borderId="5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 vertical="center"/>
    </xf>
    <xf numFmtId="43" fontId="0" fillId="9" borderId="2" xfId="1" applyFont="1" applyFill="1" applyBorder="1" applyAlignment="1">
      <alignment horizontal="center" vertical="center"/>
    </xf>
    <xf numFmtId="43" fontId="0" fillId="9" borderId="5" xfId="1" applyFont="1" applyFill="1" applyBorder="1" applyAlignment="1">
      <alignment horizontal="center" vertical="center"/>
    </xf>
    <xf numFmtId="43" fontId="0" fillId="9" borderId="13" xfId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164" fontId="0" fillId="9" borderId="5" xfId="1" applyNumberFormat="1" applyFont="1" applyFill="1" applyBorder="1" applyAlignment="1">
      <alignment horizontal="center" vertical="center"/>
    </xf>
    <xf numFmtId="164" fontId="0" fillId="9" borderId="51" xfId="1" applyNumberFormat="1" applyFont="1" applyFill="1" applyBorder="1" applyAlignment="1">
      <alignment horizontal="center" vertical="center"/>
    </xf>
    <xf numFmtId="43" fontId="0" fillId="9" borderId="51" xfId="1" applyFont="1" applyFill="1" applyBorder="1" applyAlignment="1">
      <alignment horizontal="center" vertical="center"/>
    </xf>
    <xf numFmtId="44" fontId="0" fillId="23" borderId="33" xfId="2" applyFont="1" applyFill="1" applyBorder="1" applyAlignment="1">
      <alignment horizontal="center" vertical="center"/>
    </xf>
    <xf numFmtId="44" fontId="0" fillId="23" borderId="48" xfId="2" applyFont="1" applyFill="1" applyBorder="1" applyAlignment="1">
      <alignment horizontal="center" vertical="center"/>
    </xf>
    <xf numFmtId="170" fontId="0" fillId="23" borderId="35" xfId="0" applyNumberFormat="1" applyFill="1" applyBorder="1" applyAlignment="1">
      <alignment horizontal="center" vertical="center"/>
    </xf>
    <xf numFmtId="170" fontId="0" fillId="23" borderId="33" xfId="0" applyNumberFormat="1" applyFill="1" applyBorder="1" applyAlignment="1">
      <alignment horizontal="center" vertical="center"/>
    </xf>
    <xf numFmtId="170" fontId="0" fillId="23" borderId="36" xfId="0" applyNumberFormat="1" applyFill="1" applyBorder="1" applyAlignment="1">
      <alignment horizontal="center" vertical="center"/>
    </xf>
    <xf numFmtId="164" fontId="0" fillId="23" borderId="1" xfId="1" applyNumberFormat="1" applyFont="1" applyFill="1" applyBorder="1" applyAlignment="1">
      <alignment horizontal="center" vertical="center"/>
    </xf>
    <xf numFmtId="44" fontId="0" fillId="23" borderId="35" xfId="2" applyFont="1" applyFill="1" applyBorder="1" applyAlignment="1">
      <alignment horizontal="center" vertical="center"/>
    </xf>
    <xf numFmtId="44" fontId="0" fillId="23" borderId="36" xfId="2" applyFont="1" applyFill="1" applyBorder="1" applyAlignment="1">
      <alignment horizontal="center" vertical="center"/>
    </xf>
    <xf numFmtId="170" fontId="0" fillId="23" borderId="2" xfId="0" applyNumberFormat="1" applyFill="1" applyBorder="1" applyAlignment="1">
      <alignment horizontal="center" vertical="center"/>
    </xf>
    <xf numFmtId="170" fontId="0" fillId="23" borderId="5" xfId="0" applyNumberFormat="1" applyFill="1" applyBorder="1" applyAlignment="1">
      <alignment horizontal="center" vertical="center"/>
    </xf>
    <xf numFmtId="170" fontId="0" fillId="23" borderId="13" xfId="0" applyNumberFormat="1" applyFill="1" applyBorder="1" applyAlignment="1">
      <alignment horizontal="center" vertical="center"/>
    </xf>
    <xf numFmtId="164" fontId="0" fillId="23" borderId="5" xfId="1" applyNumberFormat="1" applyFont="1" applyFill="1" applyBorder="1" applyAlignment="1">
      <alignment horizontal="center" vertical="center"/>
    </xf>
    <xf numFmtId="164" fontId="0" fillId="23" borderId="51" xfId="1" applyNumberFormat="1" applyFont="1" applyFill="1" applyBorder="1" applyAlignment="1">
      <alignment horizontal="center" vertical="center"/>
    </xf>
    <xf numFmtId="0" fontId="2" fillId="22" borderId="59" xfId="0" applyFont="1" applyFill="1" applyBorder="1" applyAlignment="1">
      <alignment horizontal="center" vertical="center" wrapText="1"/>
    </xf>
    <xf numFmtId="170" fontId="0" fillId="9" borderId="2" xfId="0" applyNumberFormat="1" applyFill="1" applyBorder="1" applyAlignment="1">
      <alignment horizontal="center" vertical="center"/>
    </xf>
    <xf numFmtId="170" fontId="0" fillId="9" borderId="5" xfId="0" applyNumberFormat="1" applyFill="1" applyBorder="1" applyAlignment="1">
      <alignment horizontal="center" vertical="center"/>
    </xf>
    <xf numFmtId="170" fontId="0" fillId="9" borderId="13" xfId="0" applyNumberFormat="1" applyFill="1" applyBorder="1" applyAlignment="1">
      <alignment horizontal="center" vertical="center"/>
    </xf>
    <xf numFmtId="164" fontId="0" fillId="9" borderId="2" xfId="1" applyNumberFormat="1" applyFont="1" applyFill="1" applyBorder="1" applyAlignment="1">
      <alignment horizontal="center" vertical="center"/>
    </xf>
    <xf numFmtId="164" fontId="0" fillId="9" borderId="13" xfId="1" applyNumberFormat="1" applyFont="1" applyFill="1" applyBorder="1" applyAlignment="1">
      <alignment horizontal="center" vertical="center"/>
    </xf>
    <xf numFmtId="0" fontId="2" fillId="22" borderId="5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3" fillId="5" borderId="11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23" borderId="51" xfId="0" applyFill="1" applyBorder="1" applyAlignment="1">
      <alignment horizontal="center" vertical="center"/>
    </xf>
    <xf numFmtId="170" fontId="0" fillId="23" borderId="40" xfId="0" applyNumberFormat="1" applyFill="1" applyBorder="1" applyAlignment="1">
      <alignment horizontal="center" vertical="center"/>
    </xf>
    <xf numFmtId="170" fontId="0" fillId="23" borderId="14" xfId="0" applyNumberFormat="1" applyFill="1" applyBorder="1" applyAlignment="1">
      <alignment horizontal="center" vertical="center"/>
    </xf>
    <xf numFmtId="170" fontId="0" fillId="23" borderId="15" xfId="0" applyNumberFormat="1" applyFill="1" applyBorder="1" applyAlignment="1">
      <alignment horizontal="center" vertical="center"/>
    </xf>
    <xf numFmtId="44" fontId="0" fillId="23" borderId="14" xfId="2" applyFont="1" applyFill="1" applyBorder="1" applyAlignment="1">
      <alignment horizontal="center" vertical="center"/>
    </xf>
    <xf numFmtId="44" fontId="0" fillId="23" borderId="54" xfId="2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0" fillId="9" borderId="2" xfId="1" applyNumberFormat="1" applyFont="1" applyFill="1" applyBorder="1" applyAlignment="1">
      <alignment horizontal="center" vertical="center"/>
    </xf>
    <xf numFmtId="0" fontId="0" fillId="9" borderId="5" xfId="1" applyNumberFormat="1" applyFont="1" applyFill="1" applyBorder="1" applyAlignment="1">
      <alignment horizontal="center" vertical="center"/>
    </xf>
    <xf numFmtId="0" fontId="0" fillId="9" borderId="51" xfId="1" applyNumberFormat="1" applyFont="1" applyFill="1" applyBorder="1" applyAlignment="1">
      <alignment horizontal="center" vertical="center"/>
    </xf>
    <xf numFmtId="164" fontId="0" fillId="4" borderId="2" xfId="1" applyNumberFormat="1" applyFont="1" applyFill="1" applyBorder="1" applyAlignment="1">
      <alignment horizontal="center" vertical="center"/>
    </xf>
    <xf numFmtId="164" fontId="0" fillId="4" borderId="5" xfId="1" applyNumberFormat="1" applyFont="1" applyFill="1" applyBorder="1" applyAlignment="1">
      <alignment horizontal="center" vertical="center"/>
    </xf>
    <xf numFmtId="164" fontId="0" fillId="4" borderId="51" xfId="1" applyNumberFormat="1" applyFont="1" applyFill="1" applyBorder="1" applyAlignment="1">
      <alignment horizontal="center" vertical="center"/>
    </xf>
    <xf numFmtId="0" fontId="0" fillId="9" borderId="13" xfId="1" applyNumberFormat="1" applyFont="1" applyFill="1" applyBorder="1" applyAlignment="1">
      <alignment horizontal="center" vertical="center"/>
    </xf>
    <xf numFmtId="44" fontId="0" fillId="9" borderId="2" xfId="1" applyNumberFormat="1" applyFont="1" applyFill="1" applyBorder="1" applyAlignment="1">
      <alignment horizontal="center" vertical="center"/>
    </xf>
    <xf numFmtId="164" fontId="0" fillId="4" borderId="13" xfId="1" applyNumberFormat="1" applyFont="1" applyFill="1" applyBorder="1" applyAlignment="1">
      <alignment horizontal="center" vertical="center"/>
    </xf>
    <xf numFmtId="44" fontId="0" fillId="23" borderId="40" xfId="2" applyFont="1" applyFill="1" applyBorder="1" applyAlignment="1">
      <alignment horizontal="center" vertical="center"/>
    </xf>
    <xf numFmtId="44" fontId="0" fillId="23" borderId="15" xfId="2" applyFont="1" applyFill="1" applyBorder="1" applyAlignment="1">
      <alignment horizontal="center" vertical="center"/>
    </xf>
    <xf numFmtId="44" fontId="0" fillId="5" borderId="2" xfId="2" applyFont="1" applyFill="1" applyBorder="1" applyAlignment="1">
      <alignment horizontal="center" vertical="center"/>
    </xf>
    <xf numFmtId="44" fontId="0" fillId="5" borderId="5" xfId="2" applyFont="1" applyFill="1" applyBorder="1" applyAlignment="1">
      <alignment horizontal="center" vertical="center"/>
    </xf>
    <xf numFmtId="44" fontId="0" fillId="5" borderId="13" xfId="2" applyFont="1" applyFill="1" applyBorder="1" applyAlignment="1">
      <alignment horizontal="center" vertical="center"/>
    </xf>
    <xf numFmtId="164" fontId="0" fillId="5" borderId="2" xfId="1" applyNumberFormat="1" applyFont="1" applyFill="1" applyBorder="1" applyAlignment="1">
      <alignment horizontal="center" vertical="center"/>
    </xf>
    <xf numFmtId="164" fontId="0" fillId="5" borderId="5" xfId="1" applyNumberFormat="1" applyFont="1" applyFill="1" applyBorder="1" applyAlignment="1">
      <alignment horizontal="center" vertical="center"/>
    </xf>
    <xf numFmtId="164" fontId="0" fillId="5" borderId="13" xfId="1" applyNumberFormat="1" applyFont="1" applyFill="1" applyBorder="1" applyAlignment="1">
      <alignment horizontal="center" vertical="center"/>
    </xf>
    <xf numFmtId="44" fontId="0" fillId="5" borderId="51" xfId="2" applyFont="1" applyFill="1" applyBorder="1" applyAlignment="1">
      <alignment horizontal="center" vertical="center"/>
    </xf>
    <xf numFmtId="164" fontId="0" fillId="5" borderId="51" xfId="1" applyNumberFormat="1" applyFont="1" applyFill="1" applyBorder="1" applyAlignment="1">
      <alignment horizontal="center" vertical="center"/>
    </xf>
    <xf numFmtId="170" fontId="0" fillId="5" borderId="2" xfId="0" applyNumberFormat="1" applyFill="1" applyBorder="1" applyAlignment="1">
      <alignment horizontal="center" vertical="center"/>
    </xf>
    <xf numFmtId="170" fontId="0" fillId="5" borderId="5" xfId="0" applyNumberFormat="1" applyFill="1" applyBorder="1" applyAlignment="1">
      <alignment horizontal="center" vertical="center"/>
    </xf>
    <xf numFmtId="170" fontId="0" fillId="5" borderId="13" xfId="0" applyNumberFormat="1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 textRotation="255" wrapText="1"/>
    </xf>
    <xf numFmtId="0" fontId="2" fillId="24" borderId="27" xfId="0" applyFont="1" applyFill="1" applyBorder="1" applyAlignment="1">
      <alignment horizontal="center" vertical="center" textRotation="255" wrapText="1"/>
    </xf>
    <xf numFmtId="0" fontId="2" fillId="24" borderId="4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51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/>
    </xf>
    <xf numFmtId="0" fontId="2" fillId="24" borderId="51" xfId="0" applyFont="1" applyFill="1" applyBorder="1" applyAlignment="1">
      <alignment horizontal="center" vertical="center"/>
    </xf>
    <xf numFmtId="0" fontId="2" fillId="24" borderId="13" xfId="0" applyFont="1" applyFill="1" applyBorder="1" applyAlignment="1">
      <alignment horizontal="center" vertical="center"/>
    </xf>
    <xf numFmtId="0" fontId="2" fillId="24" borderId="58" xfId="0" applyFont="1" applyFill="1" applyBorder="1" applyAlignment="1">
      <alignment horizontal="center" vertical="center" textRotation="255"/>
    </xf>
    <xf numFmtId="0" fontId="2" fillId="24" borderId="26" xfId="0" applyFont="1" applyFill="1" applyBorder="1" applyAlignment="1">
      <alignment horizontal="center" vertical="center" textRotation="255"/>
    </xf>
    <xf numFmtId="0" fontId="2" fillId="24" borderId="53" xfId="0" applyFont="1" applyFill="1" applyBorder="1" applyAlignment="1">
      <alignment horizontal="center" vertical="center" textRotation="255"/>
    </xf>
    <xf numFmtId="0" fontId="2" fillId="24" borderId="59" xfId="0" applyFont="1" applyFill="1" applyBorder="1" applyAlignment="1">
      <alignment horizontal="center" vertical="center" wrapText="1"/>
    </xf>
    <xf numFmtId="0" fontId="2" fillId="24" borderId="46" xfId="0" applyFont="1" applyFill="1" applyBorder="1" applyAlignment="1">
      <alignment horizontal="center" vertical="center" wrapText="1"/>
    </xf>
    <xf numFmtId="44" fontId="0" fillId="5" borderId="1" xfId="2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0" fontId="2" fillId="24" borderId="60" xfId="0" applyFont="1" applyFill="1" applyBorder="1" applyAlignment="1">
      <alignment horizontal="center" vertical="center"/>
    </xf>
    <xf numFmtId="0" fontId="2" fillId="24" borderId="41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24" borderId="4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44" fontId="2" fillId="5" borderId="46" xfId="2" applyFont="1" applyFill="1" applyBorder="1" applyAlignment="1">
      <alignment horizontal="center" vertical="center"/>
    </xf>
    <xf numFmtId="44" fontId="8" fillId="8" borderId="28" xfId="0" applyNumberFormat="1" applyFont="1" applyFill="1" applyBorder="1" applyAlignment="1">
      <alignment horizontal="center" vertical="center"/>
    </xf>
    <xf numFmtId="0" fontId="8" fillId="8" borderId="56" xfId="0" applyFont="1" applyFill="1" applyBorder="1" applyAlignment="1">
      <alignment horizontal="center" vertical="center"/>
    </xf>
    <xf numFmtId="44" fontId="2" fillId="8" borderId="35" xfId="0" applyNumberFormat="1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44" fontId="2" fillId="8" borderId="25" xfId="0" applyNumberFormat="1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56" xfId="0" applyFont="1" applyFill="1" applyBorder="1" applyAlignment="1">
      <alignment horizontal="center" vertical="center"/>
    </xf>
    <xf numFmtId="170" fontId="2" fillId="8" borderId="25" xfId="0" applyNumberFormat="1" applyFont="1" applyFill="1" applyBorder="1" applyAlignment="1">
      <alignment horizontal="center" vertical="center"/>
    </xf>
    <xf numFmtId="44" fontId="2" fillId="9" borderId="2" xfId="2" applyFont="1" applyFill="1" applyBorder="1" applyAlignment="1">
      <alignment horizontal="center" vertical="center"/>
    </xf>
    <xf numFmtId="44" fontId="2" fillId="9" borderId="5" xfId="2" applyFont="1" applyFill="1" applyBorder="1" applyAlignment="1">
      <alignment horizontal="center" vertical="center"/>
    </xf>
    <xf numFmtId="44" fontId="2" fillId="9" borderId="51" xfId="2" applyFont="1" applyFill="1" applyBorder="1" applyAlignment="1">
      <alignment horizontal="center" vertical="center"/>
    </xf>
    <xf numFmtId="44" fontId="2" fillId="9" borderId="59" xfId="2" applyFont="1" applyFill="1" applyBorder="1" applyAlignment="1">
      <alignment horizontal="center" vertical="center"/>
    </xf>
    <xf numFmtId="170" fontId="2" fillId="9" borderId="59" xfId="0" applyNumberFormat="1" applyFont="1" applyFill="1" applyBorder="1" applyAlignment="1">
      <alignment horizontal="center" vertical="center"/>
    </xf>
    <xf numFmtId="170" fontId="2" fillId="9" borderId="5" xfId="0" applyNumberFormat="1" applyFont="1" applyFill="1" applyBorder="1" applyAlignment="1">
      <alignment horizontal="center" vertical="center"/>
    </xf>
    <xf numFmtId="170" fontId="2" fillId="9" borderId="13" xfId="0" applyNumberFormat="1" applyFont="1" applyFill="1" applyBorder="1" applyAlignment="1">
      <alignment horizontal="center" vertical="center"/>
    </xf>
    <xf numFmtId="44" fontId="2" fillId="4" borderId="2" xfId="2" applyFont="1" applyFill="1" applyBorder="1" applyAlignment="1">
      <alignment horizontal="center" vertical="center"/>
    </xf>
    <xf numFmtId="170" fontId="2" fillId="4" borderId="59" xfId="0" applyNumberFormat="1" applyFont="1" applyFill="1" applyBorder="1" applyAlignment="1">
      <alignment horizontal="center" vertical="center"/>
    </xf>
    <xf numFmtId="170" fontId="2" fillId="4" borderId="5" xfId="0" applyNumberFormat="1" applyFont="1" applyFill="1" applyBorder="1" applyAlignment="1">
      <alignment horizontal="center" vertical="center"/>
    </xf>
    <xf numFmtId="170" fontId="2" fillId="4" borderId="13" xfId="0" applyNumberFormat="1" applyFont="1" applyFill="1" applyBorder="1" applyAlignment="1">
      <alignment horizontal="center" vertical="center"/>
    </xf>
    <xf numFmtId="44" fontId="2" fillId="23" borderId="2" xfId="2" applyFont="1" applyFill="1" applyBorder="1" applyAlignment="1">
      <alignment horizontal="center" vertical="center"/>
    </xf>
    <xf numFmtId="44" fontId="2" fillId="23" borderId="5" xfId="2" applyFont="1" applyFill="1" applyBorder="1" applyAlignment="1">
      <alignment horizontal="center" vertical="center"/>
    </xf>
    <xf numFmtId="44" fontId="2" fillId="23" borderId="51" xfId="2" applyFont="1" applyFill="1" applyBorder="1" applyAlignment="1">
      <alignment horizontal="center" vertical="center"/>
    </xf>
    <xf numFmtId="44" fontId="2" fillId="23" borderId="4" xfId="2" applyFont="1" applyFill="1" applyBorder="1" applyAlignment="1">
      <alignment horizontal="center" vertical="center"/>
    </xf>
    <xf numFmtId="44" fontId="2" fillId="23" borderId="1" xfId="2" applyFont="1" applyFill="1" applyBorder="1" applyAlignment="1">
      <alignment horizontal="center" vertical="center"/>
    </xf>
    <xf numFmtId="44" fontId="2" fillId="23" borderId="46" xfId="2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/>
    </xf>
    <xf numFmtId="0" fontId="11" fillId="7" borderId="4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4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5" borderId="27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 vertical="center" wrapText="1"/>
    </xf>
    <xf numFmtId="0" fontId="2" fillId="7" borderId="50" xfId="0" applyFont="1" applyFill="1" applyBorder="1" applyAlignment="1">
      <alignment horizontal="center" vertical="center" wrapText="1"/>
    </xf>
    <xf numFmtId="0" fontId="2" fillId="7" borderId="62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44" fontId="6" fillId="16" borderId="63" xfId="2" applyFont="1" applyFill="1" applyBorder="1" applyAlignment="1">
      <alignment horizontal="center"/>
    </xf>
    <xf numFmtId="44" fontId="6" fillId="16" borderId="18" xfId="2" applyFont="1" applyFill="1" applyBorder="1" applyAlignment="1">
      <alignment horizontal="center"/>
    </xf>
    <xf numFmtId="44" fontId="6" fillId="16" borderId="64" xfId="2" applyFont="1" applyFill="1" applyBorder="1" applyAlignment="1">
      <alignment horizontal="center"/>
    </xf>
    <xf numFmtId="44" fontId="6" fillId="9" borderId="63" xfId="2" applyFont="1" applyFill="1" applyBorder="1" applyAlignment="1">
      <alignment horizontal="center"/>
    </xf>
    <xf numFmtId="44" fontId="6" fillId="9" borderId="18" xfId="2" applyFont="1" applyFill="1" applyBorder="1" applyAlignment="1">
      <alignment horizontal="center"/>
    </xf>
    <xf numFmtId="44" fontId="6" fillId="9" borderId="64" xfId="2" applyFont="1" applyFill="1" applyBorder="1" applyAlignment="1">
      <alignment horizontal="center"/>
    </xf>
    <xf numFmtId="44" fontId="6" fillId="24" borderId="63" xfId="2" applyFont="1" applyFill="1" applyBorder="1" applyAlignment="1">
      <alignment horizontal="center"/>
    </xf>
    <xf numFmtId="44" fontId="6" fillId="24" borderId="18" xfId="2" applyFont="1" applyFill="1" applyBorder="1" applyAlignment="1">
      <alignment horizontal="center"/>
    </xf>
    <xf numFmtId="44" fontId="6" fillId="24" borderId="64" xfId="2" applyFont="1" applyFill="1" applyBorder="1" applyAlignment="1">
      <alignment horizontal="center"/>
    </xf>
    <xf numFmtId="44" fontId="6" fillId="23" borderId="63" xfId="2" applyFont="1" applyFill="1" applyBorder="1" applyAlignment="1">
      <alignment horizontal="center"/>
    </xf>
    <xf numFmtId="44" fontId="6" fillId="23" borderId="18" xfId="2" applyFont="1" applyFill="1" applyBorder="1" applyAlignment="1">
      <alignment horizontal="center"/>
    </xf>
    <xf numFmtId="44" fontId="6" fillId="23" borderId="64" xfId="2" applyFont="1" applyFill="1" applyBorder="1" applyAlignment="1">
      <alignment horizontal="center"/>
    </xf>
    <xf numFmtId="44" fontId="6" fillId="8" borderId="63" xfId="2" applyFont="1" applyFill="1" applyBorder="1" applyAlignment="1">
      <alignment horizontal="center"/>
    </xf>
    <xf numFmtId="44" fontId="6" fillId="8" borderId="18" xfId="2" applyFont="1" applyFill="1" applyBorder="1" applyAlignment="1">
      <alignment horizontal="center"/>
    </xf>
    <xf numFmtId="44" fontId="6" fillId="8" borderId="64" xfId="2" applyFont="1" applyFill="1" applyBorder="1" applyAlignment="1">
      <alignment horizontal="center"/>
    </xf>
    <xf numFmtId="44" fontId="6" fillId="7" borderId="63" xfId="2" applyFont="1" applyFill="1" applyBorder="1" applyAlignment="1">
      <alignment horizontal="center"/>
    </xf>
    <xf numFmtId="44" fontId="6" fillId="7" borderId="18" xfId="2" applyFont="1" applyFill="1" applyBorder="1" applyAlignment="1">
      <alignment horizontal="center"/>
    </xf>
    <xf numFmtId="44" fontId="6" fillId="7" borderId="64" xfId="2" applyFont="1" applyFill="1" applyBorder="1" applyAlignment="1">
      <alignment horizontal="center"/>
    </xf>
    <xf numFmtId="43" fontId="6" fillId="24" borderId="17" xfId="1" applyFont="1" applyFill="1" applyBorder="1" applyAlignment="1">
      <alignment horizontal="center"/>
    </xf>
    <xf numFmtId="43" fontId="6" fillId="24" borderId="18" xfId="1" applyFont="1" applyFill="1" applyBorder="1" applyAlignment="1">
      <alignment horizontal="center"/>
    </xf>
    <xf numFmtId="43" fontId="6" fillId="24" borderId="64" xfId="1" applyFont="1" applyFill="1" applyBorder="1" applyAlignment="1">
      <alignment horizontal="center"/>
    </xf>
    <xf numFmtId="43" fontId="6" fillId="9" borderId="63" xfId="1" applyFont="1" applyFill="1" applyBorder="1" applyAlignment="1">
      <alignment horizontal="center"/>
    </xf>
    <xf numFmtId="43" fontId="6" fillId="9" borderId="18" xfId="1" applyFont="1" applyFill="1" applyBorder="1" applyAlignment="1">
      <alignment horizontal="center"/>
    </xf>
    <xf numFmtId="43" fontId="6" fillId="9" borderId="64" xfId="1" applyFont="1" applyFill="1" applyBorder="1" applyAlignment="1">
      <alignment horizontal="center"/>
    </xf>
    <xf numFmtId="43" fontId="6" fillId="23" borderId="63" xfId="1" applyFont="1" applyFill="1" applyBorder="1" applyAlignment="1">
      <alignment horizontal="center"/>
    </xf>
    <xf numFmtId="43" fontId="6" fillId="23" borderId="18" xfId="1" applyFont="1" applyFill="1" applyBorder="1" applyAlignment="1">
      <alignment horizontal="center"/>
    </xf>
    <xf numFmtId="43" fontId="6" fillId="23" borderId="64" xfId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17" fontId="2" fillId="16" borderId="61" xfId="0" applyNumberFormat="1" applyFont="1" applyFill="1" applyBorder="1" applyAlignment="1">
      <alignment horizontal="center" vertical="center"/>
    </xf>
    <xf numFmtId="17" fontId="2" fillId="16" borderId="50" xfId="0" applyNumberFormat="1" applyFont="1" applyFill="1" applyBorder="1" applyAlignment="1">
      <alignment horizontal="center" vertical="center"/>
    </xf>
    <xf numFmtId="17" fontId="2" fillId="16" borderId="62" xfId="0" applyNumberFormat="1" applyFont="1" applyFill="1" applyBorder="1" applyAlignment="1">
      <alignment horizontal="center" vertical="center"/>
    </xf>
    <xf numFmtId="17" fontId="2" fillId="9" borderId="61" xfId="0" applyNumberFormat="1" applyFont="1" applyFill="1" applyBorder="1" applyAlignment="1">
      <alignment horizontal="center" vertical="center"/>
    </xf>
    <xf numFmtId="17" fontId="2" fillId="9" borderId="50" xfId="0" applyNumberFormat="1" applyFont="1" applyFill="1" applyBorder="1" applyAlignment="1">
      <alignment horizontal="center" vertical="center"/>
    </xf>
    <xf numFmtId="17" fontId="2" fillId="9" borderId="62" xfId="0" applyNumberFormat="1" applyFont="1" applyFill="1" applyBorder="1" applyAlignment="1">
      <alignment horizontal="center" vertical="center"/>
    </xf>
    <xf numFmtId="17" fontId="2" fillId="7" borderId="61" xfId="0" applyNumberFormat="1" applyFont="1" applyFill="1" applyBorder="1" applyAlignment="1">
      <alignment horizontal="center" vertical="center"/>
    </xf>
    <xf numFmtId="17" fontId="2" fillId="7" borderId="50" xfId="0" applyNumberFormat="1" applyFont="1" applyFill="1" applyBorder="1" applyAlignment="1">
      <alignment horizontal="center" vertical="center"/>
    </xf>
    <xf numFmtId="17" fontId="2" fillId="7" borderId="62" xfId="0" applyNumberFormat="1" applyFont="1" applyFill="1" applyBorder="1" applyAlignment="1">
      <alignment horizontal="center" vertical="center"/>
    </xf>
    <xf numFmtId="17" fontId="2" fillId="24" borderId="61" xfId="0" applyNumberFormat="1" applyFont="1" applyFill="1" applyBorder="1" applyAlignment="1">
      <alignment horizontal="center" vertical="center"/>
    </xf>
    <xf numFmtId="17" fontId="2" fillId="24" borderId="50" xfId="0" applyNumberFormat="1" applyFont="1" applyFill="1" applyBorder="1" applyAlignment="1">
      <alignment horizontal="center" vertical="center"/>
    </xf>
    <xf numFmtId="17" fontId="2" fillId="24" borderId="62" xfId="0" applyNumberFormat="1" applyFont="1" applyFill="1" applyBorder="1" applyAlignment="1">
      <alignment horizontal="center" vertical="center"/>
    </xf>
    <xf numFmtId="17" fontId="2" fillId="23" borderId="61" xfId="0" applyNumberFormat="1" applyFont="1" applyFill="1" applyBorder="1" applyAlignment="1">
      <alignment horizontal="center" vertical="center"/>
    </xf>
    <xf numFmtId="17" fontId="2" fillId="23" borderId="50" xfId="0" applyNumberFormat="1" applyFont="1" applyFill="1" applyBorder="1" applyAlignment="1">
      <alignment horizontal="center" vertical="center"/>
    </xf>
    <xf numFmtId="17" fontId="2" fillId="23" borderId="62" xfId="0" applyNumberFormat="1" applyFont="1" applyFill="1" applyBorder="1" applyAlignment="1">
      <alignment horizontal="center" vertical="center"/>
    </xf>
    <xf numFmtId="17" fontId="2" fillId="8" borderId="61" xfId="0" applyNumberFormat="1" applyFont="1" applyFill="1" applyBorder="1" applyAlignment="1">
      <alignment horizontal="center" vertical="center"/>
    </xf>
    <xf numFmtId="17" fontId="2" fillId="8" borderId="50" xfId="0" applyNumberFormat="1" applyFont="1" applyFill="1" applyBorder="1" applyAlignment="1">
      <alignment horizontal="center" vertical="center"/>
    </xf>
    <xf numFmtId="17" fontId="2" fillId="8" borderId="62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7" fillId="7" borderId="61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44" fontId="2" fillId="4" borderId="46" xfId="0" applyNumberFormat="1" applyFont="1" applyFill="1" applyBorder="1" applyAlignment="1">
      <alignment horizontal="center"/>
    </xf>
    <xf numFmtId="0" fontId="2" fillId="4" borderId="56" xfId="0" applyFont="1" applyFill="1" applyBorder="1" applyAlignment="1">
      <alignment horizontal="center"/>
    </xf>
    <xf numFmtId="0" fontId="2" fillId="7" borderId="61" xfId="0" applyFont="1" applyFill="1" applyBorder="1" applyAlignment="1">
      <alignment horizontal="center"/>
    </xf>
    <xf numFmtId="0" fontId="2" fillId="7" borderId="50" xfId="0" applyFont="1" applyFill="1" applyBorder="1" applyAlignment="1">
      <alignment horizontal="center"/>
    </xf>
    <xf numFmtId="0" fontId="2" fillId="7" borderId="62" xfId="0" applyFont="1" applyFill="1" applyBorder="1" applyAlignment="1">
      <alignment horizontal="center"/>
    </xf>
    <xf numFmtId="0" fontId="2" fillId="23" borderId="27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3" borderId="28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44" fontId="2" fillId="23" borderId="1" xfId="0" applyNumberFormat="1" applyFont="1" applyFill="1" applyBorder="1" applyAlignment="1">
      <alignment horizontal="center"/>
    </xf>
    <xf numFmtId="0" fontId="2" fillId="23" borderId="1" xfId="0" applyFont="1" applyFill="1" applyBorder="1" applyAlignment="1">
      <alignment horizontal="center"/>
    </xf>
    <xf numFmtId="167" fontId="2" fillId="8" borderId="1" xfId="0" applyNumberFormat="1" applyFont="1" applyFill="1" applyBorder="1" applyAlignment="1">
      <alignment horizontal="center"/>
    </xf>
    <xf numFmtId="4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4" fontId="2" fillId="16" borderId="1" xfId="0" applyNumberFormat="1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44" fontId="2" fillId="9" borderId="1" xfId="0" applyNumberFormat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6" borderId="27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23" borderId="27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7" fillId="23" borderId="63" xfId="0" applyFont="1" applyFill="1" applyBorder="1" applyAlignment="1">
      <alignment horizontal="center" vertical="center"/>
    </xf>
    <xf numFmtId="0" fontId="7" fillId="23" borderId="18" xfId="0" applyFont="1" applyFill="1" applyBorder="1" applyAlignment="1">
      <alignment horizontal="center" vertical="center"/>
    </xf>
    <xf numFmtId="0" fontId="7" fillId="23" borderId="19" xfId="0" applyFont="1" applyFill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16" borderId="63" xfId="0" applyFont="1" applyFill="1" applyBorder="1" applyAlignment="1">
      <alignment horizontal="center" vertical="center"/>
    </xf>
    <xf numFmtId="0" fontId="7" fillId="16" borderId="18" xfId="0" applyFont="1" applyFill="1" applyBorder="1" applyAlignment="1">
      <alignment horizontal="center" vertical="center"/>
    </xf>
    <xf numFmtId="0" fontId="7" fillId="16" borderId="19" xfId="0" applyFont="1" applyFill="1" applyBorder="1" applyAlignment="1">
      <alignment horizontal="center" vertical="center"/>
    </xf>
    <xf numFmtId="0" fontId="7" fillId="9" borderId="63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27" xfId="0" applyFont="1" applyFill="1" applyBorder="1" applyAlignment="1">
      <alignment horizontal="center" vertical="center" wrapText="1"/>
    </xf>
    <xf numFmtId="49" fontId="11" fillId="16" borderId="7" xfId="0" applyNumberFormat="1" applyFont="1" applyFill="1" applyBorder="1" applyAlignment="1">
      <alignment horizontal="center"/>
    </xf>
    <xf numFmtId="49" fontId="11" fillId="16" borderId="42" xfId="0" applyNumberFormat="1" applyFont="1" applyFill="1" applyBorder="1" applyAlignment="1">
      <alignment horizontal="center"/>
    </xf>
    <xf numFmtId="49" fontId="11" fillId="16" borderId="8" xfId="0" applyNumberFormat="1" applyFont="1" applyFill="1" applyBorder="1" applyAlignment="1">
      <alignment horizontal="center"/>
    </xf>
    <xf numFmtId="49" fontId="11" fillId="23" borderId="7" xfId="0" applyNumberFormat="1" applyFont="1" applyFill="1" applyBorder="1" applyAlignment="1">
      <alignment horizontal="center"/>
    </xf>
    <xf numFmtId="49" fontId="11" fillId="23" borderId="42" xfId="0" applyNumberFormat="1" applyFont="1" applyFill="1" applyBorder="1" applyAlignment="1">
      <alignment horizontal="center"/>
    </xf>
    <xf numFmtId="49" fontId="11" fillId="23" borderId="8" xfId="0" applyNumberFormat="1" applyFont="1" applyFill="1" applyBorder="1" applyAlignment="1">
      <alignment horizontal="center"/>
    </xf>
    <xf numFmtId="49" fontId="11" fillId="8" borderId="7" xfId="0" applyNumberFormat="1" applyFont="1" applyFill="1" applyBorder="1" applyAlignment="1">
      <alignment horizontal="center"/>
    </xf>
    <xf numFmtId="49" fontId="11" fillId="8" borderId="42" xfId="0" applyNumberFormat="1" applyFont="1" applyFill="1" applyBorder="1" applyAlignment="1">
      <alignment horizontal="center"/>
    </xf>
    <xf numFmtId="49" fontId="11" fillId="8" borderId="8" xfId="0" applyNumberFormat="1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 vertical="center" wrapText="1"/>
    </xf>
    <xf numFmtId="0" fontId="2" fillId="22" borderId="27" xfId="0" applyFont="1" applyFill="1" applyBorder="1" applyAlignment="1">
      <alignment horizontal="center" vertical="center" wrapText="1"/>
    </xf>
    <xf numFmtId="0" fontId="2" fillId="22" borderId="28" xfId="0" applyFont="1" applyFill="1" applyBorder="1" applyAlignment="1">
      <alignment horizontal="center" vertical="center" wrapText="1"/>
    </xf>
    <xf numFmtId="0" fontId="7" fillId="22" borderId="63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/>
    </xf>
    <xf numFmtId="0" fontId="7" fillId="22" borderId="19" xfId="0" applyFont="1" applyFill="1" applyBorder="1" applyAlignment="1">
      <alignment horizontal="center" vertical="center"/>
    </xf>
    <xf numFmtId="44" fontId="2" fillId="22" borderId="1" xfId="0" applyNumberFormat="1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2" fillId="23" borderId="17" xfId="0" applyFont="1" applyFill="1" applyBorder="1" applyAlignment="1">
      <alignment horizontal="center" vertical="center" wrapText="1"/>
    </xf>
    <xf numFmtId="0" fontId="2" fillId="23" borderId="18" xfId="0" applyFont="1" applyFill="1" applyBorder="1" applyAlignment="1">
      <alignment horizontal="center" vertical="center" wrapText="1"/>
    </xf>
    <xf numFmtId="0" fontId="2" fillId="23" borderId="19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/>
    </xf>
    <xf numFmtId="0" fontId="2" fillId="24" borderId="27" xfId="0" applyFont="1" applyFill="1" applyBorder="1" applyAlignment="1">
      <alignment horizontal="center" vertical="center" wrapText="1"/>
    </xf>
    <xf numFmtId="0" fontId="2" fillId="9" borderId="63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167" fontId="2" fillId="24" borderId="1" xfId="0" applyNumberFormat="1" applyFont="1" applyFill="1" applyBorder="1" applyAlignment="1">
      <alignment horizontal="center"/>
    </xf>
    <xf numFmtId="0" fontId="2" fillId="24" borderId="28" xfId="0" applyFont="1" applyFill="1" applyBorder="1" applyAlignment="1">
      <alignment horizontal="center" vertical="center" wrapText="1"/>
    </xf>
    <xf numFmtId="0" fontId="7" fillId="24" borderId="63" xfId="0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horizontal="center" vertical="center"/>
    </xf>
    <xf numFmtId="0" fontId="7" fillId="24" borderId="19" xfId="0" applyFont="1" applyFill="1" applyBorder="1" applyAlignment="1">
      <alignment horizontal="center" vertical="center"/>
    </xf>
    <xf numFmtId="49" fontId="11" fillId="9" borderId="7" xfId="0" applyNumberFormat="1" applyFont="1" applyFill="1" applyBorder="1" applyAlignment="1">
      <alignment horizontal="center"/>
    </xf>
    <xf numFmtId="49" fontId="11" fillId="9" borderId="42" xfId="0" applyNumberFormat="1" applyFont="1" applyFill="1" applyBorder="1" applyAlignment="1">
      <alignment horizontal="center"/>
    </xf>
    <xf numFmtId="49" fontId="11" fillId="9" borderId="8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49" fontId="11" fillId="24" borderId="7" xfId="0" applyNumberFormat="1" applyFont="1" applyFill="1" applyBorder="1" applyAlignment="1">
      <alignment horizontal="center"/>
    </xf>
    <xf numFmtId="49" fontId="11" fillId="24" borderId="42" xfId="0" applyNumberFormat="1" applyFont="1" applyFill="1" applyBorder="1" applyAlignment="1">
      <alignment horizontal="center"/>
    </xf>
    <xf numFmtId="49" fontId="11" fillId="24" borderId="8" xfId="0" applyNumberFormat="1" applyFont="1" applyFill="1" applyBorder="1" applyAlignment="1">
      <alignment horizontal="center"/>
    </xf>
    <xf numFmtId="49" fontId="11" fillId="22" borderId="7" xfId="0" applyNumberFormat="1" applyFont="1" applyFill="1" applyBorder="1" applyAlignment="1">
      <alignment horizontal="center"/>
    </xf>
    <xf numFmtId="49" fontId="11" fillId="22" borderId="42" xfId="0" applyNumberFormat="1" applyFont="1" applyFill="1" applyBorder="1" applyAlignment="1">
      <alignment horizontal="center"/>
    </xf>
    <xf numFmtId="49" fontId="11" fillId="22" borderId="8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44" fontId="0" fillId="0" borderId="17" xfId="2" applyFont="1" applyBorder="1" applyAlignment="1">
      <alignment horizontal="center"/>
    </xf>
    <xf numFmtId="44" fontId="0" fillId="0" borderId="19" xfId="2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2" fillId="4" borderId="1" xfId="2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0" fontId="11" fillId="7" borderId="43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/>
    </xf>
    <xf numFmtId="0" fontId="11" fillId="9" borderId="42" xfId="0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3" fillId="23" borderId="27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28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/>
    </xf>
    <xf numFmtId="0" fontId="11" fillId="8" borderId="42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3" fillId="23" borderId="27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23" borderId="44" xfId="0" applyFont="1" applyFill="1" applyBorder="1" applyAlignment="1">
      <alignment horizontal="center" vertical="center"/>
    </xf>
    <xf numFmtId="0" fontId="3" fillId="23" borderId="6" xfId="0" applyFont="1" applyFill="1" applyBorder="1" applyAlignment="1">
      <alignment horizontal="center" vertical="center"/>
    </xf>
    <xf numFmtId="0" fontId="3" fillId="23" borderId="49" xfId="0" applyFont="1" applyFill="1" applyBorder="1" applyAlignment="1">
      <alignment horizontal="center" vertical="center"/>
    </xf>
    <xf numFmtId="0" fontId="11" fillId="23" borderId="7" xfId="0" applyFont="1" applyFill="1" applyBorder="1" applyAlignment="1">
      <alignment horizontal="center"/>
    </xf>
    <xf numFmtId="0" fontId="11" fillId="23" borderId="42" xfId="0" applyFont="1" applyFill="1" applyBorder="1" applyAlignment="1">
      <alignment horizontal="center"/>
    </xf>
    <xf numFmtId="0" fontId="11" fillId="23" borderId="8" xfId="0" applyFont="1" applyFill="1" applyBorder="1" applyAlignment="1">
      <alignment horizontal="center"/>
    </xf>
    <xf numFmtId="0" fontId="3" fillId="8" borderId="4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23" borderId="44" xfId="0" applyFont="1" applyFill="1" applyBorder="1" applyAlignment="1">
      <alignment horizontal="center" vertical="center" wrapText="1"/>
    </xf>
    <xf numFmtId="0" fontId="3" fillId="23" borderId="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/>
    </xf>
    <xf numFmtId="0" fontId="11" fillId="16" borderId="42" xfId="0" applyFont="1" applyFill="1" applyBorder="1" applyAlignment="1">
      <alignment horizontal="center"/>
    </xf>
    <xf numFmtId="0" fontId="11" fillId="16" borderId="8" xfId="0" applyFont="1" applyFill="1" applyBorder="1" applyAlignment="1">
      <alignment horizontal="center"/>
    </xf>
    <xf numFmtId="0" fontId="4" fillId="23" borderId="27" xfId="0" applyFont="1" applyFill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4" fillId="16" borderId="27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/>
    </xf>
    <xf numFmtId="0" fontId="3" fillId="16" borderId="27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3" fillId="16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0" fillId="5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41" fontId="2" fillId="8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6" fillId="0" borderId="0" xfId="0" applyFont="1" applyFill="1"/>
  </cellXfs>
  <cellStyles count="5">
    <cellStyle name="Millares" xfId="1" builtinId="3"/>
    <cellStyle name="Millares [0]" xfId="3" builtinId="6"/>
    <cellStyle name="Moneda" xfId="2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FDFDC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95252</xdr:colOff>
      <xdr:row>2</xdr:row>
      <xdr:rowOff>79375</xdr:rowOff>
    </xdr:from>
    <xdr:to>
      <xdr:col>6</xdr:col>
      <xdr:colOff>329778</xdr:colOff>
      <xdr:row>8</xdr:row>
      <xdr:rowOff>178594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28DBC7-48A2-424B-9ECF-460FBDCC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40" y="472281"/>
          <a:ext cx="2734838" cy="1670844"/>
        </a:xfrm>
        <a:prstGeom prst="rect">
          <a:avLst/>
        </a:prstGeom>
      </xdr:spPr>
    </xdr:pic>
    <xdr:clientData/>
  </xdr:twoCellAnchor>
  <xdr:twoCellAnchor editAs="oneCell">
    <xdr:from>
      <xdr:col>1</xdr:col>
      <xdr:colOff>226219</xdr:colOff>
      <xdr:row>9</xdr:row>
      <xdr:rowOff>95250</xdr:rowOff>
    </xdr:from>
    <xdr:to>
      <xdr:col>15</xdr:col>
      <xdr:colOff>726281</xdr:colOff>
      <xdr:row>55</xdr:row>
      <xdr:rowOff>182562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8AAB6F4-F5FC-AAB1-126F-6D09CBE4A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407" y="2250281"/>
          <a:ext cx="10072687" cy="8850312"/>
        </a:xfrm>
        <a:prstGeom prst="rect">
          <a:avLst/>
        </a:prstGeom>
      </xdr:spPr>
    </xdr:pic>
    <xdr:clientData/>
  </xdr:twoCellAnchor>
  <xdr:twoCellAnchor editAs="oneCell">
    <xdr:from>
      <xdr:col>3</xdr:col>
      <xdr:colOff>297656</xdr:colOff>
      <xdr:row>56</xdr:row>
      <xdr:rowOff>119063</xdr:rowOff>
    </xdr:from>
    <xdr:to>
      <xdr:col>14</xdr:col>
      <xdr:colOff>671596</xdr:colOff>
      <xdr:row>68</xdr:row>
      <xdr:rowOff>83344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4467263-871B-3C53-2F04-CA2D97081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7344" y="11227594"/>
          <a:ext cx="8232065" cy="2250281"/>
        </a:xfrm>
        <a:prstGeom prst="rect">
          <a:avLst/>
        </a:prstGeom>
      </xdr:spPr>
    </xdr:pic>
    <xdr:clientData/>
  </xdr:twoCellAnchor>
  <xdr:twoCellAnchor>
    <xdr:from>
      <xdr:col>9</xdr:col>
      <xdr:colOff>345282</xdr:colOff>
      <xdr:row>9</xdr:row>
      <xdr:rowOff>178594</xdr:rowOff>
    </xdr:from>
    <xdr:to>
      <xdr:col>10</xdr:col>
      <xdr:colOff>392906</xdr:colOff>
      <xdr:row>12</xdr:row>
      <xdr:rowOff>35720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894C484-9612-E71D-A626-CFD917ABCE27}"/>
            </a:ext>
          </a:extLst>
        </xdr:cNvPr>
        <xdr:cNvSpPr txBox="1"/>
      </xdr:nvSpPr>
      <xdr:spPr>
        <a:xfrm>
          <a:off x="5298282" y="2333625"/>
          <a:ext cx="809624" cy="4286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/>
            <a:t>-m</a:t>
          </a:r>
        </a:p>
      </xdr:txBody>
    </xdr:sp>
    <xdr:clientData/>
  </xdr:twoCellAnchor>
  <xdr:twoCellAnchor>
    <xdr:from>
      <xdr:col>15</xdr:col>
      <xdr:colOff>23812</xdr:colOff>
      <xdr:row>31</xdr:row>
      <xdr:rowOff>59531</xdr:rowOff>
    </xdr:from>
    <xdr:to>
      <xdr:col>16</xdr:col>
      <xdr:colOff>71436</xdr:colOff>
      <xdr:row>33</xdr:row>
      <xdr:rowOff>107157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038785B-A6E5-4005-B4DA-4DCBB0E35509}"/>
            </a:ext>
          </a:extLst>
        </xdr:cNvPr>
        <xdr:cNvSpPr txBox="1"/>
      </xdr:nvSpPr>
      <xdr:spPr>
        <a:xfrm>
          <a:off x="9953625" y="6405562"/>
          <a:ext cx="809624" cy="4286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2400"/>
            <a:t>-m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63779</xdr:colOff>
      <xdr:row>5</xdr:row>
      <xdr:rowOff>41412</xdr:rowOff>
    </xdr:from>
    <xdr:to>
      <xdr:col>6</xdr:col>
      <xdr:colOff>74196</xdr:colOff>
      <xdr:row>9</xdr:row>
      <xdr:rowOff>107673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58D3B9-5411-4303-A590-33FE3538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627" y="1954695"/>
          <a:ext cx="1476439" cy="8282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412750</xdr:colOff>
      <xdr:row>1</xdr:row>
      <xdr:rowOff>47625</xdr:rowOff>
    </xdr:from>
    <xdr:to>
      <xdr:col>6</xdr:col>
      <xdr:colOff>2550386</xdr:colOff>
      <xdr:row>17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EA645B-C94E-34E2-F4AC-17CCD8651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50" y="238125"/>
          <a:ext cx="9233761" cy="3889375"/>
        </a:xfrm>
        <a:prstGeom prst="rect">
          <a:avLst/>
        </a:prstGeom>
      </xdr:spPr>
    </xdr:pic>
    <xdr:clientData/>
  </xdr:twoCellAnchor>
  <xdr:twoCellAnchor editAs="oneCell">
    <xdr:from>
      <xdr:col>43</xdr:col>
      <xdr:colOff>428625</xdr:colOff>
      <xdr:row>2</xdr:row>
      <xdr:rowOff>63500</xdr:rowOff>
    </xdr:from>
    <xdr:to>
      <xdr:col>50</xdr:col>
      <xdr:colOff>1010511</xdr:colOff>
      <xdr:row>16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55B67E-B9E8-4C9A-930C-81CBD94C2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49875" y="444500"/>
          <a:ext cx="9233761" cy="3635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171450</xdr:rowOff>
    </xdr:from>
    <xdr:to>
      <xdr:col>4</xdr:col>
      <xdr:colOff>1038706</xdr:colOff>
      <xdr:row>11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8EDE40-5C7C-FE47-D97C-5841F3DF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71450"/>
          <a:ext cx="3448531" cy="2009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697707</xdr:colOff>
      <xdr:row>1</xdr:row>
      <xdr:rowOff>0</xdr:rowOff>
    </xdr:from>
    <xdr:to>
      <xdr:col>5</xdr:col>
      <xdr:colOff>192957</xdr:colOff>
      <xdr:row>11</xdr:row>
      <xdr:rowOff>166688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27C0F5-41BF-4F34-8090-94B5CAC02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2613" y="190500"/>
          <a:ext cx="4114875" cy="2393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106914</xdr:colOff>
      <xdr:row>0</xdr:row>
      <xdr:rowOff>19438</xdr:rowOff>
    </xdr:from>
    <xdr:to>
      <xdr:col>6</xdr:col>
      <xdr:colOff>516970</xdr:colOff>
      <xdr:row>9</xdr:row>
      <xdr:rowOff>172810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CD3EAE-C4E2-4A4A-8028-E6DA2BC08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5026" y="19438"/>
          <a:ext cx="3442505" cy="2048653"/>
        </a:xfrm>
        <a:prstGeom prst="rect">
          <a:avLst/>
        </a:prstGeom>
      </xdr:spPr>
    </xdr:pic>
    <xdr:clientData/>
  </xdr:twoCellAnchor>
  <xdr:twoCellAnchor editAs="oneCell">
    <xdr:from>
      <xdr:col>19</xdr:col>
      <xdr:colOff>670638</xdr:colOff>
      <xdr:row>0</xdr:row>
      <xdr:rowOff>87474</xdr:rowOff>
    </xdr:from>
    <xdr:to>
      <xdr:col>22</xdr:col>
      <xdr:colOff>1275081</xdr:colOff>
      <xdr:row>10</xdr:row>
      <xdr:rowOff>46459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0C3BC3-3B1B-4900-81DD-3A597EB8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1709" y="87474"/>
          <a:ext cx="3442505" cy="20486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28575</xdr:rowOff>
    </xdr:from>
    <xdr:to>
      <xdr:col>2</xdr:col>
      <xdr:colOff>543406</xdr:colOff>
      <xdr:row>11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8EBAA-8A46-A4B4-7004-D3B89048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219075"/>
          <a:ext cx="3448531" cy="2105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728869</xdr:colOff>
      <xdr:row>2</xdr:row>
      <xdr:rowOff>33131</xdr:rowOff>
    </xdr:from>
    <xdr:to>
      <xdr:col>2</xdr:col>
      <xdr:colOff>550793</xdr:colOff>
      <xdr:row>9</xdr:row>
      <xdr:rowOff>183820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DC0EDE-A1ED-64DB-F957-DDC65620B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869" y="414131"/>
          <a:ext cx="2145196" cy="16829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2</xdr:row>
      <xdr:rowOff>123825</xdr:rowOff>
    </xdr:from>
    <xdr:to>
      <xdr:col>2</xdr:col>
      <xdr:colOff>828676</xdr:colOff>
      <xdr:row>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C1FF56-6035-465F-9993-A505832CA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1" y="504825"/>
          <a:ext cx="3162300" cy="1524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1046093</xdr:colOff>
      <xdr:row>4</xdr:row>
      <xdr:rowOff>34753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DDD349-9B4D-4572-B871-672420C99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60518" cy="939628"/>
        </a:xfrm>
        <a:prstGeom prst="rect">
          <a:avLst/>
        </a:prstGeom>
      </xdr:spPr>
    </xdr:pic>
    <xdr:clientData/>
  </xdr:twoCellAnchor>
  <xdr:twoCellAnchor editAs="oneCell">
    <xdr:from>
      <xdr:col>47</xdr:col>
      <xdr:colOff>9525</xdr:colOff>
      <xdr:row>0</xdr:row>
      <xdr:rowOff>95250</xdr:rowOff>
    </xdr:from>
    <xdr:to>
      <xdr:col>48</xdr:col>
      <xdr:colOff>1004818</xdr:colOff>
      <xdr:row>4</xdr:row>
      <xdr:rowOff>130003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7837B-FBDB-49EE-A6E2-D48FF953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0225" y="95250"/>
          <a:ext cx="2176393" cy="9396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207818</xdr:colOff>
      <xdr:row>1</xdr:row>
      <xdr:rowOff>103911</xdr:rowOff>
    </xdr:from>
    <xdr:to>
      <xdr:col>2</xdr:col>
      <xdr:colOff>17318</xdr:colOff>
      <xdr:row>7</xdr:row>
      <xdr:rowOff>51955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5EA426-0DE3-3909-4B7E-7A935A44E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94411"/>
          <a:ext cx="1740477" cy="13248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9586</xdr:colOff>
      <xdr:row>1</xdr:row>
      <xdr:rowOff>151006</xdr:rowOff>
    </xdr:from>
    <xdr:to>
      <xdr:col>2</xdr:col>
      <xdr:colOff>270487</xdr:colOff>
      <xdr:row>6</xdr:row>
      <xdr:rowOff>227394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DFC396-E6AD-4469-A21F-7929ACA8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147" y="336860"/>
          <a:ext cx="3060322" cy="1307668"/>
        </a:xfrm>
        <a:prstGeom prst="rect">
          <a:avLst/>
        </a:prstGeom>
      </xdr:spPr>
    </xdr:pic>
    <xdr:clientData/>
  </xdr:twoCellAnchor>
  <xdr:twoCellAnchor editAs="oneCell">
    <xdr:from>
      <xdr:col>116</xdr:col>
      <xdr:colOff>1242391</xdr:colOff>
      <xdr:row>0</xdr:row>
      <xdr:rowOff>165652</xdr:rowOff>
    </xdr:from>
    <xdr:to>
      <xdr:col>119</xdr:col>
      <xdr:colOff>695739</xdr:colOff>
      <xdr:row>7</xdr:row>
      <xdr:rowOff>11616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6DCC8B-73FD-4416-AA4D-9715249ED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96141" y="165652"/>
          <a:ext cx="3065878" cy="1599958"/>
        </a:xfrm>
        <a:prstGeom prst="rect">
          <a:avLst/>
        </a:prstGeom>
      </xdr:spPr>
    </xdr:pic>
    <xdr:clientData/>
  </xdr:twoCellAnchor>
  <xdr:twoCellAnchor editAs="oneCell">
    <xdr:from>
      <xdr:col>91</xdr:col>
      <xdr:colOff>186359</xdr:colOff>
      <xdr:row>1</xdr:row>
      <xdr:rowOff>41412</xdr:rowOff>
    </xdr:from>
    <xdr:to>
      <xdr:col>92</xdr:col>
      <xdr:colOff>737152</xdr:colOff>
      <xdr:row>7</xdr:row>
      <xdr:rowOff>11615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3DAD6E-4043-4068-B99C-2D6F89CF2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706237" y="227266"/>
          <a:ext cx="3059817" cy="1538343"/>
        </a:xfrm>
        <a:prstGeom prst="rect">
          <a:avLst/>
        </a:prstGeom>
      </xdr:spPr>
    </xdr:pic>
    <xdr:clientData/>
  </xdr:twoCellAnchor>
  <xdr:twoCellAnchor editAs="oneCell">
    <xdr:from>
      <xdr:col>60</xdr:col>
      <xdr:colOff>745436</xdr:colOff>
      <xdr:row>1</xdr:row>
      <xdr:rowOff>62119</xdr:rowOff>
    </xdr:from>
    <xdr:to>
      <xdr:col>62</xdr:col>
      <xdr:colOff>695739</xdr:colOff>
      <xdr:row>7</xdr:row>
      <xdr:rowOff>104543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D38784-D2B5-4A29-98AC-CE0ECD268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56412" y="247973"/>
          <a:ext cx="3063351" cy="1610564"/>
        </a:xfrm>
        <a:prstGeom prst="rect">
          <a:avLst/>
        </a:prstGeom>
      </xdr:spPr>
    </xdr:pic>
    <xdr:clientData/>
  </xdr:twoCellAnchor>
  <xdr:twoCellAnchor editAs="oneCell">
    <xdr:from>
      <xdr:col>31</xdr:col>
      <xdr:colOff>62120</xdr:colOff>
      <xdr:row>0</xdr:row>
      <xdr:rowOff>103533</xdr:rowOff>
    </xdr:from>
    <xdr:to>
      <xdr:col>32</xdr:col>
      <xdr:colOff>819978</xdr:colOff>
      <xdr:row>5</xdr:row>
      <xdr:rowOff>321402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50587DA-613A-41C5-B136-C83E73211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0218" y="103533"/>
          <a:ext cx="3056282" cy="13041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61451</xdr:colOff>
      <xdr:row>1</xdr:row>
      <xdr:rowOff>61452</xdr:rowOff>
    </xdr:from>
    <xdr:to>
      <xdr:col>2</xdr:col>
      <xdr:colOff>1208547</xdr:colOff>
      <xdr:row>4</xdr:row>
      <xdr:rowOff>225323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C83C5D-C455-4366-A857-12B28CD5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064" y="256049"/>
          <a:ext cx="1986935" cy="891048"/>
        </a:xfrm>
        <a:prstGeom prst="rect">
          <a:avLst/>
        </a:prstGeom>
      </xdr:spPr>
    </xdr:pic>
    <xdr:clientData/>
  </xdr:twoCellAnchor>
  <xdr:twoCellAnchor editAs="oneCell">
    <xdr:from>
      <xdr:col>21</xdr:col>
      <xdr:colOff>850081</xdr:colOff>
      <xdr:row>0</xdr:row>
      <xdr:rowOff>153630</xdr:rowOff>
    </xdr:from>
    <xdr:to>
      <xdr:col>22</xdr:col>
      <xdr:colOff>1209541</xdr:colOff>
      <xdr:row>4</xdr:row>
      <xdr:rowOff>163872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92A60F-D1A8-4599-95A9-9FECFE2CB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19033" y="153630"/>
          <a:ext cx="1629460" cy="93201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638176</xdr:colOff>
      <xdr:row>1</xdr:row>
      <xdr:rowOff>114300</xdr:rowOff>
    </xdr:from>
    <xdr:to>
      <xdr:col>3</xdr:col>
      <xdr:colOff>266701</xdr:colOff>
      <xdr:row>7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A56D2B-3538-4A96-A4A3-F742F50F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6" y="304800"/>
          <a:ext cx="2647950" cy="1447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89646</xdr:rowOff>
    </xdr:from>
    <xdr:to>
      <xdr:col>3</xdr:col>
      <xdr:colOff>459441</xdr:colOff>
      <xdr:row>8</xdr:row>
      <xdr:rowOff>179294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AB5E2-953D-FB6E-8995-0C3825114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89646"/>
          <a:ext cx="4291853" cy="203947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164587</xdr:rowOff>
    </xdr:from>
    <xdr:to>
      <xdr:col>2</xdr:col>
      <xdr:colOff>2039391</xdr:colOff>
      <xdr:row>8</xdr:row>
      <xdr:rowOff>142175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F26B34-28A2-4694-A23A-B33891103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55087"/>
          <a:ext cx="3444329" cy="173971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</xdr:row>
      <xdr:rowOff>28575</xdr:rowOff>
    </xdr:from>
    <xdr:to>
      <xdr:col>4</xdr:col>
      <xdr:colOff>895831</xdr:colOff>
      <xdr:row>12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178006-373C-5856-EE32-2374C74F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409575"/>
          <a:ext cx="3448531" cy="2105025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600075</xdr:colOff>
      <xdr:row>0</xdr:row>
      <xdr:rowOff>66675</xdr:rowOff>
    </xdr:from>
    <xdr:to>
      <xdr:col>20</xdr:col>
      <xdr:colOff>838681</xdr:colOff>
      <xdr:row>10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D7C570-5F56-4DF0-8060-172076709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4400" y="66675"/>
          <a:ext cx="3448531" cy="21050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4</xdr:row>
      <xdr:rowOff>47626</xdr:rowOff>
    </xdr:from>
    <xdr:to>
      <xdr:col>5</xdr:col>
      <xdr:colOff>320338</xdr:colOff>
      <xdr:row>8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C671D3-67D6-4781-9B72-12E57C4E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1" y="819151"/>
          <a:ext cx="1777662" cy="8953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3</xdr:row>
      <xdr:rowOff>152400</xdr:rowOff>
    </xdr:from>
    <xdr:to>
      <xdr:col>4</xdr:col>
      <xdr:colOff>787062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EF3B61-3103-4404-BEC6-A01BFDE03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723900"/>
          <a:ext cx="1777662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8604-D26C-4AE4-9CC0-75E664393193}">
  <dimension ref="B1:U75"/>
  <sheetViews>
    <sheetView showGridLines="0" topLeftCell="A4" zoomScale="80" zoomScaleNormal="80" workbookViewId="0">
      <selection activeCell="A75" sqref="A75:XFD1048576"/>
    </sheetView>
  </sheetViews>
  <sheetFormatPr baseColWidth="10" defaultColWidth="0" defaultRowHeight="15" zeroHeight="1" x14ac:dyDescent="0.25"/>
  <cols>
    <col min="1" max="1" width="5.28515625" customWidth="1"/>
    <col min="2" max="5" width="7.140625" customWidth="1"/>
    <col min="6" max="6" width="9" customWidth="1"/>
    <col min="7" max="8" width="11.42578125" customWidth="1"/>
    <col min="9" max="9" width="8.5703125" customWidth="1"/>
    <col min="10" max="12" width="11.42578125" customWidth="1"/>
    <col min="13" max="13" width="17.5703125" customWidth="1"/>
    <col min="14" max="17" width="11.42578125" customWidth="1"/>
    <col min="22" max="16384" width="11.42578125" hidden="1"/>
  </cols>
  <sheetData>
    <row r="1" spans="2:21" x14ac:dyDescent="0.25">
      <c r="U1" t="s">
        <v>570</v>
      </c>
    </row>
    <row r="2" spans="2:21" s="37" customFormat="1" ht="15.75" thickBot="1" x14ac:dyDescent="0.3"/>
    <row r="3" spans="2:21" s="37" customFormat="1" ht="26.25" x14ac:dyDescent="0.4">
      <c r="B3" s="1049" t="s">
        <v>571</v>
      </c>
      <c r="C3" s="1050"/>
      <c r="D3" s="1050"/>
      <c r="E3" s="1050"/>
      <c r="F3" s="1050"/>
      <c r="G3" s="1050"/>
      <c r="H3" s="1050"/>
      <c r="I3" s="1050"/>
      <c r="J3" s="1050"/>
      <c r="K3" s="1050"/>
      <c r="L3" s="1050"/>
      <c r="M3" s="1050"/>
      <c r="N3" s="1050"/>
      <c r="O3" s="1050"/>
      <c r="P3" s="1051"/>
    </row>
    <row r="4" spans="2:21" s="37" customFormat="1" ht="26.25" x14ac:dyDescent="0.4">
      <c r="B4" s="1052" t="s">
        <v>27</v>
      </c>
      <c r="C4" s="1053"/>
      <c r="D4" s="1053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4"/>
    </row>
    <row r="5" spans="2:21" s="37" customFormat="1" ht="26.25" x14ac:dyDescent="0.4">
      <c r="B5" s="1055" t="s">
        <v>503</v>
      </c>
      <c r="C5" s="1056"/>
      <c r="D5" s="1056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7"/>
    </row>
    <row r="6" spans="2:21" s="37" customFormat="1" x14ac:dyDescent="0.25">
      <c r="B6" s="196"/>
      <c r="P6" s="227"/>
    </row>
    <row r="7" spans="2:21" s="37" customFormat="1" x14ac:dyDescent="0.25">
      <c r="B7" s="196"/>
      <c r="P7" s="227"/>
    </row>
    <row r="8" spans="2:21" s="37" customFormat="1" x14ac:dyDescent="0.25">
      <c r="B8" s="196"/>
      <c r="P8" s="227"/>
    </row>
    <row r="9" spans="2:21" s="37" customFormat="1" x14ac:dyDescent="0.25">
      <c r="B9" s="196"/>
      <c r="P9" s="227"/>
    </row>
    <row r="10" spans="2:21" s="37" customFormat="1" x14ac:dyDescent="0.25">
      <c r="B10" s="196"/>
      <c r="P10" s="227"/>
    </row>
    <row r="11" spans="2:21" s="37" customFormat="1" x14ac:dyDescent="0.25">
      <c r="B11" s="196"/>
      <c r="P11" s="227"/>
    </row>
    <row r="12" spans="2:21" s="37" customFormat="1" x14ac:dyDescent="0.25">
      <c r="B12" s="196"/>
      <c r="P12" s="227"/>
    </row>
    <row r="13" spans="2:21" s="37" customFormat="1" x14ac:dyDescent="0.25">
      <c r="B13" s="196"/>
      <c r="P13" s="227"/>
    </row>
    <row r="14" spans="2:21" s="37" customFormat="1" x14ac:dyDescent="0.25">
      <c r="B14" s="196"/>
      <c r="P14" s="227"/>
    </row>
    <row r="15" spans="2:21" s="37" customFormat="1" x14ac:dyDescent="0.25">
      <c r="B15" s="196"/>
      <c r="P15" s="227"/>
    </row>
    <row r="16" spans="2:21" s="37" customFormat="1" x14ac:dyDescent="0.25">
      <c r="B16" s="196"/>
      <c r="P16" s="227"/>
    </row>
    <row r="17" spans="2:16" s="37" customFormat="1" x14ac:dyDescent="0.25">
      <c r="B17" s="196"/>
      <c r="P17" s="227"/>
    </row>
    <row r="18" spans="2:16" s="37" customFormat="1" x14ac:dyDescent="0.25">
      <c r="B18" s="196"/>
      <c r="P18" s="227"/>
    </row>
    <row r="19" spans="2:16" s="37" customFormat="1" x14ac:dyDescent="0.25">
      <c r="B19" s="196"/>
      <c r="P19" s="227"/>
    </row>
    <row r="20" spans="2:16" s="37" customFormat="1" x14ac:dyDescent="0.25">
      <c r="B20" s="196"/>
      <c r="P20" s="227"/>
    </row>
    <row r="21" spans="2:16" s="37" customFormat="1" x14ac:dyDescent="0.25">
      <c r="B21" s="196"/>
      <c r="P21" s="227"/>
    </row>
    <row r="22" spans="2:16" s="37" customFormat="1" x14ac:dyDescent="0.25">
      <c r="B22" s="196"/>
      <c r="P22" s="227"/>
    </row>
    <row r="23" spans="2:16" s="37" customFormat="1" x14ac:dyDescent="0.25">
      <c r="B23" s="196"/>
      <c r="P23" s="227"/>
    </row>
    <row r="24" spans="2:16" s="37" customFormat="1" x14ac:dyDescent="0.25">
      <c r="B24" s="196"/>
      <c r="P24" s="227"/>
    </row>
    <row r="25" spans="2:16" s="37" customFormat="1" x14ac:dyDescent="0.25">
      <c r="B25" s="196"/>
      <c r="P25" s="227"/>
    </row>
    <row r="26" spans="2:16" s="37" customFormat="1" x14ac:dyDescent="0.25">
      <c r="B26" s="196"/>
      <c r="P26" s="227"/>
    </row>
    <row r="27" spans="2:16" s="37" customFormat="1" x14ac:dyDescent="0.25">
      <c r="B27" s="196"/>
      <c r="P27" s="227"/>
    </row>
    <row r="28" spans="2:16" s="37" customFormat="1" x14ac:dyDescent="0.25">
      <c r="B28" s="196"/>
      <c r="P28" s="227"/>
    </row>
    <row r="29" spans="2:16" s="37" customFormat="1" x14ac:dyDescent="0.25">
      <c r="B29" s="196"/>
      <c r="P29" s="227"/>
    </row>
    <row r="30" spans="2:16" s="37" customFormat="1" x14ac:dyDescent="0.25">
      <c r="B30" s="196"/>
      <c r="P30" s="227"/>
    </row>
    <row r="31" spans="2:16" s="37" customFormat="1" x14ac:dyDescent="0.25">
      <c r="B31" s="196"/>
      <c r="P31" s="227"/>
    </row>
    <row r="32" spans="2:16" s="37" customFormat="1" x14ac:dyDescent="0.25">
      <c r="B32" s="196"/>
      <c r="P32" s="227"/>
    </row>
    <row r="33" spans="2:16" s="37" customFormat="1" x14ac:dyDescent="0.25">
      <c r="B33" s="196"/>
      <c r="P33" s="227"/>
    </row>
    <row r="34" spans="2:16" s="37" customFormat="1" x14ac:dyDescent="0.25">
      <c r="B34" s="196"/>
      <c r="P34" s="227"/>
    </row>
    <row r="35" spans="2:16" s="37" customFormat="1" x14ac:dyDescent="0.25">
      <c r="B35" s="196"/>
      <c r="P35" s="227"/>
    </row>
    <row r="36" spans="2:16" s="37" customFormat="1" x14ac:dyDescent="0.25">
      <c r="B36" s="196"/>
      <c r="P36" s="227"/>
    </row>
    <row r="37" spans="2:16" s="37" customFormat="1" x14ac:dyDescent="0.25">
      <c r="B37" s="196"/>
      <c r="P37" s="227"/>
    </row>
    <row r="38" spans="2:16" s="37" customFormat="1" x14ac:dyDescent="0.25">
      <c r="B38" s="196"/>
      <c r="P38" s="227"/>
    </row>
    <row r="39" spans="2:16" s="37" customFormat="1" x14ac:dyDescent="0.25">
      <c r="B39" s="196"/>
      <c r="P39" s="227"/>
    </row>
    <row r="40" spans="2:16" s="37" customFormat="1" x14ac:dyDescent="0.25">
      <c r="B40" s="196"/>
      <c r="P40" s="227"/>
    </row>
    <row r="41" spans="2:16" s="37" customFormat="1" x14ac:dyDescent="0.25">
      <c r="B41" s="196"/>
      <c r="P41" s="227"/>
    </row>
    <row r="42" spans="2:16" s="37" customFormat="1" x14ac:dyDescent="0.25">
      <c r="B42" s="196"/>
      <c r="P42" s="227"/>
    </row>
    <row r="43" spans="2:16" s="37" customFormat="1" x14ac:dyDescent="0.25">
      <c r="B43" s="196"/>
      <c r="P43" s="227"/>
    </row>
    <row r="44" spans="2:16" s="37" customFormat="1" x14ac:dyDescent="0.25">
      <c r="B44" s="196"/>
      <c r="P44" s="227"/>
    </row>
    <row r="45" spans="2:16" s="37" customFormat="1" x14ac:dyDescent="0.25">
      <c r="B45" s="196"/>
      <c r="P45" s="227"/>
    </row>
    <row r="46" spans="2:16" s="37" customFormat="1" x14ac:dyDescent="0.25">
      <c r="B46" s="196"/>
      <c r="P46" s="227"/>
    </row>
    <row r="47" spans="2:16" s="37" customFormat="1" x14ac:dyDescent="0.25">
      <c r="B47" s="196"/>
      <c r="P47" s="227"/>
    </row>
    <row r="48" spans="2:16" s="37" customFormat="1" x14ac:dyDescent="0.25">
      <c r="B48" s="196"/>
      <c r="P48" s="227"/>
    </row>
    <row r="49" spans="2:16" s="37" customFormat="1" x14ac:dyDescent="0.25">
      <c r="B49" s="196"/>
      <c r="P49" s="227"/>
    </row>
    <row r="50" spans="2:16" s="37" customFormat="1" x14ac:dyDescent="0.25">
      <c r="B50" s="196"/>
      <c r="P50" s="227"/>
    </row>
    <row r="51" spans="2:16" s="37" customFormat="1" x14ac:dyDescent="0.25">
      <c r="B51" s="196"/>
      <c r="P51" s="227"/>
    </row>
    <row r="52" spans="2:16" s="37" customFormat="1" x14ac:dyDescent="0.25">
      <c r="B52" s="196"/>
      <c r="P52" s="227"/>
    </row>
    <row r="53" spans="2:16" s="37" customFormat="1" x14ac:dyDescent="0.25">
      <c r="B53" s="196"/>
      <c r="P53" s="227"/>
    </row>
    <row r="54" spans="2:16" s="37" customFormat="1" x14ac:dyDescent="0.25">
      <c r="B54" s="196"/>
      <c r="P54" s="227"/>
    </row>
    <row r="55" spans="2:16" s="37" customFormat="1" x14ac:dyDescent="0.25">
      <c r="B55" s="196"/>
      <c r="P55" s="227"/>
    </row>
    <row r="56" spans="2:16" s="37" customFormat="1" x14ac:dyDescent="0.25">
      <c r="B56" s="196"/>
      <c r="P56" s="227"/>
    </row>
    <row r="57" spans="2:16" s="37" customFormat="1" x14ac:dyDescent="0.25">
      <c r="B57" s="196"/>
      <c r="P57" s="227"/>
    </row>
    <row r="58" spans="2:16" s="37" customFormat="1" x14ac:dyDescent="0.25">
      <c r="B58" s="196"/>
      <c r="P58" s="227"/>
    </row>
    <row r="59" spans="2:16" s="37" customFormat="1" x14ac:dyDescent="0.25">
      <c r="B59" s="196"/>
      <c r="P59" s="227"/>
    </row>
    <row r="60" spans="2:16" s="37" customFormat="1" x14ac:dyDescent="0.25">
      <c r="B60" s="196"/>
      <c r="P60" s="227"/>
    </row>
    <row r="61" spans="2:16" s="37" customFormat="1" x14ac:dyDescent="0.25">
      <c r="B61" s="196"/>
      <c r="P61" s="227"/>
    </row>
    <row r="62" spans="2:16" s="37" customFormat="1" x14ac:dyDescent="0.25">
      <c r="B62" s="196"/>
      <c r="P62" s="227"/>
    </row>
    <row r="63" spans="2:16" s="37" customFormat="1" x14ac:dyDescent="0.25">
      <c r="B63" s="196"/>
      <c r="P63" s="227"/>
    </row>
    <row r="64" spans="2:16" s="37" customFormat="1" x14ac:dyDescent="0.25">
      <c r="B64" s="196"/>
      <c r="P64" s="227"/>
    </row>
    <row r="65" spans="2:16" s="37" customFormat="1" x14ac:dyDescent="0.25">
      <c r="B65" s="196"/>
      <c r="P65" s="227"/>
    </row>
    <row r="66" spans="2:16" s="37" customFormat="1" x14ac:dyDescent="0.25">
      <c r="B66" s="196"/>
      <c r="P66" s="227"/>
    </row>
    <row r="67" spans="2:16" s="37" customFormat="1" x14ac:dyDescent="0.25">
      <c r="B67" s="196"/>
      <c r="P67" s="227"/>
    </row>
    <row r="68" spans="2:16" s="37" customFormat="1" x14ac:dyDescent="0.25">
      <c r="B68" s="196"/>
      <c r="P68" s="227"/>
    </row>
    <row r="69" spans="2:16" s="37" customFormat="1" x14ac:dyDescent="0.25">
      <c r="B69" s="196"/>
      <c r="P69" s="227"/>
    </row>
    <row r="70" spans="2:16" s="37" customFormat="1" x14ac:dyDescent="0.25">
      <c r="B70" s="196"/>
      <c r="P70" s="227"/>
    </row>
    <row r="71" spans="2:16" s="37" customFormat="1" ht="15.75" thickBot="1" x14ac:dyDescent="0.3">
      <c r="B71" s="228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30"/>
    </row>
    <row r="72" spans="2:16" s="37" customFormat="1" x14ac:dyDescent="0.25"/>
    <row r="73" spans="2:16" s="37" customFormat="1" x14ac:dyDescent="0.25"/>
    <row r="74" spans="2:16" s="37" customFormat="1" x14ac:dyDescent="0.25"/>
    <row r="75" spans="2:16" s="37" customFormat="1" hidden="1" x14ac:dyDescent="0.25"/>
  </sheetData>
  <mergeCells count="3">
    <mergeCell ref="B3:P3"/>
    <mergeCell ref="B4:P4"/>
    <mergeCell ref="B5:P5"/>
  </mergeCells>
  <phoneticPr fontId="5" type="noConversion"/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5250-4787-4655-A82F-12043E2A0EEC}">
  <dimension ref="A1:P93"/>
  <sheetViews>
    <sheetView topLeftCell="A10" zoomScale="115" zoomScaleNormal="115" workbookViewId="0">
      <selection activeCell="L51" sqref="L1:XFD1048576"/>
    </sheetView>
  </sheetViews>
  <sheetFormatPr baseColWidth="10" defaultColWidth="0" defaultRowHeight="15" zeroHeight="1" x14ac:dyDescent="0.25"/>
  <cols>
    <col min="1" max="1" width="6.28515625" customWidth="1"/>
    <col min="2" max="2" width="5.42578125" customWidth="1"/>
    <col min="3" max="3" width="9.5703125" customWidth="1"/>
    <col min="4" max="4" width="4.42578125" customWidth="1"/>
    <col min="5" max="5" width="3.85546875" customWidth="1"/>
    <col min="6" max="6" width="4.140625" customWidth="1"/>
    <col min="7" max="7" width="39.7109375" customWidth="1"/>
    <col min="8" max="8" width="18.28515625" style="146" customWidth="1"/>
    <col min="9" max="9" width="16.85546875" style="146" customWidth="1"/>
    <col min="10" max="11" width="11.42578125" customWidth="1"/>
    <col min="12" max="16" width="0" style="37" hidden="1"/>
    <col min="17" max="16384" width="11.42578125" hidden="1"/>
  </cols>
  <sheetData>
    <row r="1" spans="1:11" x14ac:dyDescent="0.25">
      <c r="A1" s="37"/>
      <c r="B1" s="37"/>
      <c r="C1" s="37"/>
      <c r="D1" s="37"/>
      <c r="E1" s="37"/>
      <c r="F1" s="37"/>
      <c r="G1" s="37"/>
      <c r="H1" s="231"/>
      <c r="I1" s="231"/>
      <c r="J1" s="37"/>
      <c r="K1" s="37"/>
    </row>
    <row r="2" spans="1:11" x14ac:dyDescent="0.25">
      <c r="A2" s="37"/>
      <c r="B2" s="37"/>
      <c r="C2" s="37"/>
      <c r="D2" s="37"/>
      <c r="E2" s="37"/>
      <c r="F2" s="37"/>
      <c r="G2" s="37"/>
      <c r="H2" s="231"/>
      <c r="I2" s="231"/>
      <c r="J2" s="37"/>
      <c r="K2" s="37"/>
    </row>
    <row r="3" spans="1:11" x14ac:dyDescent="0.25">
      <c r="A3" s="37"/>
      <c r="B3" s="37"/>
      <c r="C3" s="37"/>
      <c r="D3" s="37"/>
      <c r="E3" s="37"/>
      <c r="F3" s="37"/>
      <c r="G3" s="37"/>
      <c r="H3" s="231"/>
      <c r="I3" s="231"/>
      <c r="J3" s="37"/>
      <c r="K3" s="37"/>
    </row>
    <row r="4" spans="1:11" x14ac:dyDescent="0.25">
      <c r="A4" s="37"/>
      <c r="B4" s="37"/>
      <c r="C4" s="37"/>
      <c r="D4" s="37"/>
      <c r="E4" s="37"/>
      <c r="F4" s="37"/>
      <c r="G4" s="37"/>
      <c r="H4" s="231"/>
      <c r="I4" s="231"/>
      <c r="J4" s="37"/>
      <c r="K4" s="37"/>
    </row>
    <row r="5" spans="1:11" ht="15.75" thickBot="1" x14ac:dyDescent="0.3">
      <c r="A5" s="37"/>
      <c r="B5" s="37"/>
      <c r="C5" s="37"/>
      <c r="D5" s="37"/>
      <c r="E5" s="37"/>
      <c r="F5" s="37"/>
      <c r="G5" s="37"/>
      <c r="H5" s="231"/>
      <c r="I5" s="231"/>
      <c r="J5" s="37"/>
      <c r="K5" s="37"/>
    </row>
    <row r="6" spans="1:11" x14ac:dyDescent="0.25">
      <c r="A6" s="37"/>
      <c r="B6" s="37"/>
      <c r="C6" s="1060" t="s">
        <v>544</v>
      </c>
      <c r="D6" s="1061"/>
      <c r="E6" s="1061"/>
      <c r="F6" s="1061"/>
      <c r="G6" s="1061"/>
      <c r="H6" s="1061"/>
      <c r="I6" s="1062"/>
      <c r="J6" s="37"/>
      <c r="K6" s="37"/>
    </row>
    <row r="7" spans="1:11" x14ac:dyDescent="0.25">
      <c r="A7" s="37"/>
      <c r="B7" s="37"/>
      <c r="C7" s="1063" t="s">
        <v>27</v>
      </c>
      <c r="D7" s="1064"/>
      <c r="E7" s="1064"/>
      <c r="F7" s="1064"/>
      <c r="G7" s="1064"/>
      <c r="H7" s="1064"/>
      <c r="I7" s="1065"/>
      <c r="J7" s="37"/>
      <c r="K7" s="37"/>
    </row>
    <row r="8" spans="1:11" x14ac:dyDescent="0.25">
      <c r="A8" s="37"/>
      <c r="B8" s="37"/>
      <c r="C8" s="1063" t="s">
        <v>503</v>
      </c>
      <c r="D8" s="1064"/>
      <c r="E8" s="1064"/>
      <c r="F8" s="1064"/>
      <c r="G8" s="1064"/>
      <c r="H8" s="1064"/>
      <c r="I8" s="1065"/>
      <c r="J8" s="37"/>
      <c r="K8" s="37"/>
    </row>
    <row r="9" spans="1:11" x14ac:dyDescent="0.25">
      <c r="A9" s="37"/>
      <c r="B9" s="37"/>
      <c r="C9" s="1063" t="s">
        <v>539</v>
      </c>
      <c r="D9" s="1064"/>
      <c r="E9" s="1064"/>
      <c r="F9" s="1064"/>
      <c r="G9" s="1064"/>
      <c r="H9" s="1064"/>
      <c r="I9" s="1065"/>
      <c r="J9" s="37"/>
      <c r="K9" s="37"/>
    </row>
    <row r="10" spans="1:11" ht="15" customHeight="1" x14ac:dyDescent="0.25">
      <c r="A10" s="37"/>
      <c r="B10" s="37"/>
      <c r="C10" s="1066" t="s">
        <v>636</v>
      </c>
      <c r="D10" s="1067"/>
      <c r="E10" s="1067"/>
      <c r="F10" s="1067"/>
      <c r="G10" s="1067"/>
      <c r="H10" s="1067"/>
      <c r="I10" s="1068"/>
      <c r="J10" s="37"/>
      <c r="K10" s="37"/>
    </row>
    <row r="11" spans="1:11" x14ac:dyDescent="0.25">
      <c r="A11" s="37"/>
      <c r="B11" s="37"/>
      <c r="C11" s="184">
        <v>1</v>
      </c>
      <c r="D11" s="34"/>
      <c r="E11" s="34"/>
      <c r="F11" s="34"/>
      <c r="G11" s="96" t="s">
        <v>29</v>
      </c>
      <c r="H11" s="189">
        <f>H13+H19+H23+H47</f>
        <v>94581400</v>
      </c>
      <c r="I11" s="190"/>
      <c r="J11" s="37"/>
      <c r="K11" s="37"/>
    </row>
    <row r="12" spans="1:11" x14ac:dyDescent="0.25">
      <c r="A12" s="37"/>
      <c r="B12" s="37"/>
      <c r="C12" s="180"/>
      <c r="D12" s="35"/>
      <c r="E12" s="35"/>
      <c r="F12" s="35"/>
      <c r="G12" s="37"/>
      <c r="H12" s="191"/>
      <c r="I12" s="190"/>
      <c r="J12" s="37"/>
      <c r="K12" s="37"/>
    </row>
    <row r="13" spans="1:11" x14ac:dyDescent="0.25">
      <c r="A13" s="37"/>
      <c r="B13" s="37"/>
      <c r="C13" s="184">
        <v>11</v>
      </c>
      <c r="D13" s="34"/>
      <c r="E13" s="34"/>
      <c r="F13" s="34"/>
      <c r="G13" s="96" t="s">
        <v>533</v>
      </c>
      <c r="H13" s="189">
        <f>+I15</f>
        <v>2000000</v>
      </c>
      <c r="I13" s="190"/>
      <c r="J13" s="37"/>
      <c r="K13" s="37"/>
    </row>
    <row r="14" spans="1:11" x14ac:dyDescent="0.25">
      <c r="A14" s="37"/>
      <c r="B14" s="37"/>
      <c r="C14" s="180"/>
      <c r="D14" s="35"/>
      <c r="E14" s="35"/>
      <c r="F14" s="35"/>
      <c r="G14" s="37"/>
      <c r="H14" s="191"/>
      <c r="I14" s="190"/>
      <c r="J14" s="37"/>
      <c r="K14" s="37"/>
    </row>
    <row r="15" spans="1:11" x14ac:dyDescent="0.25">
      <c r="A15" s="37"/>
      <c r="B15" s="37"/>
      <c r="C15" s="180">
        <v>1101</v>
      </c>
      <c r="D15" s="35"/>
      <c r="E15" s="35"/>
      <c r="F15" s="35"/>
      <c r="G15" s="37" t="s">
        <v>512</v>
      </c>
      <c r="H15" s="191"/>
      <c r="I15" s="190">
        <f>+I16</f>
        <v>2000000</v>
      </c>
      <c r="J15" s="37"/>
      <c r="K15" s="37"/>
    </row>
    <row r="16" spans="1:11" x14ac:dyDescent="0.25">
      <c r="A16" s="37"/>
      <c r="B16" s="37"/>
      <c r="C16" s="180">
        <v>1101</v>
      </c>
      <c r="D16" s="35">
        <v>1</v>
      </c>
      <c r="E16" s="35"/>
      <c r="F16" s="35"/>
      <c r="G16" s="37" t="s">
        <v>513</v>
      </c>
      <c r="H16" s="191"/>
      <c r="I16" s="190">
        <f>+I17</f>
        <v>2000000</v>
      </c>
      <c r="J16" s="37"/>
      <c r="K16" s="37"/>
    </row>
    <row r="17" spans="1:16" x14ac:dyDescent="0.25">
      <c r="A17" s="37"/>
      <c r="B17" s="37"/>
      <c r="C17" s="180">
        <v>1101</v>
      </c>
      <c r="D17" s="35">
        <v>1</v>
      </c>
      <c r="E17" s="35">
        <v>1</v>
      </c>
      <c r="F17" s="35"/>
      <c r="G17" s="37" t="s">
        <v>513</v>
      </c>
      <c r="H17" s="191"/>
      <c r="I17" s="190">
        <v>2000000</v>
      </c>
      <c r="J17" s="37"/>
      <c r="K17" s="37"/>
    </row>
    <row r="18" spans="1:16" s="1" customFormat="1" x14ac:dyDescent="0.25">
      <c r="A18" s="96"/>
      <c r="B18" s="96"/>
      <c r="C18" s="180"/>
      <c r="D18" s="35"/>
      <c r="E18" s="35"/>
      <c r="F18" s="35"/>
      <c r="G18" s="37"/>
      <c r="H18" s="191"/>
      <c r="I18" s="190"/>
      <c r="J18" s="96"/>
      <c r="K18" s="96"/>
      <c r="L18" s="96"/>
      <c r="M18" s="96"/>
      <c r="N18" s="96"/>
      <c r="O18" s="96"/>
      <c r="P18" s="96"/>
    </row>
    <row r="19" spans="1:16" x14ac:dyDescent="0.25">
      <c r="A19" s="37"/>
      <c r="B19" s="37"/>
      <c r="C19" s="180">
        <v>13</v>
      </c>
      <c r="D19" s="35"/>
      <c r="E19" s="35"/>
      <c r="F19" s="35"/>
      <c r="G19" s="96" t="s">
        <v>23</v>
      </c>
      <c r="H19" s="189">
        <f>+I20</f>
        <v>2500000</v>
      </c>
      <c r="I19" s="192"/>
      <c r="J19" s="37"/>
      <c r="K19" s="37"/>
    </row>
    <row r="20" spans="1:16" x14ac:dyDescent="0.25">
      <c r="A20" s="37"/>
      <c r="B20" s="37"/>
      <c r="C20" s="180">
        <v>1301</v>
      </c>
      <c r="D20" s="35"/>
      <c r="E20" s="35"/>
      <c r="F20" s="35"/>
      <c r="G20" s="37" t="s">
        <v>24</v>
      </c>
      <c r="H20" s="191"/>
      <c r="I20" s="190">
        <f>+I21</f>
        <v>2500000</v>
      </c>
      <c r="J20" s="37"/>
      <c r="K20" s="37"/>
    </row>
    <row r="21" spans="1:16" s="1" customFormat="1" x14ac:dyDescent="0.25">
      <c r="A21" s="96"/>
      <c r="B21" s="96"/>
      <c r="C21" s="180">
        <v>1301</v>
      </c>
      <c r="D21" s="35">
        <v>1</v>
      </c>
      <c r="E21" s="35">
        <v>1</v>
      </c>
      <c r="F21" s="35"/>
      <c r="G21" s="37" t="s">
        <v>540</v>
      </c>
      <c r="H21" s="96"/>
      <c r="I21" s="190">
        <v>2500000</v>
      </c>
      <c r="J21" s="96"/>
      <c r="K21" s="96"/>
      <c r="L21" s="96"/>
      <c r="M21" s="96"/>
      <c r="N21" s="96"/>
      <c r="O21" s="96"/>
      <c r="P21" s="96"/>
    </row>
    <row r="22" spans="1:16" x14ac:dyDescent="0.25">
      <c r="A22" s="37"/>
      <c r="B22" s="37"/>
      <c r="C22" s="180"/>
      <c r="D22" s="35"/>
      <c r="E22" s="35"/>
      <c r="F22" s="35"/>
      <c r="G22" s="37"/>
      <c r="H22" s="191"/>
      <c r="I22" s="190"/>
      <c r="J22" s="37"/>
      <c r="K22" s="37"/>
    </row>
    <row r="23" spans="1:16" x14ac:dyDescent="0.25">
      <c r="A23" s="37"/>
      <c r="B23" s="37"/>
      <c r="C23" s="184">
        <v>14</v>
      </c>
      <c r="D23" s="34"/>
      <c r="E23" s="34"/>
      <c r="F23" s="34"/>
      <c r="G23" s="96" t="s">
        <v>534</v>
      </c>
      <c r="H23" s="189">
        <f>+H29+H25</f>
        <v>9520400</v>
      </c>
      <c r="I23" s="190"/>
      <c r="J23" s="37"/>
      <c r="K23" s="37"/>
    </row>
    <row r="24" spans="1:16" s="1" customFormat="1" x14ac:dyDescent="0.25">
      <c r="A24" s="96"/>
      <c r="B24" s="96"/>
      <c r="C24" s="184"/>
      <c r="D24" s="34"/>
      <c r="E24" s="34"/>
      <c r="F24" s="34"/>
      <c r="G24" s="96"/>
      <c r="H24" s="189"/>
      <c r="I24" s="190"/>
      <c r="J24" s="96"/>
      <c r="K24" s="96"/>
      <c r="L24" s="96"/>
      <c r="M24" s="96"/>
      <c r="N24" s="96"/>
      <c r="O24" s="96"/>
      <c r="P24" s="96"/>
    </row>
    <row r="25" spans="1:16" ht="30" x14ac:dyDescent="0.25">
      <c r="A25" s="37"/>
      <c r="B25" s="37"/>
      <c r="C25" s="184">
        <v>1408</v>
      </c>
      <c r="D25" s="34"/>
      <c r="E25" s="34"/>
      <c r="F25" s="34"/>
      <c r="G25" s="193" t="s">
        <v>541</v>
      </c>
      <c r="H25" s="189">
        <f>+I26</f>
        <v>3850000</v>
      </c>
      <c r="I25" s="190"/>
      <c r="J25" s="37"/>
      <c r="K25" s="37"/>
    </row>
    <row r="26" spans="1:16" ht="30" x14ac:dyDescent="0.25">
      <c r="A26" s="37"/>
      <c r="B26" s="37"/>
      <c r="C26" s="180">
        <v>1408</v>
      </c>
      <c r="D26" s="35">
        <v>1</v>
      </c>
      <c r="E26" s="34"/>
      <c r="F26" s="34"/>
      <c r="G26" s="178" t="s">
        <v>541</v>
      </c>
      <c r="H26" s="191"/>
      <c r="I26" s="194">
        <f>+I27</f>
        <v>3850000</v>
      </c>
      <c r="J26" s="37"/>
      <c r="K26" s="37"/>
    </row>
    <row r="27" spans="1:16" x14ac:dyDescent="0.25">
      <c r="A27" s="37"/>
      <c r="B27" s="37"/>
      <c r="C27" s="180">
        <v>1408</v>
      </c>
      <c r="D27" s="35">
        <v>1</v>
      </c>
      <c r="E27" s="34">
        <v>1</v>
      </c>
      <c r="F27" s="34"/>
      <c r="G27" s="37" t="s">
        <v>542</v>
      </c>
      <c r="H27" s="191"/>
      <c r="I27" s="194">
        <v>3850000</v>
      </c>
      <c r="J27" s="37"/>
      <c r="K27" s="37"/>
    </row>
    <row r="28" spans="1:16" x14ac:dyDescent="0.25">
      <c r="A28" s="37"/>
      <c r="B28" s="37"/>
      <c r="C28" s="184"/>
      <c r="D28" s="34"/>
      <c r="E28" s="34"/>
      <c r="F28" s="34"/>
      <c r="G28" s="96"/>
      <c r="H28" s="189"/>
      <c r="I28" s="190"/>
      <c r="J28" s="37"/>
      <c r="K28" s="37"/>
    </row>
    <row r="29" spans="1:16" x14ac:dyDescent="0.25">
      <c r="A29" s="37"/>
      <c r="B29" s="37"/>
      <c r="C29" s="180">
        <v>1410</v>
      </c>
      <c r="D29" s="35"/>
      <c r="E29" s="35"/>
      <c r="F29" s="35"/>
      <c r="G29" s="195" t="s">
        <v>529</v>
      </c>
      <c r="H29" s="189">
        <f>+SUM(I31:I44)-H45</f>
        <v>5670400</v>
      </c>
      <c r="I29" s="190"/>
      <c r="J29" s="37"/>
      <c r="K29" s="37"/>
    </row>
    <row r="30" spans="1:16" x14ac:dyDescent="0.25">
      <c r="A30" s="37"/>
      <c r="B30" s="37"/>
      <c r="C30" s="180">
        <v>1410</v>
      </c>
      <c r="D30" s="35">
        <v>7</v>
      </c>
      <c r="E30" s="35"/>
      <c r="F30" s="35"/>
      <c r="G30" s="96" t="s">
        <v>530</v>
      </c>
      <c r="H30" s="191"/>
      <c r="I30" s="194">
        <f>+SUM(I31:I44)-H45</f>
        <v>5670400</v>
      </c>
      <c r="J30" s="37"/>
      <c r="K30" s="37"/>
    </row>
    <row r="31" spans="1:16" x14ac:dyDescent="0.25">
      <c r="A31" s="37"/>
      <c r="B31" s="37"/>
      <c r="C31" s="180">
        <v>1410</v>
      </c>
      <c r="D31" s="35">
        <v>7</v>
      </c>
      <c r="E31" s="35">
        <v>1</v>
      </c>
      <c r="F31" s="35"/>
      <c r="G31" s="37" t="s">
        <v>144</v>
      </c>
      <c r="H31" s="191"/>
      <c r="I31" s="190">
        <v>1500000</v>
      </c>
      <c r="J31" s="37"/>
      <c r="K31" s="37"/>
    </row>
    <row r="32" spans="1:16" x14ac:dyDescent="0.25">
      <c r="A32" s="37"/>
      <c r="B32" s="37"/>
      <c r="C32" s="180">
        <v>1410</v>
      </c>
      <c r="D32" s="35">
        <v>7</v>
      </c>
      <c r="E32" s="35">
        <v>2</v>
      </c>
      <c r="F32" s="35"/>
      <c r="G32" s="37" t="s">
        <v>145</v>
      </c>
      <c r="H32" s="191"/>
      <c r="I32" s="190">
        <v>340000</v>
      </c>
      <c r="J32" s="37"/>
      <c r="K32" s="37"/>
    </row>
    <row r="33" spans="1:11" x14ac:dyDescent="0.25">
      <c r="A33" s="37"/>
      <c r="B33" s="37"/>
      <c r="C33" s="180">
        <v>1410</v>
      </c>
      <c r="D33" s="35">
        <v>7</v>
      </c>
      <c r="E33" s="35">
        <v>3</v>
      </c>
      <c r="F33" s="35"/>
      <c r="G33" s="37" t="s">
        <v>146</v>
      </c>
      <c r="H33" s="191"/>
      <c r="I33" s="190">
        <v>600000</v>
      </c>
      <c r="J33" s="37"/>
      <c r="K33" s="37"/>
    </row>
    <row r="34" spans="1:11" x14ac:dyDescent="0.25">
      <c r="A34" s="37"/>
      <c r="B34" s="37"/>
      <c r="C34" s="180">
        <v>1410</v>
      </c>
      <c r="D34" s="35">
        <v>7</v>
      </c>
      <c r="E34" s="35">
        <v>4</v>
      </c>
      <c r="F34" s="35"/>
      <c r="G34" s="37" t="s">
        <v>19</v>
      </c>
      <c r="H34" s="191"/>
      <c r="I34" s="190">
        <v>260000</v>
      </c>
      <c r="J34" s="37"/>
      <c r="K34" s="37"/>
    </row>
    <row r="35" spans="1:11" x14ac:dyDescent="0.25">
      <c r="A35" s="37"/>
      <c r="B35" s="37"/>
      <c r="C35" s="180">
        <v>1410</v>
      </c>
      <c r="D35" s="35">
        <v>7</v>
      </c>
      <c r="E35" s="35">
        <v>5</v>
      </c>
      <c r="F35" s="35"/>
      <c r="G35" s="37" t="s">
        <v>147</v>
      </c>
      <c r="H35" s="191"/>
      <c r="I35" s="190">
        <v>248000</v>
      </c>
      <c r="J35" s="37"/>
      <c r="K35" s="37"/>
    </row>
    <row r="36" spans="1:11" x14ac:dyDescent="0.25">
      <c r="A36" s="37"/>
      <c r="B36" s="37"/>
      <c r="C36" s="180">
        <v>1410</v>
      </c>
      <c r="D36" s="35">
        <v>7</v>
      </c>
      <c r="E36" s="35">
        <v>6</v>
      </c>
      <c r="F36" s="35"/>
      <c r="G36" s="37" t="s">
        <v>148</v>
      </c>
      <c r="H36" s="191"/>
      <c r="I36" s="190">
        <v>375000</v>
      </c>
      <c r="J36" s="37"/>
      <c r="K36" s="37"/>
    </row>
    <row r="37" spans="1:11" x14ac:dyDescent="0.25">
      <c r="A37" s="37"/>
      <c r="B37" s="37"/>
      <c r="C37" s="180">
        <v>1410</v>
      </c>
      <c r="D37" s="35">
        <v>7</v>
      </c>
      <c r="E37" s="35">
        <v>7</v>
      </c>
      <c r="F37" s="35"/>
      <c r="G37" s="37" t="s">
        <v>149</v>
      </c>
      <c r="H37" s="191"/>
      <c r="I37" s="190">
        <v>256000</v>
      </c>
      <c r="J37" s="37"/>
      <c r="K37" s="37"/>
    </row>
    <row r="38" spans="1:11" x14ac:dyDescent="0.25">
      <c r="A38" s="37"/>
      <c r="B38" s="37"/>
      <c r="C38" s="180">
        <v>1410</v>
      </c>
      <c r="D38" s="35">
        <v>7</v>
      </c>
      <c r="E38" s="35">
        <v>8</v>
      </c>
      <c r="F38" s="34"/>
      <c r="G38" s="37" t="s">
        <v>150</v>
      </c>
      <c r="H38" s="191"/>
      <c r="I38" s="190">
        <v>140000</v>
      </c>
      <c r="J38" s="37"/>
      <c r="K38" s="37"/>
    </row>
    <row r="39" spans="1:11" x14ac:dyDescent="0.25">
      <c r="A39" s="37"/>
      <c r="B39" s="37"/>
      <c r="C39" s="180">
        <v>1410</v>
      </c>
      <c r="D39" s="35">
        <v>7</v>
      </c>
      <c r="E39" s="35">
        <v>9</v>
      </c>
      <c r="F39" s="34"/>
      <c r="G39" s="37" t="s">
        <v>116</v>
      </c>
      <c r="H39" s="191"/>
      <c r="I39" s="190">
        <v>153000</v>
      </c>
      <c r="J39" s="37"/>
      <c r="K39" s="37"/>
    </row>
    <row r="40" spans="1:11" x14ac:dyDescent="0.25">
      <c r="A40" s="37"/>
      <c r="B40" s="37"/>
      <c r="C40" s="180">
        <v>1410</v>
      </c>
      <c r="D40" s="35">
        <v>7</v>
      </c>
      <c r="E40" s="35">
        <v>10</v>
      </c>
      <c r="F40" s="35"/>
      <c r="G40" s="37" t="s">
        <v>117</v>
      </c>
      <c r="H40" s="191"/>
      <c r="I40" s="190">
        <v>75000</v>
      </c>
      <c r="J40" s="37"/>
      <c r="K40" s="37"/>
    </row>
    <row r="41" spans="1:11" x14ac:dyDescent="0.25">
      <c r="A41" s="37"/>
      <c r="B41" s="37"/>
      <c r="C41" s="180">
        <v>1410</v>
      </c>
      <c r="D41" s="35">
        <v>7</v>
      </c>
      <c r="E41" s="35">
        <v>11</v>
      </c>
      <c r="F41" s="35"/>
      <c r="G41" s="37" t="s">
        <v>107</v>
      </c>
      <c r="H41" s="191"/>
      <c r="I41" s="190">
        <v>700000</v>
      </c>
      <c r="J41" s="37"/>
      <c r="K41" s="37"/>
    </row>
    <row r="42" spans="1:11" x14ac:dyDescent="0.25">
      <c r="A42" s="37"/>
      <c r="B42" s="37"/>
      <c r="C42" s="180">
        <v>1410</v>
      </c>
      <c r="D42" s="35">
        <v>7</v>
      </c>
      <c r="E42" s="35">
        <v>12</v>
      </c>
      <c r="F42" s="35"/>
      <c r="G42" s="37" t="s">
        <v>143</v>
      </c>
      <c r="H42" s="191"/>
      <c r="I42" s="190">
        <v>350000</v>
      </c>
      <c r="J42" s="37"/>
      <c r="K42" s="37"/>
    </row>
    <row r="43" spans="1:11" x14ac:dyDescent="0.25">
      <c r="A43" s="37"/>
      <c r="B43" s="37"/>
      <c r="C43" s="180">
        <v>1410</v>
      </c>
      <c r="D43" s="35">
        <v>7</v>
      </c>
      <c r="E43" s="35">
        <v>13</v>
      </c>
      <c r="F43" s="35"/>
      <c r="G43" s="37" t="s">
        <v>112</v>
      </c>
      <c r="H43" s="191"/>
      <c r="I43" s="190">
        <v>650000</v>
      </c>
      <c r="J43" s="37"/>
      <c r="K43" s="37"/>
    </row>
    <row r="44" spans="1:11" x14ac:dyDescent="0.25">
      <c r="A44" s="37"/>
      <c r="B44" s="37"/>
      <c r="C44" s="180">
        <v>1410</v>
      </c>
      <c r="D44" s="35">
        <v>7</v>
      </c>
      <c r="E44" s="35">
        <v>14</v>
      </c>
      <c r="F44" s="35"/>
      <c r="G44" s="37" t="s">
        <v>197</v>
      </c>
      <c r="H44" s="191"/>
      <c r="I44" s="190">
        <v>23400</v>
      </c>
      <c r="J44" s="37"/>
      <c r="K44" s="37"/>
    </row>
    <row r="45" spans="1:11" x14ac:dyDescent="0.25">
      <c r="A45" s="37"/>
      <c r="B45" s="37"/>
      <c r="C45" s="180"/>
      <c r="D45" s="35"/>
      <c r="E45" s="35"/>
      <c r="F45" s="35"/>
      <c r="G45" s="37"/>
      <c r="H45" s="191"/>
      <c r="I45" s="190"/>
      <c r="J45" s="37"/>
      <c r="K45" s="37"/>
    </row>
    <row r="46" spans="1:11" x14ac:dyDescent="0.25">
      <c r="A46" s="37"/>
      <c r="B46" s="37"/>
      <c r="C46" s="180"/>
      <c r="D46" s="35"/>
      <c r="E46" s="35"/>
      <c r="F46" s="35"/>
      <c r="G46" s="37"/>
      <c r="H46" s="191"/>
      <c r="I46" s="190"/>
      <c r="J46" s="37"/>
      <c r="K46" s="37"/>
    </row>
    <row r="47" spans="1:11" x14ac:dyDescent="0.25">
      <c r="A47" s="37"/>
      <c r="B47" s="37"/>
      <c r="C47" s="184">
        <v>15</v>
      </c>
      <c r="D47" s="34"/>
      <c r="E47" s="34"/>
      <c r="F47" s="34"/>
      <c r="G47" s="96" t="s">
        <v>22</v>
      </c>
      <c r="H47" s="189">
        <f>+H49+H52+H62</f>
        <v>80561000</v>
      </c>
      <c r="I47" s="190"/>
      <c r="J47" s="37"/>
      <c r="K47" s="37"/>
    </row>
    <row r="48" spans="1:11" x14ac:dyDescent="0.25">
      <c r="A48" s="37"/>
      <c r="B48" s="37"/>
      <c r="C48" s="180"/>
      <c r="D48" s="35"/>
      <c r="E48" s="35"/>
      <c r="F48" s="35"/>
      <c r="G48" s="96"/>
      <c r="H48" s="189"/>
      <c r="I48" s="190"/>
      <c r="J48" s="37"/>
      <c r="K48" s="37"/>
    </row>
    <row r="49" spans="1:11" x14ac:dyDescent="0.25">
      <c r="A49" s="37"/>
      <c r="B49" s="37"/>
      <c r="C49" s="184">
        <v>1506</v>
      </c>
      <c r="D49" s="34">
        <v>3</v>
      </c>
      <c r="E49" s="34"/>
      <c r="F49" s="34"/>
      <c r="G49" s="96" t="s">
        <v>140</v>
      </c>
      <c r="H49" s="189">
        <f>+I50-H51</f>
        <v>45000000</v>
      </c>
      <c r="I49" s="190"/>
      <c r="J49" s="37"/>
      <c r="K49" s="37"/>
    </row>
    <row r="50" spans="1:11" x14ac:dyDescent="0.25">
      <c r="A50" s="37"/>
      <c r="B50" s="37"/>
      <c r="C50" s="180">
        <v>1506</v>
      </c>
      <c r="D50" s="35">
        <v>3</v>
      </c>
      <c r="E50" s="35">
        <v>1</v>
      </c>
      <c r="F50" s="147"/>
      <c r="G50" s="37" t="s">
        <v>141</v>
      </c>
      <c r="H50" s="191"/>
      <c r="I50" s="190">
        <v>45000000</v>
      </c>
      <c r="J50" s="37"/>
      <c r="K50" s="37"/>
    </row>
    <row r="51" spans="1:11" x14ac:dyDescent="0.25">
      <c r="A51" s="37"/>
      <c r="B51" s="37"/>
      <c r="C51" s="180"/>
      <c r="D51" s="35"/>
      <c r="E51" s="35"/>
      <c r="F51" s="147"/>
      <c r="G51" s="37"/>
      <c r="H51" s="191"/>
      <c r="I51" s="190"/>
      <c r="J51" s="37"/>
      <c r="K51" s="37"/>
    </row>
    <row r="52" spans="1:11" x14ac:dyDescent="0.25">
      <c r="A52" s="37"/>
      <c r="B52" s="37"/>
      <c r="C52" s="184">
        <v>1507</v>
      </c>
      <c r="D52" s="35"/>
      <c r="E52" s="35"/>
      <c r="F52" s="35"/>
      <c r="G52" s="96" t="s">
        <v>142</v>
      </c>
      <c r="H52" s="189">
        <f>+SUM(I53:I59)-H60</f>
        <v>31830000</v>
      </c>
      <c r="I52" s="190"/>
      <c r="J52" s="37"/>
      <c r="K52" s="37"/>
    </row>
    <row r="53" spans="1:11" x14ac:dyDescent="0.25">
      <c r="A53" s="37"/>
      <c r="B53" s="37"/>
      <c r="C53" s="180">
        <v>1507</v>
      </c>
      <c r="D53" s="35">
        <v>1</v>
      </c>
      <c r="E53" s="35">
        <v>1</v>
      </c>
      <c r="F53" s="35"/>
      <c r="G53" s="37" t="s">
        <v>12</v>
      </c>
      <c r="H53" s="191"/>
      <c r="I53" s="190">
        <v>8000000</v>
      </c>
      <c r="J53" s="37"/>
      <c r="K53" s="37"/>
    </row>
    <row r="54" spans="1:11" x14ac:dyDescent="0.25">
      <c r="A54" s="37"/>
      <c r="B54" s="37"/>
      <c r="C54" s="180">
        <v>1507</v>
      </c>
      <c r="D54" s="35">
        <v>1</v>
      </c>
      <c r="E54" s="35">
        <v>2</v>
      </c>
      <c r="F54" s="35"/>
      <c r="G54" s="37" t="s">
        <v>13</v>
      </c>
      <c r="H54" s="191"/>
      <c r="I54" s="190">
        <v>12300000</v>
      </c>
      <c r="J54" s="37"/>
      <c r="K54" s="37"/>
    </row>
    <row r="55" spans="1:11" x14ac:dyDescent="0.25">
      <c r="A55" s="37"/>
      <c r="B55" s="37"/>
      <c r="C55" s="180">
        <v>1507</v>
      </c>
      <c r="D55" s="35">
        <v>1</v>
      </c>
      <c r="E55" s="35">
        <v>3</v>
      </c>
      <c r="F55" s="35"/>
      <c r="G55" s="37" t="s">
        <v>14</v>
      </c>
      <c r="H55" s="191"/>
      <c r="I55" s="190">
        <v>6000000</v>
      </c>
      <c r="J55" s="37"/>
      <c r="K55" s="37"/>
    </row>
    <row r="56" spans="1:11" x14ac:dyDescent="0.25">
      <c r="A56" s="37"/>
      <c r="B56" s="37"/>
      <c r="C56" s="180">
        <v>1507</v>
      </c>
      <c r="D56" s="35">
        <v>1</v>
      </c>
      <c r="E56" s="35">
        <v>4</v>
      </c>
      <c r="F56" s="35"/>
      <c r="G56" s="37" t="s">
        <v>15</v>
      </c>
      <c r="H56" s="191"/>
      <c r="I56" s="190">
        <v>4200000</v>
      </c>
      <c r="J56" s="37"/>
      <c r="K56" s="37"/>
    </row>
    <row r="57" spans="1:11" x14ac:dyDescent="0.25">
      <c r="A57" s="37"/>
      <c r="B57" s="37"/>
      <c r="C57" s="180">
        <v>1507</v>
      </c>
      <c r="D57" s="35">
        <v>1</v>
      </c>
      <c r="E57" s="35">
        <v>5</v>
      </c>
      <c r="F57" s="35"/>
      <c r="G57" s="37" t="s">
        <v>17</v>
      </c>
      <c r="H57" s="191"/>
      <c r="I57" s="190">
        <v>240000</v>
      </c>
      <c r="J57" s="37"/>
      <c r="K57" s="37"/>
    </row>
    <row r="58" spans="1:11" x14ac:dyDescent="0.25">
      <c r="A58" s="37"/>
      <c r="B58" s="37"/>
      <c r="C58" s="180">
        <v>1507</v>
      </c>
      <c r="D58" s="35">
        <v>1</v>
      </c>
      <c r="E58" s="35">
        <v>6</v>
      </c>
      <c r="F58" s="35"/>
      <c r="G58" s="37" t="s">
        <v>18</v>
      </c>
      <c r="H58" s="191"/>
      <c r="I58" s="190">
        <v>700000</v>
      </c>
      <c r="J58" s="37"/>
      <c r="K58" s="37"/>
    </row>
    <row r="59" spans="1:11" x14ac:dyDescent="0.25">
      <c r="A59" s="37"/>
      <c r="B59" s="37"/>
      <c r="C59" s="180">
        <v>1507</v>
      </c>
      <c r="D59" s="35">
        <v>1</v>
      </c>
      <c r="E59" s="35">
        <v>7</v>
      </c>
      <c r="F59" s="35"/>
      <c r="G59" s="37" t="s">
        <v>174</v>
      </c>
      <c r="H59" s="191"/>
      <c r="I59" s="190">
        <v>390000</v>
      </c>
      <c r="J59" s="37"/>
      <c r="K59" s="37"/>
    </row>
    <row r="60" spans="1:11" x14ac:dyDescent="0.25">
      <c r="A60" s="37"/>
      <c r="B60" s="37"/>
      <c r="C60" s="180"/>
      <c r="D60" s="35"/>
      <c r="E60" s="35"/>
      <c r="F60" s="35"/>
      <c r="G60" s="37"/>
      <c r="H60" s="191"/>
      <c r="I60" s="190"/>
      <c r="J60" s="37"/>
      <c r="K60" s="37"/>
    </row>
    <row r="61" spans="1:11" x14ac:dyDescent="0.25">
      <c r="A61" s="37"/>
      <c r="B61" s="37"/>
      <c r="C61" s="180"/>
      <c r="D61" s="35"/>
      <c r="E61" s="35"/>
      <c r="F61" s="147"/>
      <c r="G61" s="37"/>
      <c r="H61" s="191"/>
      <c r="I61" s="190"/>
      <c r="J61" s="37"/>
      <c r="K61" s="37"/>
    </row>
    <row r="62" spans="1:11" x14ac:dyDescent="0.25">
      <c r="A62" s="37"/>
      <c r="B62" s="37"/>
      <c r="C62" s="180">
        <v>1505</v>
      </c>
      <c r="D62" s="35">
        <v>8</v>
      </c>
      <c r="E62" s="35"/>
      <c r="F62" s="35"/>
      <c r="G62" s="37" t="s">
        <v>170</v>
      </c>
      <c r="H62" s="189">
        <f>+I63</f>
        <v>3731000</v>
      </c>
      <c r="I62" s="190"/>
      <c r="J62" s="37"/>
      <c r="K62" s="37"/>
    </row>
    <row r="63" spans="1:11" x14ac:dyDescent="0.25">
      <c r="A63" s="37"/>
      <c r="B63" s="37"/>
      <c r="C63" s="180">
        <v>1505</v>
      </c>
      <c r="D63" s="35">
        <v>8</v>
      </c>
      <c r="E63" s="35">
        <v>1</v>
      </c>
      <c r="F63" s="35"/>
      <c r="G63" s="37" t="s">
        <v>528</v>
      </c>
      <c r="H63" s="191"/>
      <c r="I63" s="194">
        <f>+SUM(I64:I69)-H70</f>
        <v>3731000</v>
      </c>
      <c r="J63" s="37"/>
      <c r="K63" s="37"/>
    </row>
    <row r="64" spans="1:11" x14ac:dyDescent="0.25">
      <c r="A64" s="37"/>
      <c r="B64" s="37"/>
      <c r="C64" s="180">
        <v>1505</v>
      </c>
      <c r="D64" s="35">
        <v>8</v>
      </c>
      <c r="E64" s="35">
        <v>1</v>
      </c>
      <c r="F64" s="35">
        <v>1</v>
      </c>
      <c r="G64" s="37" t="s">
        <v>164</v>
      </c>
      <c r="H64" s="191"/>
      <c r="I64" s="190">
        <v>350000</v>
      </c>
      <c r="J64" s="37"/>
      <c r="K64" s="37"/>
    </row>
    <row r="65" spans="1:11" x14ac:dyDescent="0.25">
      <c r="A65" s="37"/>
      <c r="B65" s="37"/>
      <c r="C65" s="180">
        <v>1505</v>
      </c>
      <c r="D65" s="35">
        <v>8</v>
      </c>
      <c r="E65" s="35">
        <v>1</v>
      </c>
      <c r="F65" s="35">
        <v>2</v>
      </c>
      <c r="G65" s="37" t="s">
        <v>165</v>
      </c>
      <c r="H65" s="191"/>
      <c r="I65" s="190">
        <v>460000</v>
      </c>
      <c r="J65" s="37"/>
      <c r="K65" s="37"/>
    </row>
    <row r="66" spans="1:11" x14ac:dyDescent="0.25">
      <c r="A66" s="37"/>
      <c r="B66" s="37"/>
      <c r="C66" s="180">
        <v>1505</v>
      </c>
      <c r="D66" s="35">
        <v>8</v>
      </c>
      <c r="E66" s="35">
        <v>1</v>
      </c>
      <c r="F66" s="35">
        <v>3</v>
      </c>
      <c r="G66" s="37" t="s">
        <v>167</v>
      </c>
      <c r="H66" s="191"/>
      <c r="I66" s="190">
        <v>1750000</v>
      </c>
      <c r="J66" s="37"/>
      <c r="K66" s="37"/>
    </row>
    <row r="67" spans="1:11" x14ac:dyDescent="0.25">
      <c r="A67" s="37"/>
      <c r="B67" s="37"/>
      <c r="C67" s="180">
        <v>1505</v>
      </c>
      <c r="D67" s="35">
        <v>8</v>
      </c>
      <c r="E67" s="35">
        <v>1</v>
      </c>
      <c r="F67" s="35">
        <v>4</v>
      </c>
      <c r="G67" s="37" t="s">
        <v>166</v>
      </c>
      <c r="H67" s="191"/>
      <c r="I67" s="190">
        <v>345000</v>
      </c>
      <c r="J67" s="37"/>
      <c r="K67" s="37"/>
    </row>
    <row r="68" spans="1:11" x14ac:dyDescent="0.25">
      <c r="A68" s="37"/>
      <c r="B68" s="37"/>
      <c r="C68" s="180">
        <v>1505</v>
      </c>
      <c r="D68" s="35">
        <v>8</v>
      </c>
      <c r="E68" s="35">
        <v>1</v>
      </c>
      <c r="F68" s="35">
        <v>5</v>
      </c>
      <c r="G68" s="37" t="s">
        <v>168</v>
      </c>
      <c r="H68" s="191"/>
      <c r="I68" s="190">
        <v>287000</v>
      </c>
      <c r="J68" s="37"/>
      <c r="K68" s="37"/>
    </row>
    <row r="69" spans="1:11" x14ac:dyDescent="0.25">
      <c r="A69" s="37"/>
      <c r="B69" s="37"/>
      <c r="C69" s="180">
        <v>1505</v>
      </c>
      <c r="D69" s="35">
        <v>8</v>
      </c>
      <c r="E69" s="35">
        <v>1</v>
      </c>
      <c r="F69" s="35">
        <v>6</v>
      </c>
      <c r="G69" s="37" t="s">
        <v>171</v>
      </c>
      <c r="H69" s="191"/>
      <c r="I69" s="190">
        <v>539000</v>
      </c>
      <c r="J69" s="37"/>
      <c r="K69" s="37"/>
    </row>
    <row r="70" spans="1:11" x14ac:dyDescent="0.25">
      <c r="A70" s="37"/>
      <c r="B70" s="37"/>
      <c r="C70" s="180"/>
      <c r="D70" s="35"/>
      <c r="E70" s="35"/>
      <c r="F70" s="35"/>
      <c r="G70" s="37"/>
      <c r="H70" s="191"/>
      <c r="I70" s="190"/>
      <c r="J70" s="37"/>
      <c r="K70" s="37"/>
    </row>
    <row r="71" spans="1:11" x14ac:dyDescent="0.25">
      <c r="A71" s="37"/>
      <c r="B71" s="37"/>
      <c r="C71" s="180"/>
      <c r="D71" s="35"/>
      <c r="E71" s="35"/>
      <c r="F71" s="35"/>
      <c r="G71" s="37"/>
      <c r="H71" s="191"/>
      <c r="I71" s="190"/>
      <c r="J71" s="37"/>
      <c r="K71" s="37"/>
    </row>
    <row r="72" spans="1:11" x14ac:dyDescent="0.25">
      <c r="A72" s="37"/>
      <c r="B72" s="37"/>
      <c r="C72" s="184">
        <v>2</v>
      </c>
      <c r="D72" s="34"/>
      <c r="E72" s="34"/>
      <c r="F72" s="34"/>
      <c r="G72" s="96" t="s">
        <v>543</v>
      </c>
      <c r="H72" s="189"/>
      <c r="I72" s="192">
        <f>+H74</f>
        <v>8350000</v>
      </c>
      <c r="J72" s="37"/>
      <c r="K72" s="37"/>
    </row>
    <row r="73" spans="1:11" x14ac:dyDescent="0.25">
      <c r="A73" s="37"/>
      <c r="B73" s="37"/>
      <c r="C73" s="196"/>
      <c r="D73" s="37"/>
      <c r="E73" s="37"/>
      <c r="F73" s="37"/>
      <c r="G73" s="37"/>
      <c r="H73" s="191"/>
      <c r="I73" s="190"/>
      <c r="J73" s="37"/>
      <c r="K73" s="37"/>
    </row>
    <row r="74" spans="1:11" x14ac:dyDescent="0.25">
      <c r="A74" s="37"/>
      <c r="B74" s="37"/>
      <c r="C74" s="180">
        <v>22</v>
      </c>
      <c r="D74" s="35"/>
      <c r="E74" s="35"/>
      <c r="F74" s="35"/>
      <c r="G74" s="37" t="s">
        <v>514</v>
      </c>
      <c r="H74" s="191">
        <f>+H75</f>
        <v>8350000</v>
      </c>
      <c r="I74" s="190"/>
      <c r="J74" s="37"/>
      <c r="K74" s="37"/>
    </row>
    <row r="75" spans="1:11" x14ac:dyDescent="0.25">
      <c r="A75" s="37"/>
      <c r="B75" s="37"/>
      <c r="C75" s="180">
        <v>2201</v>
      </c>
      <c r="D75" s="35"/>
      <c r="E75" s="35"/>
      <c r="F75" s="35"/>
      <c r="G75" s="37" t="s">
        <v>515</v>
      </c>
      <c r="H75" s="191">
        <f>+H76</f>
        <v>8350000</v>
      </c>
      <c r="I75" s="190"/>
      <c r="J75" s="37"/>
      <c r="K75" s="37"/>
    </row>
    <row r="76" spans="1:11" x14ac:dyDescent="0.25">
      <c r="A76" s="37"/>
      <c r="B76" s="37"/>
      <c r="C76" s="180">
        <v>2201</v>
      </c>
      <c r="D76" s="35">
        <v>1</v>
      </c>
      <c r="E76" s="35">
        <v>1</v>
      </c>
      <c r="F76" s="35"/>
      <c r="G76" s="37" t="s">
        <v>515</v>
      </c>
      <c r="H76" s="191">
        <v>8350000</v>
      </c>
      <c r="I76" s="190"/>
      <c r="J76" s="37"/>
      <c r="K76" s="37"/>
    </row>
    <row r="77" spans="1:11" x14ac:dyDescent="0.25">
      <c r="A77" s="37"/>
      <c r="B77" s="37"/>
      <c r="C77" s="180"/>
      <c r="D77" s="35"/>
      <c r="E77" s="35"/>
      <c r="F77" s="35"/>
      <c r="G77" s="37"/>
      <c r="H77" s="191"/>
      <c r="I77" s="190"/>
      <c r="J77" s="37"/>
      <c r="K77" s="37"/>
    </row>
    <row r="78" spans="1:11" x14ac:dyDescent="0.25">
      <c r="A78" s="37"/>
      <c r="B78" s="37"/>
      <c r="C78" s="180"/>
      <c r="D78" s="35"/>
      <c r="E78" s="35"/>
      <c r="F78" s="35"/>
      <c r="G78" s="37"/>
      <c r="H78" s="191"/>
      <c r="I78" s="192"/>
      <c r="J78" s="37"/>
      <c r="K78" s="37"/>
    </row>
    <row r="79" spans="1:11" x14ac:dyDescent="0.25">
      <c r="A79" s="37"/>
      <c r="B79" s="37"/>
      <c r="C79" s="184">
        <v>3</v>
      </c>
      <c r="D79" s="35"/>
      <c r="E79" s="35"/>
      <c r="F79" s="35"/>
      <c r="G79" s="96" t="s">
        <v>25</v>
      </c>
      <c r="H79" s="189"/>
      <c r="I79" s="192">
        <f>+H81</f>
        <v>86231400</v>
      </c>
      <c r="J79" s="37"/>
      <c r="K79" s="37"/>
    </row>
    <row r="80" spans="1:11" x14ac:dyDescent="0.25">
      <c r="A80" s="37"/>
      <c r="B80" s="37"/>
      <c r="C80" s="184"/>
      <c r="D80" s="35"/>
      <c r="E80" s="35"/>
      <c r="F80" s="35"/>
      <c r="G80" s="96"/>
      <c r="H80" s="189"/>
      <c r="I80" s="190"/>
      <c r="J80" s="37"/>
      <c r="K80" s="37"/>
    </row>
    <row r="81" spans="1:11" x14ac:dyDescent="0.25">
      <c r="A81" s="37"/>
      <c r="B81" s="37"/>
      <c r="C81" s="180">
        <v>31</v>
      </c>
      <c r="D81" s="35"/>
      <c r="E81" s="35"/>
      <c r="F81" s="35"/>
      <c r="G81" s="37" t="s">
        <v>26</v>
      </c>
      <c r="H81" s="191">
        <f>+H82</f>
        <v>86231400</v>
      </c>
      <c r="I81" s="190"/>
      <c r="J81" s="37"/>
      <c r="K81" s="37"/>
    </row>
    <row r="82" spans="1:11" x14ac:dyDescent="0.25">
      <c r="A82" s="37"/>
      <c r="B82" s="37"/>
      <c r="C82" s="180">
        <v>3101</v>
      </c>
      <c r="D82" s="35"/>
      <c r="E82" s="35"/>
      <c r="F82" s="35"/>
      <c r="G82" s="37" t="s">
        <v>535</v>
      </c>
      <c r="H82" s="191">
        <f>+H83</f>
        <v>86231400</v>
      </c>
      <c r="I82" s="190"/>
      <c r="J82" s="37"/>
      <c r="K82" s="37"/>
    </row>
    <row r="83" spans="1:11" x14ac:dyDescent="0.25">
      <c r="A83" s="37"/>
      <c r="B83" s="37"/>
      <c r="C83" s="180">
        <v>3101</v>
      </c>
      <c r="D83" s="35">
        <v>1</v>
      </c>
      <c r="E83" s="35">
        <v>1</v>
      </c>
      <c r="F83" s="35"/>
      <c r="G83" s="37" t="s">
        <v>536</v>
      </c>
      <c r="H83" s="191">
        <v>86231400</v>
      </c>
      <c r="I83" s="190"/>
      <c r="J83" s="37"/>
      <c r="K83" s="37"/>
    </row>
    <row r="84" spans="1:11" x14ac:dyDescent="0.25">
      <c r="A84" s="37"/>
      <c r="B84" s="37"/>
      <c r="C84" s="180"/>
      <c r="D84" s="35"/>
      <c r="E84" s="35"/>
      <c r="F84" s="35"/>
      <c r="G84" s="37"/>
      <c r="H84" s="191"/>
      <c r="I84" s="190"/>
      <c r="J84" s="37"/>
      <c r="K84" s="37"/>
    </row>
    <row r="85" spans="1:11" ht="15.75" thickBot="1" x14ac:dyDescent="0.3">
      <c r="A85" s="37"/>
      <c r="B85" s="37"/>
      <c r="C85" s="1058" t="s">
        <v>478</v>
      </c>
      <c r="D85" s="1059"/>
      <c r="E85" s="1059"/>
      <c r="F85" s="1059"/>
      <c r="G85" s="1059"/>
      <c r="H85" s="198">
        <f>+H11</f>
        <v>94581400</v>
      </c>
      <c r="I85" s="199">
        <f>+I79+I72</f>
        <v>94581400</v>
      </c>
      <c r="J85" s="37"/>
      <c r="K85" s="37"/>
    </row>
    <row r="86" spans="1:11" x14ac:dyDescent="0.25">
      <c r="A86" s="37"/>
      <c r="B86" s="37"/>
      <c r="C86" s="37"/>
      <c r="D86" s="37"/>
      <c r="E86" s="37"/>
      <c r="F86" s="37"/>
      <c r="G86" s="37"/>
      <c r="H86" s="231"/>
      <c r="I86" s="231"/>
      <c r="J86" s="37"/>
      <c r="K86" s="37"/>
    </row>
    <row r="87" spans="1:11" x14ac:dyDescent="0.25">
      <c r="A87" s="37"/>
      <c r="B87" s="37"/>
      <c r="C87" s="37"/>
      <c r="D87" s="37"/>
      <c r="E87" s="37"/>
      <c r="F87" s="37"/>
      <c r="G87" s="37"/>
      <c r="H87" s="231"/>
      <c r="I87" s="231"/>
      <c r="J87" s="37"/>
      <c r="K87" s="37"/>
    </row>
    <row r="88" spans="1:11" x14ac:dyDescent="0.25">
      <c r="A88" s="37"/>
      <c r="B88" s="37"/>
      <c r="C88" s="37"/>
      <c r="D88" s="37"/>
      <c r="E88" s="37"/>
      <c r="F88" s="37"/>
      <c r="G88" s="37"/>
      <c r="H88" s="231"/>
      <c r="I88" s="231"/>
      <c r="J88" s="37"/>
      <c r="K88" s="37"/>
    </row>
    <row r="89" spans="1:11" x14ac:dyDescent="0.25">
      <c r="A89" s="37"/>
      <c r="B89" s="37"/>
      <c r="C89" s="37"/>
      <c r="D89" s="37"/>
      <c r="E89" s="37"/>
      <c r="F89" s="37"/>
      <c r="G89" s="37"/>
      <c r="H89" s="231"/>
      <c r="I89" s="231"/>
      <c r="J89" s="37"/>
      <c r="K89" s="37"/>
    </row>
    <row r="90" spans="1:11" hidden="1" x14ac:dyDescent="0.25">
      <c r="A90" s="37"/>
      <c r="B90" s="37"/>
      <c r="C90" s="37"/>
      <c r="D90" s="37"/>
      <c r="E90" s="37"/>
      <c r="F90" s="37"/>
      <c r="G90" s="37"/>
      <c r="H90" s="231"/>
      <c r="I90" s="231"/>
      <c r="J90" s="37"/>
      <c r="K90" s="37"/>
    </row>
    <row r="91" spans="1:11" hidden="1" x14ac:dyDescent="0.25">
      <c r="A91" s="37"/>
      <c r="B91" s="37"/>
      <c r="C91" s="37"/>
      <c r="D91" s="37"/>
      <c r="E91" s="37"/>
      <c r="F91" s="37"/>
      <c r="G91" s="37"/>
      <c r="H91" s="231"/>
      <c r="I91" s="231"/>
      <c r="J91" s="37"/>
      <c r="K91" s="37"/>
    </row>
    <row r="92" spans="1:11" hidden="1" x14ac:dyDescent="0.25">
      <c r="A92" s="37"/>
      <c r="B92" s="37"/>
      <c r="C92" s="37"/>
      <c r="D92" s="37"/>
      <c r="E92" s="37"/>
      <c r="F92" s="37"/>
      <c r="G92" s="37"/>
      <c r="H92" s="231"/>
      <c r="I92" s="231"/>
      <c r="J92" s="37"/>
      <c r="K92" s="37"/>
    </row>
    <row r="93" spans="1:11" hidden="1" x14ac:dyDescent="0.25">
      <c r="A93" s="37"/>
      <c r="B93" s="37"/>
      <c r="C93" s="37"/>
      <c r="D93" s="37"/>
      <c r="E93" s="37"/>
      <c r="F93" s="37"/>
      <c r="G93" s="37"/>
      <c r="H93" s="231"/>
      <c r="I93" s="231"/>
      <c r="J93" s="37"/>
      <c r="K93" s="37"/>
    </row>
  </sheetData>
  <mergeCells count="6">
    <mergeCell ref="C85:G85"/>
    <mergeCell ref="C6:I6"/>
    <mergeCell ref="C7:I7"/>
    <mergeCell ref="C9:I9"/>
    <mergeCell ref="C10:I10"/>
    <mergeCell ref="C8:I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BAE2A-A2A2-4842-9453-330C2F1BD4EE}">
  <dimension ref="A1:BY972"/>
  <sheetViews>
    <sheetView topLeftCell="G22" zoomScale="60" zoomScaleNormal="60" workbookViewId="0">
      <selection activeCell="BB27" sqref="BB1:XFD1048576"/>
    </sheetView>
  </sheetViews>
  <sheetFormatPr baseColWidth="10" defaultColWidth="0" defaultRowHeight="15" zeroHeight="1" x14ac:dyDescent="0.25"/>
  <cols>
    <col min="1" max="1" width="11.42578125" style="35" customWidth="1"/>
    <col min="2" max="2" width="10.7109375" style="7" customWidth="1"/>
    <col min="3" max="3" width="13.28515625" style="7" customWidth="1"/>
    <col min="4" max="4" width="29.28515625" style="7" customWidth="1"/>
    <col min="5" max="5" width="18.7109375" style="7" customWidth="1"/>
    <col min="6" max="6" width="34.28515625" style="7" customWidth="1"/>
    <col min="7" max="7" width="60.140625" style="7" customWidth="1"/>
    <col min="8" max="8" width="24.85546875" style="311" bestFit="1" customWidth="1"/>
    <col min="9" max="9" width="16.140625" style="7" customWidth="1"/>
    <col min="10" max="10" width="15" style="7" customWidth="1"/>
    <col min="11" max="11" width="17" style="28" bestFit="1" customWidth="1"/>
    <col min="12" max="12" width="18.42578125" style="27" bestFit="1" customWidth="1"/>
    <col min="13" max="13" width="20.28515625" style="22" customWidth="1"/>
    <col min="14" max="14" width="23" style="22" bestFit="1" customWidth="1"/>
    <col min="15" max="15" width="22.85546875" style="22" customWidth="1"/>
    <col min="16" max="16" width="21.140625" style="7" customWidth="1"/>
    <col min="17" max="17" width="19.42578125" style="7" bestFit="1" customWidth="1"/>
    <col min="18" max="18" width="17.7109375" style="7" bestFit="1" customWidth="1"/>
    <col min="19" max="19" width="19" style="7" bestFit="1" customWidth="1"/>
    <col min="20" max="20" width="20.28515625" style="22" customWidth="1"/>
    <col min="21" max="21" width="24.5703125" style="22" customWidth="1"/>
    <col min="22" max="22" width="28.5703125" style="29" customWidth="1"/>
    <col min="23" max="24" width="15.85546875" style="30" customWidth="1"/>
    <col min="25" max="25" width="20.5703125" style="30" customWidth="1"/>
    <col min="26" max="26" width="15.85546875" style="30" customWidth="1"/>
    <col min="27" max="27" width="21.140625" style="30" customWidth="1"/>
    <col min="28" max="33" width="15.85546875" style="30" customWidth="1"/>
    <col min="34" max="34" width="19" style="30" customWidth="1"/>
    <col min="35" max="35" width="15.85546875" style="30" customWidth="1"/>
    <col min="36" max="39" width="15.85546875" style="32" customWidth="1"/>
    <col min="40" max="40" width="20.7109375" style="32" customWidth="1"/>
    <col min="41" max="41" width="15.85546875" style="32" customWidth="1"/>
    <col min="42" max="42" width="16.5703125" style="32" customWidth="1"/>
    <col min="43" max="43" width="17" style="32" customWidth="1"/>
    <col min="44" max="44" width="14.85546875" style="32" customWidth="1"/>
    <col min="45" max="45" width="17.7109375" style="32" customWidth="1"/>
    <col min="46" max="46" width="14.85546875" style="32" customWidth="1"/>
    <col min="47" max="47" width="17.7109375" style="32" customWidth="1"/>
    <col min="48" max="48" width="17.28515625" style="32" customWidth="1"/>
    <col min="49" max="50" width="23.7109375" style="31" customWidth="1"/>
    <col min="51" max="51" width="20.28515625" style="7" customWidth="1"/>
    <col min="52" max="53" width="11.42578125" style="35" customWidth="1"/>
    <col min="54" max="54" width="9.7109375" style="35" hidden="1"/>
    <col min="55" max="77" width="0" style="35" hidden="1"/>
    <col min="78" max="16384" width="11.42578125" style="7" hidden="1"/>
  </cols>
  <sheetData>
    <row r="1" spans="1:51" s="35" customFormat="1" x14ac:dyDescent="0.25">
      <c r="H1" s="304"/>
      <c r="K1" s="149"/>
      <c r="L1" s="150"/>
      <c r="M1" s="34"/>
      <c r="N1" s="34"/>
      <c r="O1" s="34"/>
      <c r="T1" s="34"/>
      <c r="U1" s="34"/>
      <c r="V1" s="34"/>
      <c r="AW1" s="34"/>
      <c r="AX1" s="34"/>
    </row>
    <row r="2" spans="1:51" s="35" customFormat="1" x14ac:dyDescent="0.25">
      <c r="H2" s="304"/>
      <c r="K2" s="149"/>
      <c r="L2" s="150"/>
      <c r="M2" s="34"/>
      <c r="N2" s="34"/>
      <c r="O2" s="34"/>
      <c r="T2" s="34"/>
      <c r="U2" s="34"/>
      <c r="V2" s="34"/>
      <c r="AW2" s="34"/>
      <c r="AX2" s="34"/>
    </row>
    <row r="3" spans="1:51" s="35" customFormat="1" x14ac:dyDescent="0.25">
      <c r="H3" s="304"/>
      <c r="K3" s="149"/>
      <c r="L3" s="150"/>
      <c r="M3" s="34"/>
      <c r="N3" s="34"/>
      <c r="O3" s="34"/>
      <c r="T3" s="34"/>
      <c r="U3" s="34"/>
      <c r="V3" s="34"/>
      <c r="AW3" s="34"/>
      <c r="AX3" s="34"/>
    </row>
    <row r="4" spans="1:51" s="35" customFormat="1" ht="18.75" customHeight="1" x14ac:dyDescent="0.25">
      <c r="H4" s="304"/>
      <c r="K4" s="149"/>
      <c r="L4" s="150"/>
      <c r="M4" s="34"/>
      <c r="N4" s="34"/>
      <c r="O4" s="34"/>
      <c r="T4" s="34"/>
      <c r="U4" s="34"/>
      <c r="V4" s="34"/>
      <c r="AW4" s="34"/>
      <c r="AX4" s="34"/>
    </row>
    <row r="5" spans="1:51" s="35" customFormat="1" x14ac:dyDescent="0.25">
      <c r="H5" s="304"/>
      <c r="K5" s="149"/>
      <c r="L5" s="150"/>
      <c r="M5" s="34"/>
      <c r="N5" s="34"/>
      <c r="O5" s="34"/>
      <c r="T5" s="34"/>
      <c r="U5" s="34"/>
      <c r="V5" s="34"/>
      <c r="AW5" s="34"/>
      <c r="AX5" s="34"/>
    </row>
    <row r="6" spans="1:51" s="35" customFormat="1" x14ac:dyDescent="0.25"/>
    <row r="7" spans="1:51" s="35" customFormat="1" ht="31.5" x14ac:dyDescent="0.25">
      <c r="A7" s="1206"/>
      <c r="B7" s="1206"/>
      <c r="C7" s="1206"/>
      <c r="D7" s="1206"/>
      <c r="E7" s="1206"/>
      <c r="F7" s="1206"/>
      <c r="G7" s="1206"/>
      <c r="H7" s="1206"/>
      <c r="I7" s="1206"/>
      <c r="J7" s="1206"/>
      <c r="K7" s="1206"/>
      <c r="L7" s="1206"/>
      <c r="M7" s="1206"/>
      <c r="N7" s="1206"/>
      <c r="O7" s="1206"/>
      <c r="P7" s="1206"/>
      <c r="Q7" s="1206"/>
      <c r="R7" s="1206"/>
      <c r="S7" s="1206"/>
      <c r="T7" s="1206"/>
      <c r="U7" s="1206"/>
      <c r="V7" s="1206"/>
      <c r="W7" s="1206"/>
      <c r="X7" s="1206"/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  <c r="AJ7" s="1206"/>
      <c r="AK7" s="1206"/>
      <c r="AL7" s="1206"/>
      <c r="AM7" s="1206"/>
      <c r="AN7" s="1206"/>
      <c r="AO7" s="1206"/>
      <c r="AP7" s="1206"/>
      <c r="AQ7" s="1206"/>
      <c r="AR7" s="1206"/>
      <c r="AS7" s="1206"/>
      <c r="AT7" s="1206"/>
      <c r="AU7" s="1206"/>
      <c r="AV7" s="1206"/>
      <c r="AW7" s="1206"/>
      <c r="AX7" s="1206"/>
      <c r="AY7" s="1206"/>
    </row>
    <row r="8" spans="1:51" s="35" customFormat="1" x14ac:dyDescent="0.25">
      <c r="H8" s="304"/>
      <c r="K8" s="149"/>
      <c r="L8" s="150"/>
      <c r="M8" s="34"/>
      <c r="N8" s="34"/>
      <c r="O8" s="34"/>
      <c r="T8" s="34"/>
      <c r="U8" s="34"/>
      <c r="V8" s="34"/>
      <c r="AW8" s="34"/>
      <c r="AX8" s="34"/>
    </row>
    <row r="9" spans="1:51" s="35" customFormat="1" ht="31.5" x14ac:dyDescent="0.25">
      <c r="A9" s="1206" t="s">
        <v>73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6"/>
      <c r="U9" s="1206"/>
      <c r="V9" s="1206"/>
      <c r="W9" s="1206"/>
      <c r="X9" s="1206"/>
      <c r="Y9" s="1206"/>
      <c r="Z9" s="1206"/>
      <c r="AA9" s="1206"/>
      <c r="AB9" s="1206"/>
      <c r="AC9" s="1206"/>
      <c r="AD9" s="1206"/>
      <c r="AE9" s="1206"/>
      <c r="AF9" s="1206"/>
      <c r="AG9" s="1206"/>
      <c r="AH9" s="1206"/>
      <c r="AI9" s="1206"/>
      <c r="AJ9" s="1206"/>
      <c r="AK9" s="1206"/>
      <c r="AL9" s="1206"/>
      <c r="AM9" s="1206"/>
      <c r="AN9" s="1206"/>
      <c r="AO9" s="1206"/>
      <c r="AP9" s="1206"/>
      <c r="AQ9" s="1206"/>
      <c r="AR9" s="1206"/>
      <c r="AS9" s="1206"/>
      <c r="AT9" s="1206"/>
      <c r="AU9" s="1206"/>
      <c r="AV9" s="1206"/>
      <c r="AW9" s="1206"/>
      <c r="AX9" s="1206"/>
      <c r="AY9" s="1206"/>
    </row>
    <row r="10" spans="1:51" s="35" customFormat="1" ht="31.5" x14ac:dyDescent="0.25">
      <c r="A10" s="1206" t="s">
        <v>577</v>
      </c>
      <c r="B10" s="1206"/>
      <c r="C10" s="1206"/>
      <c r="D10" s="1206"/>
      <c r="E10" s="1206"/>
      <c r="F10" s="1206"/>
      <c r="G10" s="1206"/>
      <c r="H10" s="1206"/>
      <c r="I10" s="1206"/>
      <c r="J10" s="1206"/>
      <c r="K10" s="1206"/>
      <c r="L10" s="1206"/>
      <c r="M10" s="1206"/>
      <c r="N10" s="1206"/>
      <c r="O10" s="1206"/>
      <c r="P10" s="1206"/>
      <c r="Q10" s="1206"/>
      <c r="R10" s="1206"/>
      <c r="S10" s="1206"/>
      <c r="T10" s="1206"/>
      <c r="U10" s="1206"/>
      <c r="V10" s="1206"/>
      <c r="W10" s="1206"/>
      <c r="X10" s="1206"/>
      <c r="Y10" s="1206"/>
      <c r="Z10" s="1206"/>
      <c r="AA10" s="1206"/>
      <c r="AB10" s="1206"/>
      <c r="AC10" s="1206"/>
      <c r="AD10" s="1206"/>
      <c r="AE10" s="1206"/>
      <c r="AF10" s="1206"/>
      <c r="AG10" s="1206"/>
      <c r="AH10" s="1206"/>
      <c r="AI10" s="1206"/>
      <c r="AJ10" s="1206"/>
      <c r="AK10" s="1206"/>
      <c r="AL10" s="1206"/>
      <c r="AM10" s="1206"/>
      <c r="AN10" s="1206"/>
      <c r="AO10" s="1206"/>
      <c r="AP10" s="1206"/>
      <c r="AQ10" s="1206"/>
      <c r="AR10" s="1206"/>
      <c r="AS10" s="1206"/>
      <c r="AT10" s="1206"/>
      <c r="AU10" s="1206"/>
      <c r="AV10" s="1206"/>
      <c r="AW10" s="1206"/>
      <c r="AX10" s="1206"/>
      <c r="AY10" s="1206"/>
    </row>
    <row r="11" spans="1:51" s="35" customFormat="1" ht="31.5" x14ac:dyDescent="0.25">
      <c r="A11" s="1206" t="s">
        <v>578</v>
      </c>
      <c r="B11" s="1206"/>
      <c r="C11" s="1206"/>
      <c r="D11" s="1206"/>
      <c r="E11" s="1206"/>
      <c r="F11" s="1206"/>
      <c r="G11" s="1206"/>
      <c r="H11" s="1206"/>
      <c r="I11" s="1206"/>
      <c r="J11" s="1206"/>
      <c r="K11" s="1206"/>
      <c r="L11" s="1206"/>
      <c r="M11" s="1206"/>
      <c r="N11" s="1206"/>
      <c r="O11" s="1206"/>
      <c r="P11" s="1206"/>
      <c r="Q11" s="1206"/>
      <c r="R11" s="1206"/>
      <c r="S11" s="1206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1206"/>
      <c r="AG11" s="1206"/>
      <c r="AH11" s="1206"/>
      <c r="AI11" s="1206"/>
      <c r="AJ11" s="1206"/>
      <c r="AK11" s="1206"/>
      <c r="AL11" s="1206"/>
      <c r="AM11" s="1206"/>
      <c r="AN11" s="1206"/>
      <c r="AO11" s="1206"/>
      <c r="AP11" s="1206"/>
      <c r="AQ11" s="1206"/>
      <c r="AR11" s="1206"/>
      <c r="AS11" s="1206"/>
      <c r="AT11" s="1206"/>
      <c r="AU11" s="1206"/>
      <c r="AV11" s="1206"/>
      <c r="AW11" s="1206"/>
      <c r="AX11" s="1206"/>
      <c r="AY11" s="1206"/>
    </row>
    <row r="12" spans="1:51" s="35" customFormat="1" x14ac:dyDescent="0.25">
      <c r="H12" s="304"/>
      <c r="K12" s="149"/>
      <c r="L12" s="150"/>
      <c r="M12" s="34"/>
      <c r="N12" s="34"/>
      <c r="O12" s="34"/>
      <c r="T12" s="34"/>
      <c r="U12" s="34"/>
      <c r="V12" s="34"/>
      <c r="AW12" s="34"/>
      <c r="AX12" s="34"/>
    </row>
    <row r="13" spans="1:51" s="35" customFormat="1" x14ac:dyDescent="0.25">
      <c r="H13" s="304"/>
      <c r="K13" s="149"/>
      <c r="L13" s="150"/>
      <c r="M13" s="34"/>
      <c r="N13" s="34"/>
      <c r="O13" s="34"/>
      <c r="T13" s="34"/>
      <c r="U13" s="34"/>
      <c r="V13" s="34"/>
      <c r="AW13" s="34"/>
      <c r="AX13" s="34"/>
    </row>
    <row r="14" spans="1:51" s="35" customFormat="1" x14ac:dyDescent="0.25">
      <c r="H14" s="304"/>
      <c r="K14" s="149"/>
      <c r="L14" s="150"/>
      <c r="M14" s="34"/>
      <c r="N14" s="34"/>
      <c r="O14" s="34"/>
      <c r="T14" s="34"/>
      <c r="U14" s="34"/>
      <c r="V14" s="34"/>
      <c r="AW14" s="34"/>
      <c r="AX14" s="34"/>
    </row>
    <row r="15" spans="1:51" s="35" customFormat="1" x14ac:dyDescent="0.25">
      <c r="H15" s="304"/>
      <c r="K15" s="149"/>
      <c r="L15" s="150"/>
      <c r="M15" s="34"/>
      <c r="N15" s="34"/>
      <c r="O15" s="34"/>
      <c r="T15" s="34"/>
      <c r="U15" s="34"/>
      <c r="V15" s="34"/>
      <c r="AW15" s="34"/>
      <c r="AX15" s="34"/>
    </row>
    <row r="16" spans="1:51" s="35" customFormat="1" x14ac:dyDescent="0.25">
      <c r="H16" s="304"/>
      <c r="K16" s="149"/>
      <c r="L16" s="150"/>
      <c r="M16" s="34"/>
      <c r="N16" s="34"/>
      <c r="O16" s="34"/>
      <c r="T16" s="34"/>
      <c r="U16" s="34"/>
      <c r="V16" s="34"/>
      <c r="AW16" s="34"/>
      <c r="AX16" s="34"/>
    </row>
    <row r="17" spans="2:51" s="35" customFormat="1" x14ac:dyDescent="0.25">
      <c r="H17" s="304"/>
      <c r="K17" s="149"/>
      <c r="L17" s="150"/>
      <c r="M17" s="34"/>
      <c r="N17" s="34"/>
      <c r="O17" s="34"/>
      <c r="T17" s="34"/>
      <c r="U17" s="34"/>
      <c r="V17" s="34"/>
      <c r="AW17" s="34"/>
      <c r="AX17" s="34"/>
    </row>
    <row r="18" spans="2:51" s="35" customFormat="1" ht="21.75" customHeight="1" thickBot="1" x14ac:dyDescent="0.3">
      <c r="H18" s="304"/>
      <c r="K18" s="149"/>
      <c r="L18" s="150"/>
      <c r="M18" s="34"/>
      <c r="N18" s="34"/>
      <c r="O18" s="34"/>
      <c r="T18" s="34"/>
      <c r="U18" s="34"/>
      <c r="V18" s="34"/>
      <c r="AW18" s="34"/>
      <c r="AX18" s="34"/>
    </row>
    <row r="19" spans="2:51" ht="40.5" customHeight="1" thickBot="1" x14ac:dyDescent="0.3">
      <c r="B19" s="1082" t="s">
        <v>159</v>
      </c>
      <c r="C19" s="1083"/>
      <c r="D19" s="1083"/>
      <c r="E19" s="1083"/>
      <c r="F19" s="1083"/>
      <c r="G19" s="1083"/>
      <c r="H19" s="1083"/>
      <c r="I19" s="1083"/>
      <c r="J19" s="1083"/>
      <c r="K19" s="1083"/>
      <c r="L19" s="1083"/>
      <c r="M19" s="1083"/>
      <c r="N19" s="1083"/>
      <c r="O19" s="1083"/>
      <c r="P19" s="1083"/>
      <c r="Q19" s="1083"/>
      <c r="R19" s="1083"/>
      <c r="S19" s="1083"/>
      <c r="T19" s="1083"/>
      <c r="U19" s="1083"/>
      <c r="V19" s="1083"/>
      <c r="W19" s="1083"/>
      <c r="X19" s="1083"/>
      <c r="Y19" s="1083"/>
      <c r="Z19" s="1083"/>
      <c r="AA19" s="1083"/>
      <c r="AB19" s="1083"/>
      <c r="AC19" s="1083"/>
      <c r="AD19" s="1083"/>
      <c r="AE19" s="1083"/>
      <c r="AF19" s="1083"/>
      <c r="AG19" s="1083"/>
      <c r="AH19" s="1083"/>
      <c r="AI19" s="1083"/>
      <c r="AJ19" s="1083"/>
      <c r="AK19" s="1083"/>
      <c r="AL19" s="1083"/>
      <c r="AM19" s="1083"/>
      <c r="AN19" s="1083"/>
      <c r="AO19" s="1083"/>
      <c r="AP19" s="1083"/>
      <c r="AQ19" s="1083"/>
      <c r="AR19" s="1083"/>
      <c r="AS19" s="1083"/>
      <c r="AT19" s="1083"/>
      <c r="AU19" s="1083"/>
      <c r="AV19" s="1083"/>
      <c r="AW19" s="1083"/>
      <c r="AX19" s="1083"/>
      <c r="AY19" s="1084"/>
    </row>
    <row r="20" spans="2:51" ht="48" customHeight="1" thickBot="1" x14ac:dyDescent="0.3">
      <c r="B20" s="1188" t="s">
        <v>189</v>
      </c>
      <c r="C20" s="1189"/>
      <c r="D20" s="1189"/>
      <c r="E20" s="1189"/>
      <c r="F20" s="1189"/>
      <c r="G20" s="1190"/>
      <c r="H20" s="1088" t="s">
        <v>550</v>
      </c>
      <c r="I20" s="1089"/>
      <c r="J20" s="1089"/>
      <c r="K20" s="1089"/>
      <c r="L20" s="1089"/>
      <c r="M20" s="1089"/>
      <c r="N20" s="1089"/>
      <c r="O20" s="1090"/>
      <c r="P20" s="1069" t="s">
        <v>551</v>
      </c>
      <c r="Q20" s="1070"/>
      <c r="R20" s="1070"/>
      <c r="S20" s="1070"/>
      <c r="T20" s="1070"/>
      <c r="U20" s="1070"/>
      <c r="V20" s="1071"/>
      <c r="W20" s="1085" t="s">
        <v>552</v>
      </c>
      <c r="X20" s="1086"/>
      <c r="Y20" s="1086"/>
      <c r="Z20" s="1086"/>
      <c r="AA20" s="1086"/>
      <c r="AB20" s="1086"/>
      <c r="AC20" s="1086"/>
      <c r="AD20" s="1086"/>
      <c r="AE20" s="1086"/>
      <c r="AF20" s="1086"/>
      <c r="AG20" s="1086"/>
      <c r="AH20" s="1086"/>
      <c r="AI20" s="1086"/>
      <c r="AJ20" s="1086"/>
      <c r="AK20" s="1086"/>
      <c r="AL20" s="1086"/>
      <c r="AM20" s="1086"/>
      <c r="AN20" s="1086"/>
      <c r="AO20" s="1086"/>
      <c r="AP20" s="1086"/>
      <c r="AQ20" s="1086"/>
      <c r="AR20" s="1086"/>
      <c r="AS20" s="1086"/>
      <c r="AT20" s="1086"/>
      <c r="AU20" s="1086"/>
      <c r="AV20" s="1086"/>
      <c r="AW20" s="1086"/>
      <c r="AX20" s="1086"/>
      <c r="AY20" s="1087"/>
    </row>
    <row r="21" spans="2:51" ht="137.25" customHeight="1" x14ac:dyDescent="0.25">
      <c r="B21" s="272" t="s">
        <v>1</v>
      </c>
      <c r="C21" s="273" t="s">
        <v>99</v>
      </c>
      <c r="D21" s="273" t="s">
        <v>96</v>
      </c>
      <c r="E21" s="246" t="s">
        <v>175</v>
      </c>
      <c r="F21" s="273" t="s">
        <v>139</v>
      </c>
      <c r="G21" s="274" t="s">
        <v>98</v>
      </c>
      <c r="H21" s="275" t="s">
        <v>103</v>
      </c>
      <c r="I21" s="276" t="s">
        <v>187</v>
      </c>
      <c r="J21" s="276" t="s">
        <v>545</v>
      </c>
      <c r="K21" s="277" t="s">
        <v>114</v>
      </c>
      <c r="L21" s="278" t="s">
        <v>546</v>
      </c>
      <c r="M21" s="276" t="s">
        <v>547</v>
      </c>
      <c r="N21" s="279" t="s">
        <v>548</v>
      </c>
      <c r="O21" s="280" t="s">
        <v>549</v>
      </c>
      <c r="P21" s="281" t="s">
        <v>102</v>
      </c>
      <c r="Q21" s="282" t="s">
        <v>115</v>
      </c>
      <c r="R21" s="282" t="s">
        <v>579</v>
      </c>
      <c r="S21" s="282" t="s">
        <v>553</v>
      </c>
      <c r="T21" s="282" t="s">
        <v>137</v>
      </c>
      <c r="U21" s="283" t="s">
        <v>161</v>
      </c>
      <c r="V21" s="284" t="s">
        <v>253</v>
      </c>
      <c r="W21" s="285" t="s">
        <v>606</v>
      </c>
      <c r="X21" s="286" t="s">
        <v>607</v>
      </c>
      <c r="Y21" s="286" t="s">
        <v>608</v>
      </c>
      <c r="Z21" s="286" t="s">
        <v>609</v>
      </c>
      <c r="AA21" s="286" t="s">
        <v>610</v>
      </c>
      <c r="AB21" s="286" t="s">
        <v>637</v>
      </c>
      <c r="AC21" s="286" t="s">
        <v>611</v>
      </c>
      <c r="AD21" s="286" t="s">
        <v>612</v>
      </c>
      <c r="AE21" s="286" t="s">
        <v>613</v>
      </c>
      <c r="AF21" s="286" t="s">
        <v>554</v>
      </c>
      <c r="AG21" s="286" t="s">
        <v>555</v>
      </c>
      <c r="AH21" s="286" t="s">
        <v>556</v>
      </c>
      <c r="AI21" s="286" t="s">
        <v>557</v>
      </c>
      <c r="AJ21" s="329" t="s">
        <v>614</v>
      </c>
      <c r="AK21" s="330" t="s">
        <v>615</v>
      </c>
      <c r="AL21" s="330" t="s">
        <v>616</v>
      </c>
      <c r="AM21" s="330" t="s">
        <v>617</v>
      </c>
      <c r="AN21" s="330" t="s">
        <v>618</v>
      </c>
      <c r="AO21" s="330" t="s">
        <v>624</v>
      </c>
      <c r="AP21" s="330" t="s">
        <v>619</v>
      </c>
      <c r="AQ21" s="330" t="s">
        <v>620</v>
      </c>
      <c r="AR21" s="330" t="s">
        <v>621</v>
      </c>
      <c r="AS21" s="330" t="s">
        <v>374</v>
      </c>
      <c r="AT21" s="330" t="s">
        <v>371</v>
      </c>
      <c r="AU21" s="330" t="s">
        <v>372</v>
      </c>
      <c r="AV21" s="330" t="s">
        <v>373</v>
      </c>
      <c r="AW21" s="330" t="s">
        <v>622</v>
      </c>
      <c r="AX21" s="330" t="s">
        <v>161</v>
      </c>
      <c r="AY21" s="331" t="s">
        <v>623</v>
      </c>
    </row>
    <row r="22" spans="2:51" ht="79.5" customHeight="1" x14ac:dyDescent="0.25">
      <c r="B22" s="1193" t="s">
        <v>0</v>
      </c>
      <c r="C22" s="232" t="s">
        <v>100</v>
      </c>
      <c r="D22" s="1199" t="s">
        <v>97</v>
      </c>
      <c r="E22" s="232" t="s">
        <v>176</v>
      </c>
      <c r="F22" s="245" t="s">
        <v>2</v>
      </c>
      <c r="G22" s="234" t="s">
        <v>8</v>
      </c>
      <c r="H22" s="305" t="s">
        <v>92</v>
      </c>
      <c r="I22" s="235">
        <v>1</v>
      </c>
      <c r="J22" s="235">
        <v>10</v>
      </c>
      <c r="K22" s="236">
        <f>+DEPRECIACION!J35</f>
        <v>0.11072530864197531</v>
      </c>
      <c r="L22" s="237">
        <f>I22*J22*K22</f>
        <v>1.1072530864197532</v>
      </c>
      <c r="M22" s="238">
        <f>+L22</f>
        <v>1.1072530864197532</v>
      </c>
      <c r="N22" s="1160">
        <f>+M22+M23</f>
        <v>1.152391975308642</v>
      </c>
      <c r="O22" s="1212">
        <f>+N22+N24</f>
        <v>244.12114197530863</v>
      </c>
      <c r="P22" s="239">
        <v>1</v>
      </c>
      <c r="Q22" s="240">
        <v>30</v>
      </c>
      <c r="R22" s="241">
        <f>+'NOMINA   MENSUAL'!Q29</f>
        <v>210.90555555555559</v>
      </c>
      <c r="S22" s="241">
        <f>+P22 *Q22*R22</f>
        <v>6327.1666666666679</v>
      </c>
      <c r="T22" s="242">
        <f>+SUM(S22)</f>
        <v>6327.1666666666679</v>
      </c>
      <c r="U22" s="1120">
        <f>+SUM(T22,T23)</f>
        <v>10545.277777777781</v>
      </c>
      <c r="V22" s="1187">
        <f>+U22+U24</f>
        <v>101234.66666666667</v>
      </c>
      <c r="W22" s="243" t="s">
        <v>138</v>
      </c>
      <c r="X22" s="244">
        <v>20</v>
      </c>
      <c r="Y22" s="244">
        <v>10</v>
      </c>
      <c r="Z22" s="244">
        <v>10</v>
      </c>
      <c r="AA22" s="244" t="s">
        <v>138</v>
      </c>
      <c r="AB22" s="244" t="s">
        <v>138</v>
      </c>
      <c r="AC22" s="244" t="s">
        <v>138</v>
      </c>
      <c r="AD22" s="244" t="s">
        <v>138</v>
      </c>
      <c r="AE22" s="244" t="s">
        <v>138</v>
      </c>
      <c r="AF22" s="244" t="s">
        <v>138</v>
      </c>
      <c r="AG22" s="244" t="s">
        <v>138</v>
      </c>
      <c r="AH22" s="244" t="s">
        <v>138</v>
      </c>
      <c r="AI22" s="244" t="s">
        <v>138</v>
      </c>
      <c r="AJ22" s="312" t="s">
        <v>138</v>
      </c>
      <c r="AK22" s="313">
        <f>+CIF!G15</f>
        <v>13.541666666666666</v>
      </c>
      <c r="AL22" s="313">
        <f>+CIF!G16</f>
        <v>1.5972222222222221</v>
      </c>
      <c r="AM22" s="313">
        <f>+CIF!G17</f>
        <v>1.7361111111111112</v>
      </c>
      <c r="AN22" s="312" t="s">
        <v>138</v>
      </c>
      <c r="AO22" s="312" t="s">
        <v>138</v>
      </c>
      <c r="AP22" s="312" t="s">
        <v>138</v>
      </c>
      <c r="AQ22" s="312" t="s">
        <v>138</v>
      </c>
      <c r="AR22" s="312" t="s">
        <v>138</v>
      </c>
      <c r="AS22" s="312" t="s">
        <v>138</v>
      </c>
      <c r="AT22" s="312" t="s">
        <v>138</v>
      </c>
      <c r="AU22" s="312" t="s">
        <v>138</v>
      </c>
      <c r="AV22" s="312" t="s">
        <v>138</v>
      </c>
      <c r="AW22" s="314">
        <f>+(X22*AK22)+(Y22*AL22)+(Z22*AM22)</f>
        <v>304.16666666666663</v>
      </c>
      <c r="AX22" s="1099">
        <f>+SUM(AW22:AW23)</f>
        <v>698.49537037037032</v>
      </c>
      <c r="AY22" s="1098">
        <f>+AX22+AX24</f>
        <v>23867.299382716046</v>
      </c>
    </row>
    <row r="23" spans="2:51" ht="117" customHeight="1" x14ac:dyDescent="0.25">
      <c r="B23" s="1193"/>
      <c r="C23" s="232" t="s">
        <v>100</v>
      </c>
      <c r="D23" s="1199"/>
      <c r="E23" s="232" t="s">
        <v>177</v>
      </c>
      <c r="F23" s="245" t="s">
        <v>3</v>
      </c>
      <c r="G23" s="234" t="s">
        <v>192</v>
      </c>
      <c r="H23" s="305" t="s">
        <v>198</v>
      </c>
      <c r="I23" s="235">
        <v>1</v>
      </c>
      <c r="J23" s="235">
        <v>3</v>
      </c>
      <c r="K23" s="236">
        <f>+DEPRECIACION!J51</f>
        <v>1.5046296296296295E-2</v>
      </c>
      <c r="L23" s="237">
        <f>I23*J23*K23</f>
        <v>4.5138888888888888E-2</v>
      </c>
      <c r="M23" s="233">
        <f>+L23</f>
        <v>4.5138888888888888E-2</v>
      </c>
      <c r="N23" s="1161"/>
      <c r="O23" s="1213"/>
      <c r="P23" s="239">
        <v>1</v>
      </c>
      <c r="Q23" s="240">
        <v>20</v>
      </c>
      <c r="R23" s="241">
        <f>+'NOMINA   MENSUAL'!$Q$29</f>
        <v>210.90555555555559</v>
      </c>
      <c r="S23" s="241">
        <f>+P23 *Q23*R23</f>
        <v>4218.1111111111122</v>
      </c>
      <c r="T23" s="242">
        <f>+SUM(S23)</f>
        <v>4218.1111111111122</v>
      </c>
      <c r="U23" s="1121"/>
      <c r="V23" s="1154"/>
      <c r="W23" s="243" t="s">
        <v>138</v>
      </c>
      <c r="X23" s="243" t="s">
        <v>138</v>
      </c>
      <c r="Y23" s="243">
        <v>15</v>
      </c>
      <c r="Z23" s="243" t="s">
        <v>138</v>
      </c>
      <c r="AA23" s="243">
        <v>40</v>
      </c>
      <c r="AB23" s="243" t="s">
        <v>138</v>
      </c>
      <c r="AC23" s="243" t="s">
        <v>138</v>
      </c>
      <c r="AD23" s="243" t="s">
        <v>138</v>
      </c>
      <c r="AE23" s="243" t="s">
        <v>138</v>
      </c>
      <c r="AF23" s="243" t="s">
        <v>138</v>
      </c>
      <c r="AG23" s="243" t="s">
        <v>138</v>
      </c>
      <c r="AH23" s="243" t="s">
        <v>138</v>
      </c>
      <c r="AI23" s="243" t="s">
        <v>138</v>
      </c>
      <c r="AJ23" s="312" t="s">
        <v>138</v>
      </c>
      <c r="AK23" s="316" t="s">
        <v>138</v>
      </c>
      <c r="AL23" s="317">
        <f>+AL22</f>
        <v>1.5972222222222221</v>
      </c>
      <c r="AM23" s="316" t="s">
        <v>138</v>
      </c>
      <c r="AN23" s="317">
        <f>+CIF!G21</f>
        <v>9.2592592592592595</v>
      </c>
      <c r="AO23" s="316" t="s">
        <v>138</v>
      </c>
      <c r="AP23" s="316" t="s">
        <v>138</v>
      </c>
      <c r="AQ23" s="316" t="s">
        <v>138</v>
      </c>
      <c r="AR23" s="316" t="s">
        <v>138</v>
      </c>
      <c r="AS23" s="316" t="s">
        <v>138</v>
      </c>
      <c r="AT23" s="316" t="s">
        <v>138</v>
      </c>
      <c r="AU23" s="316" t="s">
        <v>138</v>
      </c>
      <c r="AV23" s="316" t="s">
        <v>138</v>
      </c>
      <c r="AW23" s="315">
        <f>+(Y23*AL23)+(AA23*AN23)</f>
        <v>394.3287037037037</v>
      </c>
      <c r="AX23" s="1100"/>
      <c r="AY23" s="1092"/>
    </row>
    <row r="24" spans="2:51" ht="32.25" customHeight="1" x14ac:dyDescent="0.25">
      <c r="B24" s="1193"/>
      <c r="C24" s="1172" t="s">
        <v>100</v>
      </c>
      <c r="D24" s="1192" t="s">
        <v>158</v>
      </c>
      <c r="E24" s="1172" t="s">
        <v>178</v>
      </c>
      <c r="F24" s="1169" t="s">
        <v>203</v>
      </c>
      <c r="G24" s="1166" t="s">
        <v>204</v>
      </c>
      <c r="H24" s="305" t="s">
        <v>199</v>
      </c>
      <c r="I24" s="235">
        <v>1</v>
      </c>
      <c r="J24" s="235">
        <v>120</v>
      </c>
      <c r="K24" s="236">
        <f>+DEPRECIACION!J33</f>
        <v>0.67515432098765427</v>
      </c>
      <c r="L24" s="237">
        <f t="shared" ref="L24:L35" si="0">I24*J24*K24</f>
        <v>81.018518518518505</v>
      </c>
      <c r="M24" s="1208">
        <f>+L24+L25+L26+L27</f>
        <v>129.89004629629628</v>
      </c>
      <c r="N24" s="1160">
        <f>+M24+M28+M32</f>
        <v>242.96875</v>
      </c>
      <c r="O24" s="1213"/>
      <c r="P24" s="1143">
        <v>1</v>
      </c>
      <c r="Q24" s="1140">
        <v>355</v>
      </c>
      <c r="R24" s="1107">
        <f>+'NOMINA   MENSUAL'!$Q$29</f>
        <v>210.90555555555559</v>
      </c>
      <c r="S24" s="1107">
        <f>+P24*Q24*R24</f>
        <v>74871.472222222234</v>
      </c>
      <c r="T24" s="1125">
        <f>+SUM(S24)</f>
        <v>74871.472222222234</v>
      </c>
      <c r="U24" s="1120">
        <f>+SUM(T24:T35)</f>
        <v>90689.388888888891</v>
      </c>
      <c r="V24" s="1154"/>
      <c r="W24" s="1110" t="s">
        <v>138</v>
      </c>
      <c r="X24" s="1081">
        <v>480</v>
      </c>
      <c r="Y24" s="1081" t="s">
        <v>138</v>
      </c>
      <c r="Z24" s="1081">
        <v>480</v>
      </c>
      <c r="AA24" s="1081" t="s">
        <v>138</v>
      </c>
      <c r="AB24" s="1081" t="s">
        <v>138</v>
      </c>
      <c r="AC24" s="1081" t="s">
        <v>138</v>
      </c>
      <c r="AD24" s="1081" t="s">
        <v>138</v>
      </c>
      <c r="AE24" s="1081" t="s">
        <v>138</v>
      </c>
      <c r="AF24" s="1081" t="s">
        <v>138</v>
      </c>
      <c r="AG24" s="1081" t="s">
        <v>138</v>
      </c>
      <c r="AH24" s="1081" t="s">
        <v>138</v>
      </c>
      <c r="AI24" s="1077">
        <f>+Q24</f>
        <v>355</v>
      </c>
      <c r="AJ24" s="1072" t="s">
        <v>138</v>
      </c>
      <c r="AK24" s="1075">
        <f>+AK22</f>
        <v>13.541666666666666</v>
      </c>
      <c r="AL24" s="1072" t="s">
        <v>138</v>
      </c>
      <c r="AM24" s="1075">
        <f>+AM22</f>
        <v>1.7361111111111112</v>
      </c>
      <c r="AN24" s="1072" t="s">
        <v>138</v>
      </c>
      <c r="AO24" s="1072" t="s">
        <v>138</v>
      </c>
      <c r="AP24" s="1072" t="s">
        <v>138</v>
      </c>
      <c r="AQ24" s="1072" t="s">
        <v>138</v>
      </c>
      <c r="AR24" s="1072" t="s">
        <v>138</v>
      </c>
      <c r="AS24" s="1072" t="s">
        <v>138</v>
      </c>
      <c r="AT24" s="1072" t="s">
        <v>138</v>
      </c>
      <c r="AU24" s="1072" t="s">
        <v>138</v>
      </c>
      <c r="AV24" s="1075">
        <f>+'GASTOS ANUALES'!I65</f>
        <v>2.4934413580246915</v>
      </c>
      <c r="AW24" s="1102">
        <f>+(X24*AK24)+(Z24*AM24)+(AI24*AV24)</f>
        <v>8218.5050154320979</v>
      </c>
      <c r="AX24" s="1099">
        <f>+SUM(AW24:AW35)</f>
        <v>23168.804012345678</v>
      </c>
      <c r="AY24" s="1092"/>
    </row>
    <row r="25" spans="2:51" ht="32.25" customHeight="1" x14ac:dyDescent="0.25">
      <c r="B25" s="1193"/>
      <c r="C25" s="1173"/>
      <c r="D25" s="1192"/>
      <c r="E25" s="1173"/>
      <c r="F25" s="1170"/>
      <c r="G25" s="1167"/>
      <c r="H25" s="305" t="s">
        <v>166</v>
      </c>
      <c r="I25" s="235">
        <v>1</v>
      </c>
      <c r="J25" s="235">
        <v>15</v>
      </c>
      <c r="K25" s="236">
        <f>+DEPRECIACION!J34</f>
        <v>0.13310185185185186</v>
      </c>
      <c r="L25" s="237">
        <f t="shared" si="0"/>
        <v>1.9965277777777779</v>
      </c>
      <c r="M25" s="1209"/>
      <c r="N25" s="1162"/>
      <c r="O25" s="1213"/>
      <c r="P25" s="1144"/>
      <c r="Q25" s="1141"/>
      <c r="R25" s="1108"/>
      <c r="S25" s="1108"/>
      <c r="T25" s="1185"/>
      <c r="U25" s="1122"/>
      <c r="V25" s="1154"/>
      <c r="W25" s="1110"/>
      <c r="X25" s="1081"/>
      <c r="Y25" s="1081"/>
      <c r="Z25" s="1081"/>
      <c r="AA25" s="1081"/>
      <c r="AB25" s="1081"/>
      <c r="AC25" s="1081"/>
      <c r="AD25" s="1081"/>
      <c r="AE25" s="1081"/>
      <c r="AF25" s="1081"/>
      <c r="AG25" s="1081"/>
      <c r="AH25" s="1081"/>
      <c r="AI25" s="1078"/>
      <c r="AJ25" s="1073"/>
      <c r="AK25" s="1073"/>
      <c r="AL25" s="1073"/>
      <c r="AM25" s="1073"/>
      <c r="AN25" s="1073"/>
      <c r="AO25" s="1073"/>
      <c r="AP25" s="1073"/>
      <c r="AQ25" s="1073"/>
      <c r="AR25" s="1073"/>
      <c r="AS25" s="1073"/>
      <c r="AT25" s="1073"/>
      <c r="AU25" s="1073"/>
      <c r="AV25" s="1073"/>
      <c r="AW25" s="1103"/>
      <c r="AX25" s="1099"/>
      <c r="AY25" s="1092"/>
    </row>
    <row r="26" spans="2:51" ht="48" customHeight="1" x14ac:dyDescent="0.25">
      <c r="B26" s="1193"/>
      <c r="C26" s="1173"/>
      <c r="D26" s="1192"/>
      <c r="E26" s="1173"/>
      <c r="F26" s="1170"/>
      <c r="G26" s="1167"/>
      <c r="H26" s="305" t="s">
        <v>195</v>
      </c>
      <c r="I26" s="235">
        <v>1</v>
      </c>
      <c r="J26" s="235">
        <v>150</v>
      </c>
      <c r="K26" s="236">
        <f>+DEPRECIACION!J31</f>
        <v>0.13503086419753085</v>
      </c>
      <c r="L26" s="237">
        <f t="shared" si="0"/>
        <v>20.254629629629626</v>
      </c>
      <c r="M26" s="1209"/>
      <c r="N26" s="1162"/>
      <c r="O26" s="1213"/>
      <c r="P26" s="1144"/>
      <c r="Q26" s="1141"/>
      <c r="R26" s="1108"/>
      <c r="S26" s="1108"/>
      <c r="T26" s="1185"/>
      <c r="U26" s="1122"/>
      <c r="V26" s="1154"/>
      <c r="W26" s="1110"/>
      <c r="X26" s="1081"/>
      <c r="Y26" s="1081"/>
      <c r="Z26" s="1081"/>
      <c r="AA26" s="1081"/>
      <c r="AB26" s="1081"/>
      <c r="AC26" s="1081"/>
      <c r="AD26" s="1081"/>
      <c r="AE26" s="1081"/>
      <c r="AF26" s="1081"/>
      <c r="AG26" s="1081"/>
      <c r="AH26" s="1081"/>
      <c r="AI26" s="1078"/>
      <c r="AJ26" s="1073"/>
      <c r="AK26" s="1073"/>
      <c r="AL26" s="1073"/>
      <c r="AM26" s="1073"/>
      <c r="AN26" s="1073"/>
      <c r="AO26" s="1073"/>
      <c r="AP26" s="1073"/>
      <c r="AQ26" s="1073"/>
      <c r="AR26" s="1073"/>
      <c r="AS26" s="1073"/>
      <c r="AT26" s="1073"/>
      <c r="AU26" s="1073"/>
      <c r="AV26" s="1073"/>
      <c r="AW26" s="1103"/>
      <c r="AX26" s="1099"/>
      <c r="AY26" s="1092"/>
    </row>
    <row r="27" spans="2:51" ht="66.75" customHeight="1" x14ac:dyDescent="0.25">
      <c r="B27" s="1193"/>
      <c r="C27" s="1173"/>
      <c r="D27" s="1192"/>
      <c r="E27" s="1174"/>
      <c r="F27" s="1171"/>
      <c r="G27" s="1168"/>
      <c r="H27" s="305" t="s">
        <v>196</v>
      </c>
      <c r="I27" s="235">
        <v>1</v>
      </c>
      <c r="J27" s="235">
        <v>150</v>
      </c>
      <c r="K27" s="236">
        <f>+DEPRECIACION!J32</f>
        <v>0.17746913580246915</v>
      </c>
      <c r="L27" s="237">
        <f t="shared" si="0"/>
        <v>26.620370370370374</v>
      </c>
      <c r="M27" s="1210"/>
      <c r="N27" s="1162"/>
      <c r="O27" s="1213"/>
      <c r="P27" s="1146"/>
      <c r="Q27" s="1175"/>
      <c r="R27" s="1109"/>
      <c r="S27" s="1109"/>
      <c r="T27" s="1126"/>
      <c r="U27" s="1122"/>
      <c r="V27" s="1154"/>
      <c r="W27" s="1110"/>
      <c r="X27" s="1081"/>
      <c r="Y27" s="1081"/>
      <c r="Z27" s="1081"/>
      <c r="AA27" s="1081"/>
      <c r="AB27" s="1081"/>
      <c r="AC27" s="1081"/>
      <c r="AD27" s="1081"/>
      <c r="AE27" s="1081"/>
      <c r="AF27" s="1081"/>
      <c r="AG27" s="1081"/>
      <c r="AH27" s="1081"/>
      <c r="AI27" s="1079"/>
      <c r="AJ27" s="1076"/>
      <c r="AK27" s="1076"/>
      <c r="AL27" s="1076"/>
      <c r="AM27" s="1076"/>
      <c r="AN27" s="1076"/>
      <c r="AO27" s="1076"/>
      <c r="AP27" s="1076"/>
      <c r="AQ27" s="1076"/>
      <c r="AR27" s="1076"/>
      <c r="AS27" s="1076"/>
      <c r="AT27" s="1076"/>
      <c r="AU27" s="1076"/>
      <c r="AV27" s="1076"/>
      <c r="AW27" s="1104"/>
      <c r="AX27" s="1099"/>
      <c r="AY27" s="1092"/>
    </row>
    <row r="28" spans="2:51" ht="41.25" customHeight="1" x14ac:dyDescent="0.25">
      <c r="B28" s="1193"/>
      <c r="C28" s="1173"/>
      <c r="D28" s="1192"/>
      <c r="E28" s="1182" t="s">
        <v>179</v>
      </c>
      <c r="F28" s="1169" t="s">
        <v>101</v>
      </c>
      <c r="G28" s="1166" t="s">
        <v>215</v>
      </c>
      <c r="H28" s="305" t="s">
        <v>166</v>
      </c>
      <c r="I28" s="235">
        <v>1</v>
      </c>
      <c r="J28" s="235">
        <v>15</v>
      </c>
      <c r="K28" s="236">
        <f>+K25</f>
        <v>0.13310185185185186</v>
      </c>
      <c r="L28" s="237">
        <f t="shared" si="0"/>
        <v>1.9965277777777779</v>
      </c>
      <c r="M28" s="1208">
        <f>+L28+L29+L30+L31</f>
        <v>92.660108024691354</v>
      </c>
      <c r="N28" s="1162"/>
      <c r="O28" s="1213"/>
      <c r="P28" s="1143">
        <v>1</v>
      </c>
      <c r="Q28" s="1140">
        <v>60</v>
      </c>
      <c r="R28" s="1107">
        <f>+'NOMINA   MENSUAL'!$Q$29</f>
        <v>210.90555555555559</v>
      </c>
      <c r="S28" s="1107">
        <f>+P28*Q28*R28</f>
        <v>12654.333333333336</v>
      </c>
      <c r="T28" s="1125">
        <f>+SUM(S28)</f>
        <v>12654.333333333336</v>
      </c>
      <c r="U28" s="1122"/>
      <c r="V28" s="1154"/>
      <c r="W28" s="1095" t="s">
        <v>138</v>
      </c>
      <c r="X28" s="1078">
        <v>480</v>
      </c>
      <c r="Y28" s="1078">
        <v>15</v>
      </c>
      <c r="Z28" s="1078">
        <v>90</v>
      </c>
      <c r="AA28" s="1078" t="s">
        <v>138</v>
      </c>
      <c r="AB28" s="1078" t="s">
        <v>138</v>
      </c>
      <c r="AC28" s="1078" t="s">
        <v>138</v>
      </c>
      <c r="AD28" s="1078" t="s">
        <v>138</v>
      </c>
      <c r="AE28" s="1078" t="s">
        <v>138</v>
      </c>
      <c r="AF28" s="1081" t="s">
        <v>138</v>
      </c>
      <c r="AG28" s="1081" t="s">
        <v>138</v>
      </c>
      <c r="AH28" s="1081" t="s">
        <v>138</v>
      </c>
      <c r="AI28" s="1077">
        <f t="shared" ref="AI28" si="1">+Q28</f>
        <v>60</v>
      </c>
      <c r="AJ28" s="1072" t="s">
        <v>138</v>
      </c>
      <c r="AK28" s="1075">
        <f>+AK22</f>
        <v>13.541666666666666</v>
      </c>
      <c r="AL28" s="1075">
        <f>+AL22</f>
        <v>1.5972222222222221</v>
      </c>
      <c r="AM28" s="1075">
        <f>+AM22</f>
        <v>1.7361111111111112</v>
      </c>
      <c r="AN28" s="1072" t="s">
        <v>138</v>
      </c>
      <c r="AO28" s="1072" t="s">
        <v>138</v>
      </c>
      <c r="AP28" s="1072" t="s">
        <v>138</v>
      </c>
      <c r="AQ28" s="1072" t="s">
        <v>138</v>
      </c>
      <c r="AR28" s="1073" t="s">
        <v>138</v>
      </c>
      <c r="AS28" s="1072" t="s">
        <v>138</v>
      </c>
      <c r="AT28" s="1072" t="s">
        <v>138</v>
      </c>
      <c r="AU28" s="1072" t="s">
        <v>138</v>
      </c>
      <c r="AV28" s="1075">
        <f>+AV24</f>
        <v>2.4934413580246915</v>
      </c>
      <c r="AW28" s="1102">
        <f>+(X28*AK28)+(Z28*AM28)+(AI28*AV28)+(AL28*Y28)</f>
        <v>6829.8148148148148</v>
      </c>
      <c r="AX28" s="1099"/>
      <c r="AY28" s="1092"/>
    </row>
    <row r="29" spans="2:51" ht="21" x14ac:dyDescent="0.25">
      <c r="B29" s="1193"/>
      <c r="C29" s="1173"/>
      <c r="D29" s="1192"/>
      <c r="E29" s="1183"/>
      <c r="F29" s="1170"/>
      <c r="G29" s="1167"/>
      <c r="H29" s="305" t="s">
        <v>195</v>
      </c>
      <c r="I29" s="235">
        <v>1</v>
      </c>
      <c r="J29" s="235">
        <v>90</v>
      </c>
      <c r="K29" s="236">
        <f>+K26</f>
        <v>0.13503086419753085</v>
      </c>
      <c r="L29" s="237">
        <f t="shared" si="0"/>
        <v>12.152777777777777</v>
      </c>
      <c r="M29" s="1209"/>
      <c r="N29" s="1162"/>
      <c r="O29" s="1213"/>
      <c r="P29" s="1144"/>
      <c r="Q29" s="1141"/>
      <c r="R29" s="1108"/>
      <c r="S29" s="1108"/>
      <c r="T29" s="1185"/>
      <c r="U29" s="1122"/>
      <c r="V29" s="1154"/>
      <c r="W29" s="1095"/>
      <c r="X29" s="1078"/>
      <c r="Y29" s="1078"/>
      <c r="Z29" s="1078"/>
      <c r="AA29" s="1078"/>
      <c r="AB29" s="1078"/>
      <c r="AC29" s="1078"/>
      <c r="AD29" s="1078"/>
      <c r="AE29" s="1078"/>
      <c r="AF29" s="1081"/>
      <c r="AG29" s="1081"/>
      <c r="AH29" s="1081"/>
      <c r="AI29" s="1078"/>
      <c r="AJ29" s="1073"/>
      <c r="AK29" s="1073"/>
      <c r="AL29" s="1073"/>
      <c r="AM29" s="1073"/>
      <c r="AN29" s="1073"/>
      <c r="AO29" s="1073"/>
      <c r="AP29" s="1073"/>
      <c r="AQ29" s="1073"/>
      <c r="AR29" s="1073"/>
      <c r="AS29" s="1073"/>
      <c r="AT29" s="1073"/>
      <c r="AU29" s="1073"/>
      <c r="AV29" s="1073"/>
      <c r="AW29" s="1103"/>
      <c r="AX29" s="1099"/>
      <c r="AY29" s="1092"/>
    </row>
    <row r="30" spans="2:51" ht="21" x14ac:dyDescent="0.25">
      <c r="B30" s="1193"/>
      <c r="C30" s="1173"/>
      <c r="D30" s="1192"/>
      <c r="E30" s="1183"/>
      <c r="F30" s="1170"/>
      <c r="G30" s="1167"/>
      <c r="H30" s="305" t="s">
        <v>196</v>
      </c>
      <c r="I30" s="235">
        <v>1</v>
      </c>
      <c r="J30" s="235">
        <v>100</v>
      </c>
      <c r="K30" s="236">
        <f>+K27</f>
        <v>0.17746913580246915</v>
      </c>
      <c r="L30" s="237">
        <f t="shared" si="0"/>
        <v>17.746913580246915</v>
      </c>
      <c r="M30" s="1209"/>
      <c r="N30" s="1162"/>
      <c r="O30" s="1213"/>
      <c r="P30" s="1144"/>
      <c r="Q30" s="1141"/>
      <c r="R30" s="1108"/>
      <c r="S30" s="1108"/>
      <c r="T30" s="1185"/>
      <c r="U30" s="1122"/>
      <c r="V30" s="1154"/>
      <c r="W30" s="1095"/>
      <c r="X30" s="1078"/>
      <c r="Y30" s="1078"/>
      <c r="Z30" s="1078"/>
      <c r="AA30" s="1078"/>
      <c r="AB30" s="1078"/>
      <c r="AC30" s="1078"/>
      <c r="AD30" s="1078"/>
      <c r="AE30" s="1078"/>
      <c r="AF30" s="1081"/>
      <c r="AG30" s="1081"/>
      <c r="AH30" s="1081"/>
      <c r="AI30" s="1078"/>
      <c r="AJ30" s="1073"/>
      <c r="AK30" s="1073"/>
      <c r="AL30" s="1073"/>
      <c r="AM30" s="1073"/>
      <c r="AN30" s="1073"/>
      <c r="AO30" s="1073"/>
      <c r="AP30" s="1073"/>
      <c r="AQ30" s="1073"/>
      <c r="AR30" s="1073"/>
      <c r="AS30" s="1073"/>
      <c r="AT30" s="1073"/>
      <c r="AU30" s="1073"/>
      <c r="AV30" s="1073"/>
      <c r="AW30" s="1103"/>
      <c r="AX30" s="1099"/>
      <c r="AY30" s="1092"/>
    </row>
    <row r="31" spans="2:51" ht="21" x14ac:dyDescent="0.25">
      <c r="B31" s="1193"/>
      <c r="C31" s="1173"/>
      <c r="D31" s="1192"/>
      <c r="E31" s="1184"/>
      <c r="F31" s="1171"/>
      <c r="G31" s="1168"/>
      <c r="H31" s="305" t="s">
        <v>199</v>
      </c>
      <c r="I31" s="235">
        <v>1</v>
      </c>
      <c r="J31" s="235">
        <v>90</v>
      </c>
      <c r="K31" s="236">
        <f>+K24</f>
        <v>0.67515432098765427</v>
      </c>
      <c r="L31" s="237">
        <f t="shared" si="0"/>
        <v>60.763888888888886</v>
      </c>
      <c r="M31" s="1210"/>
      <c r="N31" s="1162"/>
      <c r="O31" s="1213"/>
      <c r="P31" s="1146"/>
      <c r="Q31" s="1175"/>
      <c r="R31" s="1109"/>
      <c r="S31" s="1109"/>
      <c r="T31" s="1126"/>
      <c r="U31" s="1122"/>
      <c r="V31" s="1154"/>
      <c r="W31" s="1096"/>
      <c r="X31" s="1079"/>
      <c r="Y31" s="1079"/>
      <c r="Z31" s="1079"/>
      <c r="AA31" s="1079"/>
      <c r="AB31" s="1079"/>
      <c r="AC31" s="1079"/>
      <c r="AD31" s="1079"/>
      <c r="AE31" s="1079"/>
      <c r="AF31" s="1081"/>
      <c r="AG31" s="1081"/>
      <c r="AH31" s="1081"/>
      <c r="AI31" s="1079"/>
      <c r="AJ31" s="1076"/>
      <c r="AK31" s="1076"/>
      <c r="AL31" s="1076"/>
      <c r="AM31" s="1076"/>
      <c r="AN31" s="1076"/>
      <c r="AO31" s="1076"/>
      <c r="AP31" s="1076"/>
      <c r="AQ31" s="1076"/>
      <c r="AR31" s="1076"/>
      <c r="AS31" s="1076"/>
      <c r="AT31" s="1076"/>
      <c r="AU31" s="1076"/>
      <c r="AV31" s="1076"/>
      <c r="AW31" s="1104"/>
      <c r="AX31" s="1100"/>
      <c r="AY31" s="1092"/>
    </row>
    <row r="32" spans="2:51" ht="20.25" customHeight="1" x14ac:dyDescent="0.25">
      <c r="B32" s="1193"/>
      <c r="C32" s="1173"/>
      <c r="D32" s="1192"/>
      <c r="E32" s="1182" t="s">
        <v>381</v>
      </c>
      <c r="F32" s="1169" t="s">
        <v>200</v>
      </c>
      <c r="G32" s="1166" t="s">
        <v>201</v>
      </c>
      <c r="H32" s="305" t="s">
        <v>166</v>
      </c>
      <c r="I32" s="235">
        <v>1</v>
      </c>
      <c r="J32" s="235">
        <v>5</v>
      </c>
      <c r="K32" s="236">
        <f>+K25</f>
        <v>0.13310185185185186</v>
      </c>
      <c r="L32" s="237">
        <f t="shared" si="0"/>
        <v>0.6655092592592593</v>
      </c>
      <c r="M32" s="1208">
        <f>+L32+L33+L35+L34</f>
        <v>20.418595679012345</v>
      </c>
      <c r="N32" s="1162"/>
      <c r="O32" s="1213"/>
      <c r="P32" s="1143">
        <v>1</v>
      </c>
      <c r="Q32" s="1140">
        <v>15</v>
      </c>
      <c r="R32" s="1107">
        <f>+'NOMINA   MENSUAL'!$Q$29</f>
        <v>210.90555555555559</v>
      </c>
      <c r="S32" s="1107">
        <f>+P32*Q32*R32</f>
        <v>3163.5833333333339</v>
      </c>
      <c r="T32" s="1125">
        <f>+SUM(S32)</f>
        <v>3163.5833333333339</v>
      </c>
      <c r="U32" s="1122"/>
      <c r="V32" s="1154"/>
      <c r="W32" s="1094" t="s">
        <v>138</v>
      </c>
      <c r="X32" s="1077">
        <v>480</v>
      </c>
      <c r="Y32" s="1077">
        <v>15</v>
      </c>
      <c r="Z32" s="1077">
        <v>90</v>
      </c>
      <c r="AA32" s="1077">
        <v>10</v>
      </c>
      <c r="AB32" s="1077">
        <v>10</v>
      </c>
      <c r="AC32" s="1077">
        <v>15</v>
      </c>
      <c r="AD32" s="1077">
        <v>10</v>
      </c>
      <c r="AE32" s="1077">
        <v>10</v>
      </c>
      <c r="AF32" s="1081" t="s">
        <v>138</v>
      </c>
      <c r="AG32" s="1081" t="s">
        <v>138</v>
      </c>
      <c r="AH32" s="1081" t="s">
        <v>138</v>
      </c>
      <c r="AI32" s="1077">
        <f t="shared" ref="AI32" si="2">+Q32</f>
        <v>15</v>
      </c>
      <c r="AJ32" s="1072" t="s">
        <v>138</v>
      </c>
      <c r="AK32" s="1075">
        <f>+AK22</f>
        <v>13.541666666666666</v>
      </c>
      <c r="AL32" s="1075">
        <f>+AL22</f>
        <v>1.5972222222222221</v>
      </c>
      <c r="AM32" s="1075">
        <f>+AM22</f>
        <v>1.7361111111111112</v>
      </c>
      <c r="AN32" s="1075">
        <f>+AN23</f>
        <v>9.2592592592592595</v>
      </c>
      <c r="AO32" s="1075">
        <f>+CIF!G20</f>
        <v>129.86111111111111</v>
      </c>
      <c r="AP32" s="1075">
        <f>+CIF!G18</f>
        <v>0.34722222222222221</v>
      </c>
      <c r="AQ32" s="1075">
        <f>+CIF!G19</f>
        <v>0.24112654320987656</v>
      </c>
      <c r="AR32" s="1075">
        <f>+CIF!G22</f>
        <v>0.40509259259259262</v>
      </c>
      <c r="AS32" s="1072" t="s">
        <v>138</v>
      </c>
      <c r="AT32" s="1072" t="s">
        <v>138</v>
      </c>
      <c r="AU32" s="1072" t="s">
        <v>138</v>
      </c>
      <c r="AV32" s="1075">
        <f>+AV24</f>
        <v>2.4934413580246915</v>
      </c>
      <c r="AW32" s="1102">
        <f>+(X32*AK32)+(Z32*AM32)+(AI32*AV32)+(Y32*AL32)+(AA32*AN32)+(AB32*AO32)+(AC32*AP32)+(AD32*AQ32)+(AE32*AR32)</f>
        <v>8120.4841820987649</v>
      </c>
      <c r="AX32" s="1100"/>
      <c r="AY32" s="1092"/>
    </row>
    <row r="33" spans="2:51" ht="21" x14ac:dyDescent="0.25">
      <c r="B33" s="1193"/>
      <c r="C33" s="1173"/>
      <c r="D33" s="1192"/>
      <c r="E33" s="1183"/>
      <c r="F33" s="1170"/>
      <c r="G33" s="1167"/>
      <c r="H33" s="305" t="s">
        <v>195</v>
      </c>
      <c r="I33" s="235">
        <v>1</v>
      </c>
      <c r="J33" s="235">
        <v>20</v>
      </c>
      <c r="K33" s="236">
        <f>+K26</f>
        <v>0.13503086419753085</v>
      </c>
      <c r="L33" s="237">
        <f t="shared" si="0"/>
        <v>2.7006172839506171</v>
      </c>
      <c r="M33" s="1209"/>
      <c r="N33" s="1162"/>
      <c r="O33" s="1213"/>
      <c r="P33" s="1144"/>
      <c r="Q33" s="1141"/>
      <c r="R33" s="1108"/>
      <c r="S33" s="1108"/>
      <c r="T33" s="1185"/>
      <c r="U33" s="1122"/>
      <c r="V33" s="1154"/>
      <c r="W33" s="1095"/>
      <c r="X33" s="1078"/>
      <c r="Y33" s="1078"/>
      <c r="Z33" s="1078"/>
      <c r="AA33" s="1078"/>
      <c r="AB33" s="1078"/>
      <c r="AC33" s="1078"/>
      <c r="AD33" s="1078"/>
      <c r="AE33" s="1078"/>
      <c r="AF33" s="1081"/>
      <c r="AG33" s="1081"/>
      <c r="AH33" s="1081"/>
      <c r="AI33" s="1078"/>
      <c r="AJ33" s="1073"/>
      <c r="AK33" s="1073"/>
      <c r="AL33" s="1073"/>
      <c r="AM33" s="1073"/>
      <c r="AN33" s="1073"/>
      <c r="AO33" s="1073"/>
      <c r="AP33" s="1073"/>
      <c r="AQ33" s="1073"/>
      <c r="AR33" s="1073"/>
      <c r="AS33" s="1073"/>
      <c r="AT33" s="1073"/>
      <c r="AU33" s="1073"/>
      <c r="AV33" s="1073"/>
      <c r="AW33" s="1103"/>
      <c r="AX33" s="1100"/>
      <c r="AY33" s="1092"/>
    </row>
    <row r="34" spans="2:51" ht="21" x14ac:dyDescent="0.25">
      <c r="B34" s="1193"/>
      <c r="C34" s="1173"/>
      <c r="D34" s="1192"/>
      <c r="E34" s="1183"/>
      <c r="F34" s="1170"/>
      <c r="G34" s="1167"/>
      <c r="H34" s="305" t="s">
        <v>196</v>
      </c>
      <c r="I34" s="235">
        <v>1</v>
      </c>
      <c r="J34" s="235">
        <v>20</v>
      </c>
      <c r="K34" s="236">
        <f>+K27</f>
        <v>0.17746913580246915</v>
      </c>
      <c r="L34" s="237">
        <f t="shared" si="0"/>
        <v>3.5493827160493829</v>
      </c>
      <c r="M34" s="1209"/>
      <c r="N34" s="1162"/>
      <c r="O34" s="1213"/>
      <c r="P34" s="1144"/>
      <c r="Q34" s="1141"/>
      <c r="R34" s="1108"/>
      <c r="S34" s="1108"/>
      <c r="T34" s="1185"/>
      <c r="U34" s="1122"/>
      <c r="V34" s="1154"/>
      <c r="W34" s="1095"/>
      <c r="X34" s="1078"/>
      <c r="Y34" s="1078"/>
      <c r="Z34" s="1078"/>
      <c r="AA34" s="1078"/>
      <c r="AB34" s="1078"/>
      <c r="AC34" s="1078"/>
      <c r="AD34" s="1078"/>
      <c r="AE34" s="1078"/>
      <c r="AF34" s="1081"/>
      <c r="AG34" s="1081"/>
      <c r="AH34" s="1081"/>
      <c r="AI34" s="1078"/>
      <c r="AJ34" s="1073"/>
      <c r="AK34" s="1073"/>
      <c r="AL34" s="1073"/>
      <c r="AM34" s="1073"/>
      <c r="AN34" s="1073"/>
      <c r="AO34" s="1073"/>
      <c r="AP34" s="1073"/>
      <c r="AQ34" s="1073"/>
      <c r="AR34" s="1073"/>
      <c r="AS34" s="1073"/>
      <c r="AT34" s="1073"/>
      <c r="AU34" s="1073"/>
      <c r="AV34" s="1073"/>
      <c r="AW34" s="1103"/>
      <c r="AX34" s="1100"/>
      <c r="AY34" s="1092"/>
    </row>
    <row r="35" spans="2:51" ht="21.75" thickBot="1" x14ac:dyDescent="0.3">
      <c r="B35" s="1194"/>
      <c r="C35" s="1191"/>
      <c r="D35" s="1195"/>
      <c r="E35" s="1201"/>
      <c r="F35" s="1180"/>
      <c r="G35" s="1181"/>
      <c r="H35" s="306" t="s">
        <v>199</v>
      </c>
      <c r="I35" s="288">
        <v>1</v>
      </c>
      <c r="J35" s="288">
        <v>20</v>
      </c>
      <c r="K35" s="289">
        <f>+K24</f>
        <v>0.67515432098765427</v>
      </c>
      <c r="L35" s="290">
        <f t="shared" si="0"/>
        <v>13.503086419753085</v>
      </c>
      <c r="M35" s="1211"/>
      <c r="N35" s="1163"/>
      <c r="O35" s="1214"/>
      <c r="P35" s="1145"/>
      <c r="Q35" s="1142"/>
      <c r="R35" s="1132"/>
      <c r="S35" s="1132"/>
      <c r="T35" s="1186"/>
      <c r="U35" s="1123"/>
      <c r="V35" s="1155"/>
      <c r="W35" s="1106"/>
      <c r="X35" s="1080"/>
      <c r="Y35" s="1080"/>
      <c r="Z35" s="1080"/>
      <c r="AA35" s="1080"/>
      <c r="AB35" s="1080"/>
      <c r="AC35" s="1080"/>
      <c r="AD35" s="1080"/>
      <c r="AE35" s="1080"/>
      <c r="AF35" s="1097"/>
      <c r="AG35" s="1097"/>
      <c r="AH35" s="1097"/>
      <c r="AI35" s="1080"/>
      <c r="AJ35" s="1074"/>
      <c r="AK35" s="1074"/>
      <c r="AL35" s="1074"/>
      <c r="AM35" s="1074"/>
      <c r="AN35" s="1074"/>
      <c r="AO35" s="1074"/>
      <c r="AP35" s="1074"/>
      <c r="AQ35" s="1074"/>
      <c r="AR35" s="1074"/>
      <c r="AS35" s="1074"/>
      <c r="AT35" s="1074"/>
      <c r="AU35" s="1074"/>
      <c r="AV35" s="1074"/>
      <c r="AW35" s="1105"/>
      <c r="AX35" s="1101"/>
      <c r="AY35" s="1093"/>
    </row>
    <row r="36" spans="2:51" s="35" customFormat="1" ht="21.75" thickBot="1" x14ac:dyDescent="0.3">
      <c r="B36" s="269"/>
      <c r="C36" s="269"/>
      <c r="D36" s="269"/>
      <c r="E36" s="269"/>
      <c r="F36" s="269"/>
      <c r="G36" s="269"/>
      <c r="H36" s="307"/>
      <c r="I36" s="269"/>
      <c r="J36" s="269"/>
      <c r="K36" s="270"/>
      <c r="L36" s="271"/>
      <c r="M36" s="268"/>
      <c r="N36" s="268"/>
      <c r="O36" s="268"/>
      <c r="P36" s="269"/>
      <c r="Q36" s="269"/>
      <c r="R36" s="269"/>
      <c r="S36" s="269"/>
      <c r="T36" s="268"/>
      <c r="U36" s="268"/>
      <c r="V36" s="268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8"/>
      <c r="AX36" s="268"/>
      <c r="AY36" s="269"/>
    </row>
    <row r="37" spans="2:51" ht="75.75" customHeight="1" x14ac:dyDescent="0.25">
      <c r="B37" s="1196" t="s">
        <v>4</v>
      </c>
      <c r="C37" s="273" t="s">
        <v>104</v>
      </c>
      <c r="D37" s="1202" t="s">
        <v>156</v>
      </c>
      <c r="E37" s="246" t="s">
        <v>180</v>
      </c>
      <c r="F37" s="267" t="s">
        <v>193</v>
      </c>
      <c r="G37" s="247" t="s">
        <v>569</v>
      </c>
      <c r="H37" s="308" t="s">
        <v>20</v>
      </c>
      <c r="I37" s="248">
        <v>4</v>
      </c>
      <c r="J37" s="249">
        <v>20</v>
      </c>
      <c r="K37" s="300">
        <f>+DEPRECIACION!J43</f>
        <v>1.2860082304526749E-2</v>
      </c>
      <c r="L37" s="292">
        <f>+I37*J37*K37</f>
        <v>1.0288065843621399</v>
      </c>
      <c r="M37" s="301">
        <f>+L37</f>
        <v>1.0288065843621399</v>
      </c>
      <c r="N37" s="1215">
        <f>+M37+M38+M45</f>
        <v>3650.1273148148148</v>
      </c>
      <c r="O37" s="1147">
        <f>+N37+N47</f>
        <v>3696.1664094650205</v>
      </c>
      <c r="P37" s="252">
        <v>1</v>
      </c>
      <c r="Q37" s="253">
        <v>20</v>
      </c>
      <c r="R37" s="254">
        <f>+'NOMINA   MENSUAL'!$Q$30</f>
        <v>115.02687002777776</v>
      </c>
      <c r="S37" s="254">
        <f>+R37*Q37</f>
        <v>2300.537400555555</v>
      </c>
      <c r="T37" s="302">
        <f>+SUM(S37)</f>
        <v>2300.537400555555</v>
      </c>
      <c r="U37" s="303">
        <f>+SUM(T37)</f>
        <v>2300.537400555555</v>
      </c>
      <c r="V37" s="1153">
        <f>+SUM(U37:U53)</f>
        <v>31057.254907499999</v>
      </c>
      <c r="W37" s="257" t="s">
        <v>138</v>
      </c>
      <c r="X37" s="258">
        <v>20</v>
      </c>
      <c r="Y37" s="258" t="s">
        <v>138</v>
      </c>
      <c r="Z37" s="258">
        <v>20</v>
      </c>
      <c r="AA37" s="258" t="s">
        <v>138</v>
      </c>
      <c r="AB37" s="258" t="s">
        <v>138</v>
      </c>
      <c r="AC37" s="258" t="s">
        <v>138</v>
      </c>
      <c r="AD37" s="258" t="s">
        <v>138</v>
      </c>
      <c r="AE37" s="258" t="s">
        <v>138</v>
      </c>
      <c r="AF37" s="258">
        <f>+Q37</f>
        <v>20</v>
      </c>
      <c r="AG37" s="258" t="s">
        <v>138</v>
      </c>
      <c r="AH37" s="258">
        <v>7</v>
      </c>
      <c r="AI37" s="258" t="s">
        <v>138</v>
      </c>
      <c r="AJ37" s="318" t="s">
        <v>138</v>
      </c>
      <c r="AK37" s="319">
        <f>+AK32</f>
        <v>13.541666666666666</v>
      </c>
      <c r="AL37" s="318" t="s">
        <v>138</v>
      </c>
      <c r="AM37" s="319">
        <f>+AM32</f>
        <v>1.7361111111111112</v>
      </c>
      <c r="AN37" s="318" t="s">
        <v>138</v>
      </c>
      <c r="AO37" s="318" t="s">
        <v>138</v>
      </c>
      <c r="AP37" s="318" t="s">
        <v>138</v>
      </c>
      <c r="AQ37" s="318" t="s">
        <v>138</v>
      </c>
      <c r="AR37" s="318" t="s">
        <v>138</v>
      </c>
      <c r="AS37" s="320">
        <f>+'GASTOS ANUALES'!I18</f>
        <v>4.0297067901234573</v>
      </c>
      <c r="AT37" s="318" t="s">
        <v>138</v>
      </c>
      <c r="AU37" s="320">
        <f>+'GASTOS ANUALES'!I48</f>
        <v>5.5372299382716061</v>
      </c>
      <c r="AV37" s="321" t="s">
        <v>138</v>
      </c>
      <c r="AW37" s="322">
        <f>+(X37*AK37)+(Z37*AM37)+(AF37*AS37)+(AH37*AU37)</f>
        <v>424.91030092592598</v>
      </c>
      <c r="AX37" s="1207">
        <f>+AW38+AW45+AW37</f>
        <v>22505.709104938276</v>
      </c>
      <c r="AY37" s="1091">
        <f>+AX37+AX47</f>
        <v>24003.989583333339</v>
      </c>
    </row>
    <row r="38" spans="2:51" ht="21" customHeight="1" x14ac:dyDescent="0.25">
      <c r="B38" s="1197"/>
      <c r="C38" s="1199" t="s">
        <v>104</v>
      </c>
      <c r="D38" s="1183"/>
      <c r="E38" s="1182" t="s">
        <v>181</v>
      </c>
      <c r="F38" s="1176" t="s">
        <v>212</v>
      </c>
      <c r="G38" s="1178" t="s">
        <v>572</v>
      </c>
      <c r="H38" s="305" t="s">
        <v>118</v>
      </c>
      <c r="I38" s="235">
        <v>1</v>
      </c>
      <c r="J38" s="235">
        <v>20</v>
      </c>
      <c r="K38" s="236">
        <f>+DEPRECIACION!J48</f>
        <v>4.5010288065843625E-2</v>
      </c>
      <c r="L38" s="237">
        <f t="shared" ref="L38:L53" si="3">+I38*J38*K38</f>
        <v>0.90020576131687247</v>
      </c>
      <c r="M38" s="1150">
        <f>+SUM(L38:L44)</f>
        <v>47.246656378600818</v>
      </c>
      <c r="N38" s="1216"/>
      <c r="O38" s="1148"/>
      <c r="P38" s="1143">
        <v>1</v>
      </c>
      <c r="Q38" s="1140">
        <v>120</v>
      </c>
      <c r="R38" s="1107">
        <f>+'NOMINA   MENSUAL'!$Q$30</f>
        <v>115.02687002777776</v>
      </c>
      <c r="S38" s="1107">
        <f>+R38*$Q$38</f>
        <v>13803.224403333332</v>
      </c>
      <c r="T38" s="1124">
        <f>+SUM(S38:S46)</f>
        <v>17254.030504166665</v>
      </c>
      <c r="U38" s="1120">
        <f>+SUM(T38)</f>
        <v>17254.030504166665</v>
      </c>
      <c r="V38" s="1154"/>
      <c r="W38" s="1094">
        <v>20</v>
      </c>
      <c r="X38" s="1077">
        <v>120</v>
      </c>
      <c r="Y38" s="1077" t="s">
        <v>138</v>
      </c>
      <c r="Z38" s="1077" t="s">
        <v>138</v>
      </c>
      <c r="AA38" s="1077" t="s">
        <v>138</v>
      </c>
      <c r="AB38" s="1077" t="s">
        <v>138</v>
      </c>
      <c r="AC38" s="1077" t="s">
        <v>138</v>
      </c>
      <c r="AD38" s="1077" t="s">
        <v>138</v>
      </c>
      <c r="AE38" s="1077" t="s">
        <v>138</v>
      </c>
      <c r="AF38" s="1077">
        <f>+Q38</f>
        <v>120</v>
      </c>
      <c r="AG38" s="1077" t="s">
        <v>138</v>
      </c>
      <c r="AH38" s="1077">
        <v>15</v>
      </c>
      <c r="AI38" s="1077" t="s">
        <v>138</v>
      </c>
      <c r="AJ38" s="1075">
        <f>+CIF!G14</f>
        <v>10.645601851851852</v>
      </c>
      <c r="AK38" s="1075">
        <f>+AK37</f>
        <v>13.541666666666666</v>
      </c>
      <c r="AL38" s="1072" t="s">
        <v>138</v>
      </c>
      <c r="AM38" s="1072" t="s">
        <v>138</v>
      </c>
      <c r="AN38" s="1072" t="s">
        <v>138</v>
      </c>
      <c r="AO38" s="1072" t="s">
        <v>138</v>
      </c>
      <c r="AP38" s="1072" t="s">
        <v>138</v>
      </c>
      <c r="AQ38" s="1072" t="s">
        <v>138</v>
      </c>
      <c r="AR38" s="1072" t="s">
        <v>138</v>
      </c>
      <c r="AS38" s="1075">
        <f>+AS37</f>
        <v>4.0297067901234573</v>
      </c>
      <c r="AT38" s="1072" t="s">
        <v>138</v>
      </c>
      <c r="AU38" s="1075">
        <f>+AU37</f>
        <v>5.5372299382716061</v>
      </c>
      <c r="AV38" s="1072" t="str">
        <f>+AV37</f>
        <v>N/A</v>
      </c>
      <c r="AW38" s="1133">
        <f>+(W38*AJ38)+(X38*AK38)+(AF38*AS38)+(AH38*AU38)</f>
        <v>2404.5353009259256</v>
      </c>
      <c r="AX38" s="1134"/>
      <c r="AY38" s="1092"/>
    </row>
    <row r="39" spans="2:51" ht="42" x14ac:dyDescent="0.25">
      <c r="B39" s="1197"/>
      <c r="C39" s="1199"/>
      <c r="D39" s="1183"/>
      <c r="E39" s="1183"/>
      <c r="F39" s="1176"/>
      <c r="G39" s="1178"/>
      <c r="H39" s="305" t="s">
        <v>123</v>
      </c>
      <c r="I39" s="235">
        <v>2</v>
      </c>
      <c r="J39" s="235">
        <v>35</v>
      </c>
      <c r="K39" s="236">
        <f>+DEPRECIACION!J46</f>
        <v>4.8225308641975308E-2</v>
      </c>
      <c r="L39" s="237">
        <f t="shared" si="3"/>
        <v>3.3757716049382713</v>
      </c>
      <c r="M39" s="1151"/>
      <c r="N39" s="1216"/>
      <c r="O39" s="1148"/>
      <c r="P39" s="1144"/>
      <c r="Q39" s="1141"/>
      <c r="R39" s="1108"/>
      <c r="S39" s="1108"/>
      <c r="T39" s="1124"/>
      <c r="U39" s="1122"/>
      <c r="V39" s="1154"/>
      <c r="W39" s="1095"/>
      <c r="X39" s="1078"/>
      <c r="Y39" s="1078"/>
      <c r="Z39" s="1078"/>
      <c r="AA39" s="1078"/>
      <c r="AB39" s="1078"/>
      <c r="AC39" s="1078"/>
      <c r="AD39" s="1078"/>
      <c r="AE39" s="1078"/>
      <c r="AF39" s="1078"/>
      <c r="AG39" s="1078"/>
      <c r="AH39" s="1078"/>
      <c r="AI39" s="1078"/>
      <c r="AJ39" s="1073"/>
      <c r="AK39" s="1073"/>
      <c r="AL39" s="1073"/>
      <c r="AM39" s="1073"/>
      <c r="AN39" s="1073"/>
      <c r="AO39" s="1073"/>
      <c r="AP39" s="1073"/>
      <c r="AQ39" s="1073"/>
      <c r="AR39" s="1073"/>
      <c r="AS39" s="1073"/>
      <c r="AT39" s="1073"/>
      <c r="AU39" s="1073"/>
      <c r="AV39" s="1073"/>
      <c r="AW39" s="1134"/>
      <c r="AX39" s="1134"/>
      <c r="AY39" s="1092"/>
    </row>
    <row r="40" spans="2:51" ht="21" customHeight="1" x14ac:dyDescent="0.25">
      <c r="B40" s="1197"/>
      <c r="C40" s="1199"/>
      <c r="D40" s="1183"/>
      <c r="E40" s="1183"/>
      <c r="F40" s="1176"/>
      <c r="G40" s="1178"/>
      <c r="H40" s="305" t="s">
        <v>119</v>
      </c>
      <c r="I40" s="235">
        <v>3</v>
      </c>
      <c r="J40" s="235">
        <v>35</v>
      </c>
      <c r="K40" s="236">
        <f>+DEPRECIACION!J45</f>
        <v>3.1893004115226338E-2</v>
      </c>
      <c r="L40" s="237">
        <f t="shared" si="3"/>
        <v>3.3487654320987654</v>
      </c>
      <c r="M40" s="1151"/>
      <c r="N40" s="1216"/>
      <c r="O40" s="1148"/>
      <c r="P40" s="1144"/>
      <c r="Q40" s="1141"/>
      <c r="R40" s="1108"/>
      <c r="S40" s="1108"/>
      <c r="T40" s="1124"/>
      <c r="U40" s="1122"/>
      <c r="V40" s="1154"/>
      <c r="W40" s="1095"/>
      <c r="X40" s="1078"/>
      <c r="Y40" s="1078"/>
      <c r="Z40" s="1078"/>
      <c r="AA40" s="1078"/>
      <c r="AB40" s="1078"/>
      <c r="AC40" s="1078"/>
      <c r="AD40" s="1078"/>
      <c r="AE40" s="1078"/>
      <c r="AF40" s="1078"/>
      <c r="AG40" s="1078"/>
      <c r="AH40" s="1078"/>
      <c r="AI40" s="1078"/>
      <c r="AJ40" s="1073"/>
      <c r="AK40" s="1073"/>
      <c r="AL40" s="1073"/>
      <c r="AM40" s="1073"/>
      <c r="AN40" s="1073"/>
      <c r="AO40" s="1073"/>
      <c r="AP40" s="1073"/>
      <c r="AQ40" s="1073"/>
      <c r="AR40" s="1073"/>
      <c r="AS40" s="1073"/>
      <c r="AT40" s="1073"/>
      <c r="AU40" s="1073"/>
      <c r="AV40" s="1073"/>
      <c r="AW40" s="1134"/>
      <c r="AX40" s="1134"/>
      <c r="AY40" s="1092"/>
    </row>
    <row r="41" spans="2:51" ht="42" x14ac:dyDescent="0.25">
      <c r="B41" s="1197"/>
      <c r="C41" s="1199"/>
      <c r="D41" s="1183"/>
      <c r="E41" s="1183"/>
      <c r="F41" s="1176"/>
      <c r="G41" s="1178"/>
      <c r="H41" s="305" t="s">
        <v>120</v>
      </c>
      <c r="I41" s="235">
        <v>1</v>
      </c>
      <c r="J41" s="235">
        <v>90</v>
      </c>
      <c r="K41" s="236">
        <f>+DEPRECIACION!J23</f>
        <v>0.13503086419753085</v>
      </c>
      <c r="L41" s="237">
        <f t="shared" si="3"/>
        <v>12.152777777777777</v>
      </c>
      <c r="M41" s="1151"/>
      <c r="N41" s="1216"/>
      <c r="O41" s="1148"/>
      <c r="P41" s="1144"/>
      <c r="Q41" s="1141"/>
      <c r="R41" s="1108"/>
      <c r="S41" s="1108"/>
      <c r="T41" s="1124"/>
      <c r="U41" s="1122"/>
      <c r="V41" s="1154"/>
      <c r="W41" s="1095"/>
      <c r="X41" s="1078"/>
      <c r="Y41" s="1078"/>
      <c r="Z41" s="1078"/>
      <c r="AA41" s="1078"/>
      <c r="AB41" s="1078"/>
      <c r="AC41" s="1078"/>
      <c r="AD41" s="1078"/>
      <c r="AE41" s="1078"/>
      <c r="AF41" s="1078"/>
      <c r="AG41" s="1078"/>
      <c r="AH41" s="1078"/>
      <c r="AI41" s="1078"/>
      <c r="AJ41" s="1073"/>
      <c r="AK41" s="1073"/>
      <c r="AL41" s="1073"/>
      <c r="AM41" s="1073"/>
      <c r="AN41" s="1073"/>
      <c r="AO41" s="1073"/>
      <c r="AP41" s="1073"/>
      <c r="AQ41" s="1073"/>
      <c r="AR41" s="1073"/>
      <c r="AS41" s="1073"/>
      <c r="AT41" s="1073"/>
      <c r="AU41" s="1073"/>
      <c r="AV41" s="1073"/>
      <c r="AW41" s="1134"/>
      <c r="AX41" s="1134"/>
      <c r="AY41" s="1092"/>
    </row>
    <row r="42" spans="2:51" ht="42" x14ac:dyDescent="0.25">
      <c r="B42" s="1197"/>
      <c r="C42" s="1199"/>
      <c r="D42" s="1183"/>
      <c r="E42" s="1183"/>
      <c r="F42" s="1176"/>
      <c r="G42" s="1178"/>
      <c r="H42" s="305" t="s">
        <v>113</v>
      </c>
      <c r="I42" s="235">
        <v>1</v>
      </c>
      <c r="J42" s="235">
        <v>70</v>
      </c>
      <c r="K42" s="236">
        <f>+DEPRECIACION!J25</f>
        <v>0.1253858024691358</v>
      </c>
      <c r="L42" s="237">
        <f t="shared" si="3"/>
        <v>8.7770061728395063</v>
      </c>
      <c r="M42" s="1151"/>
      <c r="N42" s="1216"/>
      <c r="O42" s="1148"/>
      <c r="P42" s="1144"/>
      <c r="Q42" s="1141"/>
      <c r="R42" s="1108"/>
      <c r="S42" s="1108"/>
      <c r="T42" s="1124"/>
      <c r="U42" s="1122"/>
      <c r="V42" s="1154"/>
      <c r="W42" s="1095"/>
      <c r="X42" s="1078"/>
      <c r="Y42" s="1078"/>
      <c r="Z42" s="1078"/>
      <c r="AA42" s="1078"/>
      <c r="AB42" s="1078"/>
      <c r="AC42" s="1078"/>
      <c r="AD42" s="1078"/>
      <c r="AE42" s="1078"/>
      <c r="AF42" s="1078"/>
      <c r="AG42" s="1078"/>
      <c r="AH42" s="1078"/>
      <c r="AI42" s="1078"/>
      <c r="AJ42" s="1073"/>
      <c r="AK42" s="1073"/>
      <c r="AL42" s="1073"/>
      <c r="AM42" s="1073"/>
      <c r="AN42" s="1073"/>
      <c r="AO42" s="1073"/>
      <c r="AP42" s="1073"/>
      <c r="AQ42" s="1073"/>
      <c r="AR42" s="1073"/>
      <c r="AS42" s="1073"/>
      <c r="AT42" s="1073"/>
      <c r="AU42" s="1073"/>
      <c r="AV42" s="1073"/>
      <c r="AW42" s="1134"/>
      <c r="AX42" s="1134"/>
      <c r="AY42" s="1092"/>
    </row>
    <row r="43" spans="2:51" ht="21" x14ac:dyDescent="0.25">
      <c r="B43" s="1197"/>
      <c r="C43" s="1199"/>
      <c r="D43" s="1183"/>
      <c r="E43" s="1183"/>
      <c r="F43" s="1176"/>
      <c r="G43" s="1178"/>
      <c r="H43" s="305" t="s">
        <v>125</v>
      </c>
      <c r="I43" s="235">
        <v>1</v>
      </c>
      <c r="J43" s="235">
        <v>90</v>
      </c>
      <c r="K43" s="236">
        <f>+DEPRECIACION!J49</f>
        <v>9.8379629629629636E-2</v>
      </c>
      <c r="L43" s="237">
        <f t="shared" si="3"/>
        <v>8.8541666666666679</v>
      </c>
      <c r="M43" s="1151"/>
      <c r="N43" s="1216"/>
      <c r="O43" s="1148"/>
      <c r="P43" s="1144"/>
      <c r="Q43" s="1141"/>
      <c r="R43" s="1108"/>
      <c r="S43" s="1108"/>
      <c r="T43" s="1124"/>
      <c r="U43" s="1122"/>
      <c r="V43" s="1154"/>
      <c r="W43" s="1095"/>
      <c r="X43" s="1078"/>
      <c r="Y43" s="1078"/>
      <c r="Z43" s="1078"/>
      <c r="AA43" s="1078"/>
      <c r="AB43" s="1078"/>
      <c r="AC43" s="1078"/>
      <c r="AD43" s="1078"/>
      <c r="AE43" s="1078"/>
      <c r="AF43" s="1078"/>
      <c r="AG43" s="1078"/>
      <c r="AH43" s="1078"/>
      <c r="AI43" s="1078"/>
      <c r="AJ43" s="1073"/>
      <c r="AK43" s="1073"/>
      <c r="AL43" s="1073"/>
      <c r="AM43" s="1073"/>
      <c r="AN43" s="1073"/>
      <c r="AO43" s="1073"/>
      <c r="AP43" s="1073"/>
      <c r="AQ43" s="1073"/>
      <c r="AR43" s="1073"/>
      <c r="AS43" s="1073"/>
      <c r="AT43" s="1073"/>
      <c r="AU43" s="1073"/>
      <c r="AV43" s="1073"/>
      <c r="AW43" s="1134"/>
      <c r="AX43" s="1134"/>
      <c r="AY43" s="1092"/>
    </row>
    <row r="44" spans="2:51" ht="42" x14ac:dyDescent="0.25">
      <c r="B44" s="1197"/>
      <c r="C44" s="1199"/>
      <c r="D44" s="1183"/>
      <c r="E44" s="1184"/>
      <c r="F44" s="1176"/>
      <c r="G44" s="1178"/>
      <c r="H44" s="305" t="s">
        <v>121</v>
      </c>
      <c r="I44" s="235">
        <v>1</v>
      </c>
      <c r="J44" s="235">
        <v>90</v>
      </c>
      <c r="K44" s="236">
        <f>+DEPRECIACION!J42</f>
        <v>0.10931069958847736</v>
      </c>
      <c r="L44" s="237">
        <f t="shared" si="3"/>
        <v>9.8379629629629619</v>
      </c>
      <c r="M44" s="1152"/>
      <c r="N44" s="1216"/>
      <c r="O44" s="1148"/>
      <c r="P44" s="1146"/>
      <c r="Q44" s="1175"/>
      <c r="R44" s="1109"/>
      <c r="S44" s="1109"/>
      <c r="T44" s="1124"/>
      <c r="U44" s="1121"/>
      <c r="V44" s="1154"/>
      <c r="W44" s="1096"/>
      <c r="X44" s="1079"/>
      <c r="Y44" s="1079"/>
      <c r="Z44" s="1079"/>
      <c r="AA44" s="1079"/>
      <c r="AB44" s="1079"/>
      <c r="AC44" s="1079"/>
      <c r="AD44" s="1079"/>
      <c r="AE44" s="1079"/>
      <c r="AF44" s="1079"/>
      <c r="AG44" s="1079"/>
      <c r="AH44" s="1079"/>
      <c r="AI44" s="1079"/>
      <c r="AJ44" s="1076"/>
      <c r="AK44" s="1076"/>
      <c r="AL44" s="1076"/>
      <c r="AM44" s="1076"/>
      <c r="AN44" s="1076"/>
      <c r="AO44" s="1076"/>
      <c r="AP44" s="1076"/>
      <c r="AQ44" s="1076"/>
      <c r="AR44" s="1076"/>
      <c r="AS44" s="1076"/>
      <c r="AT44" s="1076"/>
      <c r="AU44" s="1076"/>
      <c r="AV44" s="1076"/>
      <c r="AW44" s="1135"/>
      <c r="AX44" s="1134"/>
      <c r="AY44" s="1092"/>
    </row>
    <row r="45" spans="2:51" ht="42" x14ac:dyDescent="0.25">
      <c r="B45" s="1197"/>
      <c r="C45" s="1199" t="s">
        <v>104</v>
      </c>
      <c r="D45" s="1183"/>
      <c r="E45" s="1172" t="s">
        <v>182</v>
      </c>
      <c r="F45" s="1176" t="s">
        <v>7</v>
      </c>
      <c r="G45" s="1178" t="s">
        <v>573</v>
      </c>
      <c r="H45" s="305" t="s">
        <v>20</v>
      </c>
      <c r="I45" s="235">
        <v>10</v>
      </c>
      <c r="J45" s="235">
        <v>1440</v>
      </c>
      <c r="K45" s="236">
        <f>+DEPRECIACION!J43</f>
        <v>1.2860082304526749E-2</v>
      </c>
      <c r="L45" s="237">
        <f t="shared" si="3"/>
        <v>185.18518518518519</v>
      </c>
      <c r="M45" s="1203">
        <f>+SUM(L45:L46)</f>
        <v>3601.8518518518517</v>
      </c>
      <c r="N45" s="1216"/>
      <c r="O45" s="1148"/>
      <c r="P45" s="1143">
        <v>1</v>
      </c>
      <c r="Q45" s="1164">
        <v>30</v>
      </c>
      <c r="R45" s="1107">
        <f>+'NOMINA   MENSUAL'!$Q$30</f>
        <v>115.02687002777776</v>
      </c>
      <c r="S45" s="1107">
        <f>+R45*$Q$45</f>
        <v>3450.8061008333329</v>
      </c>
      <c r="T45" s="1125">
        <f>+S45</f>
        <v>3450.8061008333329</v>
      </c>
      <c r="U45" s="1120">
        <f>+SUM(T45)</f>
        <v>3450.8061008333329</v>
      </c>
      <c r="V45" s="1154"/>
      <c r="W45" s="1094" t="s">
        <v>138</v>
      </c>
      <c r="X45" s="1077">
        <v>1440</v>
      </c>
      <c r="Y45" s="1077" t="s">
        <v>138</v>
      </c>
      <c r="Z45" s="1077" t="s">
        <v>138</v>
      </c>
      <c r="AA45" s="1077" t="s">
        <v>138</v>
      </c>
      <c r="AB45" s="1077" t="s">
        <v>138</v>
      </c>
      <c r="AC45" s="1077" t="s">
        <v>138</v>
      </c>
      <c r="AD45" s="1077" t="s">
        <v>138</v>
      </c>
      <c r="AE45" s="1077" t="s">
        <v>138</v>
      </c>
      <c r="AF45" s="1077">
        <f>+Q45</f>
        <v>30</v>
      </c>
      <c r="AG45" s="1077" t="s">
        <v>138</v>
      </c>
      <c r="AH45" s="1077">
        <v>10</v>
      </c>
      <c r="AI45" s="1077" t="s">
        <v>138</v>
      </c>
      <c r="AJ45" s="1072" t="s">
        <v>138</v>
      </c>
      <c r="AK45" s="1075">
        <f>+AK37</f>
        <v>13.541666666666666</v>
      </c>
      <c r="AL45" s="1072" t="s">
        <v>138</v>
      </c>
      <c r="AM45" s="1072" t="s">
        <v>138</v>
      </c>
      <c r="AN45" s="1072" t="s">
        <v>138</v>
      </c>
      <c r="AO45" s="1072" t="s">
        <v>138</v>
      </c>
      <c r="AP45" s="1072" t="s">
        <v>138</v>
      </c>
      <c r="AQ45" s="1072" t="s">
        <v>138</v>
      </c>
      <c r="AR45" s="1072" t="s">
        <v>138</v>
      </c>
      <c r="AS45" s="1075">
        <f>+AS37</f>
        <v>4.0297067901234573</v>
      </c>
      <c r="AT45" s="1072" t="s">
        <v>138</v>
      </c>
      <c r="AU45" s="1075">
        <f>+AU37</f>
        <v>5.5372299382716061</v>
      </c>
      <c r="AV45" s="1072" t="s">
        <v>138</v>
      </c>
      <c r="AW45" s="1219">
        <f>+(X45*AK45)+(AF45*AS45)+(AH45*AU45)</f>
        <v>19676.263503086422</v>
      </c>
      <c r="AX45" s="1134"/>
      <c r="AY45" s="1092"/>
    </row>
    <row r="46" spans="2:51" ht="21" x14ac:dyDescent="0.25">
      <c r="B46" s="1197"/>
      <c r="C46" s="1199"/>
      <c r="D46" s="1184"/>
      <c r="E46" s="1174"/>
      <c r="F46" s="1176"/>
      <c r="G46" s="1178"/>
      <c r="H46" s="305" t="s">
        <v>106</v>
      </c>
      <c r="I46" s="235">
        <v>1</v>
      </c>
      <c r="J46" s="235">
        <v>1440</v>
      </c>
      <c r="K46" s="236">
        <f>+DEPRECIACION!J18</f>
        <v>2.3726851851851851</v>
      </c>
      <c r="L46" s="237">
        <f t="shared" si="3"/>
        <v>3416.6666666666665</v>
      </c>
      <c r="M46" s="1218"/>
      <c r="N46" s="1217"/>
      <c r="O46" s="1148"/>
      <c r="P46" s="1146"/>
      <c r="Q46" s="1165"/>
      <c r="R46" s="1109"/>
      <c r="S46" s="1109"/>
      <c r="T46" s="1126"/>
      <c r="U46" s="1121"/>
      <c r="V46" s="1154"/>
      <c r="W46" s="1096"/>
      <c r="X46" s="1079"/>
      <c r="Y46" s="1079"/>
      <c r="Z46" s="1079"/>
      <c r="AA46" s="1079"/>
      <c r="AB46" s="1079"/>
      <c r="AC46" s="1079"/>
      <c r="AD46" s="1079"/>
      <c r="AE46" s="1079"/>
      <c r="AF46" s="1079"/>
      <c r="AG46" s="1079"/>
      <c r="AH46" s="1079"/>
      <c r="AI46" s="1079"/>
      <c r="AJ46" s="1076"/>
      <c r="AK46" s="1076"/>
      <c r="AL46" s="1076"/>
      <c r="AM46" s="1076"/>
      <c r="AN46" s="1076"/>
      <c r="AO46" s="1076"/>
      <c r="AP46" s="1076"/>
      <c r="AQ46" s="1076"/>
      <c r="AR46" s="1076"/>
      <c r="AS46" s="1076"/>
      <c r="AT46" s="1076"/>
      <c r="AU46" s="1076"/>
      <c r="AV46" s="1076"/>
      <c r="AW46" s="1103"/>
      <c r="AX46" s="1135"/>
      <c r="AY46" s="1092"/>
    </row>
    <row r="47" spans="2:51" ht="21" x14ac:dyDescent="0.25">
      <c r="B47" s="1197"/>
      <c r="C47" s="1172" t="s">
        <v>104</v>
      </c>
      <c r="D47" s="1182" t="s">
        <v>157</v>
      </c>
      <c r="E47" s="1172" t="s">
        <v>183</v>
      </c>
      <c r="F47" s="1176" t="s">
        <v>126</v>
      </c>
      <c r="G47" s="1178" t="s">
        <v>574</v>
      </c>
      <c r="H47" s="305" t="s">
        <v>125</v>
      </c>
      <c r="I47" s="235">
        <v>1</v>
      </c>
      <c r="J47" s="235">
        <v>40</v>
      </c>
      <c r="K47" s="236">
        <f>+DEPRECIACION!J49</f>
        <v>9.8379629629629636E-2</v>
      </c>
      <c r="L47" s="237">
        <f t="shared" si="3"/>
        <v>3.9351851851851856</v>
      </c>
      <c r="M47" s="1203">
        <f>+SUM(L47:L53)</f>
        <v>46.039094650205762</v>
      </c>
      <c r="N47" s="1136">
        <f>+M47</f>
        <v>46.039094650205762</v>
      </c>
      <c r="O47" s="1148"/>
      <c r="P47" s="1143">
        <v>1</v>
      </c>
      <c r="Q47" s="1140">
        <v>70</v>
      </c>
      <c r="R47" s="1107">
        <f>+'NOMINA   MENSUAL'!$Q$30</f>
        <v>115.02687002777776</v>
      </c>
      <c r="S47" s="1107">
        <f>+R47*$Q$47</f>
        <v>8051.8809019444434</v>
      </c>
      <c r="T47" s="1125">
        <f>+SUM(S47:S53)</f>
        <v>8051.8809019444434</v>
      </c>
      <c r="U47" s="1120">
        <f>+SUM(T47)</f>
        <v>8051.8809019444434</v>
      </c>
      <c r="V47" s="1154"/>
      <c r="W47" s="1094">
        <v>20</v>
      </c>
      <c r="X47" s="1077">
        <v>70</v>
      </c>
      <c r="Y47" s="1077" t="s">
        <v>138</v>
      </c>
      <c r="Z47" s="1077" t="s">
        <v>138</v>
      </c>
      <c r="AA47" s="1077" t="s">
        <v>138</v>
      </c>
      <c r="AB47" s="1077" t="s">
        <v>138</v>
      </c>
      <c r="AC47" s="1077" t="s">
        <v>138</v>
      </c>
      <c r="AD47" s="1077" t="s">
        <v>138</v>
      </c>
      <c r="AE47" s="1077" t="s">
        <v>138</v>
      </c>
      <c r="AF47" s="1077">
        <f>+Q47</f>
        <v>70</v>
      </c>
      <c r="AG47" s="1077" t="s">
        <v>138</v>
      </c>
      <c r="AH47" s="1077">
        <v>10</v>
      </c>
      <c r="AI47" s="1077" t="s">
        <v>138</v>
      </c>
      <c r="AJ47" s="1075">
        <f>+AJ38</f>
        <v>10.645601851851852</v>
      </c>
      <c r="AK47" s="1075">
        <f>+AK37</f>
        <v>13.541666666666666</v>
      </c>
      <c r="AL47" s="1072" t="s">
        <v>138</v>
      </c>
      <c r="AM47" s="1072" t="s">
        <v>138</v>
      </c>
      <c r="AN47" s="1072" t="s">
        <v>138</v>
      </c>
      <c r="AO47" s="1072" t="s">
        <v>138</v>
      </c>
      <c r="AP47" s="1072" t="s">
        <v>138</v>
      </c>
      <c r="AQ47" s="1072" t="s">
        <v>138</v>
      </c>
      <c r="AR47" s="1072" t="s">
        <v>138</v>
      </c>
      <c r="AS47" s="1075">
        <f>+AS37</f>
        <v>4.0297067901234573</v>
      </c>
      <c r="AT47" s="1072" t="s">
        <v>138</v>
      </c>
      <c r="AU47" s="1075">
        <f>+AU37</f>
        <v>5.5372299382716061</v>
      </c>
      <c r="AV47" s="1072" t="s">
        <v>138</v>
      </c>
      <c r="AW47" s="1102">
        <f>+(W47*AJ47)+(X47*AK47)+(AF47*AS47)+(AH47*AU47)</f>
        <v>1498.2804783950619</v>
      </c>
      <c r="AX47" s="1099">
        <f>+SUM(AW47)</f>
        <v>1498.2804783950619</v>
      </c>
      <c r="AY47" s="1092"/>
    </row>
    <row r="48" spans="2:51" ht="42" x14ac:dyDescent="0.25">
      <c r="B48" s="1197"/>
      <c r="C48" s="1173"/>
      <c r="D48" s="1183"/>
      <c r="E48" s="1173"/>
      <c r="F48" s="1176"/>
      <c r="G48" s="1178"/>
      <c r="H48" s="305" t="s">
        <v>107</v>
      </c>
      <c r="I48" s="235">
        <v>1</v>
      </c>
      <c r="J48" s="235">
        <v>40</v>
      </c>
      <c r="K48" s="236">
        <f>+DEPRECIACION!J23</f>
        <v>0.13503086419753085</v>
      </c>
      <c r="L48" s="237">
        <f t="shared" si="3"/>
        <v>5.4012345679012341</v>
      </c>
      <c r="M48" s="1204"/>
      <c r="N48" s="1118"/>
      <c r="O48" s="1148"/>
      <c r="P48" s="1144"/>
      <c r="Q48" s="1141"/>
      <c r="R48" s="1108"/>
      <c r="S48" s="1108"/>
      <c r="T48" s="1185"/>
      <c r="U48" s="1122"/>
      <c r="V48" s="1154"/>
      <c r="W48" s="1095"/>
      <c r="X48" s="1078"/>
      <c r="Y48" s="1078"/>
      <c r="Z48" s="1078"/>
      <c r="AA48" s="1078"/>
      <c r="AB48" s="1078"/>
      <c r="AC48" s="1078"/>
      <c r="AD48" s="1078"/>
      <c r="AE48" s="1078"/>
      <c r="AF48" s="1078"/>
      <c r="AG48" s="1078"/>
      <c r="AH48" s="1078"/>
      <c r="AI48" s="1078"/>
      <c r="AJ48" s="1073"/>
      <c r="AK48" s="1073"/>
      <c r="AL48" s="1073"/>
      <c r="AM48" s="1073"/>
      <c r="AN48" s="1073"/>
      <c r="AO48" s="1073"/>
      <c r="AP48" s="1073"/>
      <c r="AQ48" s="1073"/>
      <c r="AR48" s="1073"/>
      <c r="AS48" s="1073"/>
      <c r="AT48" s="1073"/>
      <c r="AU48" s="1073"/>
      <c r="AV48" s="1073"/>
      <c r="AW48" s="1103"/>
      <c r="AX48" s="1100"/>
      <c r="AY48" s="1092"/>
    </row>
    <row r="49" spans="2:51" ht="21" x14ac:dyDescent="0.25">
      <c r="B49" s="1197"/>
      <c r="C49" s="1173"/>
      <c r="D49" s="1183"/>
      <c r="E49" s="1173"/>
      <c r="F49" s="1176"/>
      <c r="G49" s="1178"/>
      <c r="H49" s="305" t="s">
        <v>14</v>
      </c>
      <c r="I49" s="235">
        <v>1</v>
      </c>
      <c r="J49" s="235">
        <v>10</v>
      </c>
      <c r="K49" s="236">
        <f>+DEPRECIACION!J19</f>
        <v>1.1574074074074074</v>
      </c>
      <c r="L49" s="237">
        <f t="shared" si="3"/>
        <v>11.574074074074074</v>
      </c>
      <c r="M49" s="1204"/>
      <c r="N49" s="1118"/>
      <c r="O49" s="1148"/>
      <c r="P49" s="1144"/>
      <c r="Q49" s="1141"/>
      <c r="R49" s="1108"/>
      <c r="S49" s="1108"/>
      <c r="T49" s="1185"/>
      <c r="U49" s="1122"/>
      <c r="V49" s="1154"/>
      <c r="W49" s="1095"/>
      <c r="X49" s="1078"/>
      <c r="Y49" s="1078"/>
      <c r="Z49" s="1078"/>
      <c r="AA49" s="1078"/>
      <c r="AB49" s="1078"/>
      <c r="AC49" s="1078"/>
      <c r="AD49" s="1078"/>
      <c r="AE49" s="1078"/>
      <c r="AF49" s="1078"/>
      <c r="AG49" s="1078"/>
      <c r="AH49" s="1078"/>
      <c r="AI49" s="1078"/>
      <c r="AJ49" s="1073"/>
      <c r="AK49" s="1073"/>
      <c r="AL49" s="1073"/>
      <c r="AM49" s="1073"/>
      <c r="AN49" s="1073"/>
      <c r="AO49" s="1073"/>
      <c r="AP49" s="1073"/>
      <c r="AQ49" s="1073"/>
      <c r="AR49" s="1073"/>
      <c r="AS49" s="1073"/>
      <c r="AT49" s="1073"/>
      <c r="AU49" s="1073"/>
      <c r="AV49" s="1073"/>
      <c r="AW49" s="1103"/>
      <c r="AX49" s="1100"/>
      <c r="AY49" s="1092"/>
    </row>
    <row r="50" spans="2:51" ht="21" x14ac:dyDescent="0.25">
      <c r="B50" s="1197"/>
      <c r="C50" s="1173"/>
      <c r="D50" s="1183"/>
      <c r="E50" s="1173"/>
      <c r="F50" s="1176"/>
      <c r="G50" s="1178"/>
      <c r="H50" s="305" t="s">
        <v>108</v>
      </c>
      <c r="I50" s="235">
        <v>1</v>
      </c>
      <c r="J50" s="235">
        <v>10</v>
      </c>
      <c r="K50" s="236">
        <f>+DEPRECIACION!J20</f>
        <v>0.81018518518518523</v>
      </c>
      <c r="L50" s="237">
        <f t="shared" si="3"/>
        <v>8.101851851851853</v>
      </c>
      <c r="M50" s="1204"/>
      <c r="N50" s="1118"/>
      <c r="O50" s="1148"/>
      <c r="P50" s="1144"/>
      <c r="Q50" s="1141"/>
      <c r="R50" s="1108"/>
      <c r="S50" s="1108"/>
      <c r="T50" s="1185"/>
      <c r="U50" s="1122"/>
      <c r="V50" s="1154"/>
      <c r="W50" s="1095"/>
      <c r="X50" s="1078"/>
      <c r="Y50" s="1078"/>
      <c r="Z50" s="1078"/>
      <c r="AA50" s="1078"/>
      <c r="AB50" s="1078"/>
      <c r="AC50" s="1078"/>
      <c r="AD50" s="1078"/>
      <c r="AE50" s="1078"/>
      <c r="AF50" s="1078"/>
      <c r="AG50" s="1078"/>
      <c r="AH50" s="1078"/>
      <c r="AI50" s="1078"/>
      <c r="AJ50" s="1073"/>
      <c r="AK50" s="1073"/>
      <c r="AL50" s="1073"/>
      <c r="AM50" s="1073"/>
      <c r="AN50" s="1073"/>
      <c r="AO50" s="1073"/>
      <c r="AP50" s="1073"/>
      <c r="AQ50" s="1073"/>
      <c r="AR50" s="1073"/>
      <c r="AS50" s="1073"/>
      <c r="AT50" s="1073"/>
      <c r="AU50" s="1073"/>
      <c r="AV50" s="1073"/>
      <c r="AW50" s="1103"/>
      <c r="AX50" s="1100"/>
      <c r="AY50" s="1092"/>
    </row>
    <row r="51" spans="2:51" ht="42" x14ac:dyDescent="0.25">
      <c r="B51" s="1197"/>
      <c r="C51" s="1173"/>
      <c r="D51" s="1183"/>
      <c r="E51" s="1173"/>
      <c r="F51" s="1176"/>
      <c r="G51" s="1178"/>
      <c r="H51" s="305" t="s">
        <v>124</v>
      </c>
      <c r="I51" s="235">
        <v>2</v>
      </c>
      <c r="J51" s="235">
        <v>20</v>
      </c>
      <c r="K51" s="236">
        <f>+DEPRECIACION!J47</f>
        <v>2.0576131687242798E-2</v>
      </c>
      <c r="L51" s="237">
        <f t="shared" si="3"/>
        <v>0.82304526748971196</v>
      </c>
      <c r="M51" s="1204"/>
      <c r="N51" s="1118"/>
      <c r="O51" s="1148"/>
      <c r="P51" s="1144"/>
      <c r="Q51" s="1141"/>
      <c r="R51" s="1108"/>
      <c r="S51" s="1108"/>
      <c r="T51" s="1185"/>
      <c r="U51" s="1122"/>
      <c r="V51" s="1154"/>
      <c r="W51" s="1095"/>
      <c r="X51" s="1078"/>
      <c r="Y51" s="1078"/>
      <c r="Z51" s="1078"/>
      <c r="AA51" s="1078"/>
      <c r="AB51" s="1078"/>
      <c r="AC51" s="1078"/>
      <c r="AD51" s="1078"/>
      <c r="AE51" s="1078"/>
      <c r="AF51" s="1078"/>
      <c r="AG51" s="1078"/>
      <c r="AH51" s="1078"/>
      <c r="AI51" s="1078"/>
      <c r="AJ51" s="1073"/>
      <c r="AK51" s="1073"/>
      <c r="AL51" s="1073"/>
      <c r="AM51" s="1073"/>
      <c r="AN51" s="1073"/>
      <c r="AO51" s="1073"/>
      <c r="AP51" s="1073"/>
      <c r="AQ51" s="1073"/>
      <c r="AR51" s="1073"/>
      <c r="AS51" s="1073"/>
      <c r="AT51" s="1073"/>
      <c r="AU51" s="1073"/>
      <c r="AV51" s="1073"/>
      <c r="AW51" s="1103"/>
      <c r="AX51" s="1100"/>
      <c r="AY51" s="1092"/>
    </row>
    <row r="52" spans="2:51" ht="42" x14ac:dyDescent="0.25">
      <c r="B52" s="1197"/>
      <c r="C52" s="1173"/>
      <c r="D52" s="1183"/>
      <c r="E52" s="1173"/>
      <c r="F52" s="1176"/>
      <c r="G52" s="1178"/>
      <c r="H52" s="305" t="s">
        <v>109</v>
      </c>
      <c r="I52" s="235">
        <v>1</v>
      </c>
      <c r="J52" s="235">
        <v>40</v>
      </c>
      <c r="K52" s="236">
        <f>+DEPRECIACION!J44</f>
        <v>8.3590534979423869E-2</v>
      </c>
      <c r="L52" s="237">
        <f t="shared" si="3"/>
        <v>3.3436213991769548</v>
      </c>
      <c r="M52" s="1204"/>
      <c r="N52" s="1118"/>
      <c r="O52" s="1148"/>
      <c r="P52" s="1144"/>
      <c r="Q52" s="1141"/>
      <c r="R52" s="1108"/>
      <c r="S52" s="1108"/>
      <c r="T52" s="1185"/>
      <c r="U52" s="1122"/>
      <c r="V52" s="1154"/>
      <c r="W52" s="1095"/>
      <c r="X52" s="1078"/>
      <c r="Y52" s="1078"/>
      <c r="Z52" s="1078"/>
      <c r="AA52" s="1078"/>
      <c r="AB52" s="1078"/>
      <c r="AC52" s="1078"/>
      <c r="AD52" s="1078"/>
      <c r="AE52" s="1078"/>
      <c r="AF52" s="1078"/>
      <c r="AG52" s="1078"/>
      <c r="AH52" s="1078"/>
      <c r="AI52" s="1078"/>
      <c r="AJ52" s="1073"/>
      <c r="AK52" s="1073"/>
      <c r="AL52" s="1073"/>
      <c r="AM52" s="1073"/>
      <c r="AN52" s="1073"/>
      <c r="AO52" s="1073"/>
      <c r="AP52" s="1073"/>
      <c r="AQ52" s="1073"/>
      <c r="AR52" s="1073"/>
      <c r="AS52" s="1073"/>
      <c r="AT52" s="1073"/>
      <c r="AU52" s="1073"/>
      <c r="AV52" s="1073"/>
      <c r="AW52" s="1103"/>
      <c r="AX52" s="1100"/>
      <c r="AY52" s="1092"/>
    </row>
    <row r="53" spans="2:51" ht="21.75" thickBot="1" x14ac:dyDescent="0.3">
      <c r="B53" s="1198"/>
      <c r="C53" s="1191"/>
      <c r="D53" s="1201"/>
      <c r="E53" s="1191"/>
      <c r="F53" s="1177"/>
      <c r="G53" s="1179"/>
      <c r="H53" s="306" t="s">
        <v>110</v>
      </c>
      <c r="I53" s="288">
        <v>1</v>
      </c>
      <c r="J53" s="288">
        <v>40</v>
      </c>
      <c r="K53" s="289">
        <f>+DEPRECIACION!J41</f>
        <v>0.32150205761316875</v>
      </c>
      <c r="L53" s="290">
        <f t="shared" si="3"/>
        <v>12.860082304526749</v>
      </c>
      <c r="M53" s="1205"/>
      <c r="N53" s="1137"/>
      <c r="O53" s="1149"/>
      <c r="P53" s="1145"/>
      <c r="Q53" s="1142"/>
      <c r="R53" s="1132"/>
      <c r="S53" s="1132"/>
      <c r="T53" s="1186"/>
      <c r="U53" s="1123"/>
      <c r="V53" s="1155"/>
      <c r="W53" s="1106"/>
      <c r="X53" s="1080"/>
      <c r="Y53" s="1080"/>
      <c r="Z53" s="1080"/>
      <c r="AA53" s="1080"/>
      <c r="AB53" s="1080"/>
      <c r="AC53" s="1080"/>
      <c r="AD53" s="1080"/>
      <c r="AE53" s="1080"/>
      <c r="AF53" s="1080"/>
      <c r="AG53" s="1080"/>
      <c r="AH53" s="1080"/>
      <c r="AI53" s="1080"/>
      <c r="AJ53" s="1074"/>
      <c r="AK53" s="1074"/>
      <c r="AL53" s="1074"/>
      <c r="AM53" s="1074"/>
      <c r="AN53" s="1074"/>
      <c r="AO53" s="1074"/>
      <c r="AP53" s="1074"/>
      <c r="AQ53" s="1074"/>
      <c r="AR53" s="1074"/>
      <c r="AS53" s="1074"/>
      <c r="AT53" s="1074"/>
      <c r="AU53" s="1074"/>
      <c r="AV53" s="1074"/>
      <c r="AW53" s="1105"/>
      <c r="AX53" s="1101"/>
      <c r="AY53" s="1093"/>
    </row>
    <row r="54" spans="2:51" s="35" customFormat="1" ht="21.75" thickBot="1" x14ac:dyDescent="0.3">
      <c r="B54" s="269"/>
      <c r="C54" s="269"/>
      <c r="D54" s="269"/>
      <c r="E54" s="269"/>
      <c r="F54" s="269"/>
      <c r="G54" s="269"/>
      <c r="H54" s="307"/>
      <c r="I54" s="269"/>
      <c r="J54" s="269"/>
      <c r="K54" s="270"/>
      <c r="L54" s="271"/>
      <c r="M54" s="268"/>
      <c r="N54" s="268"/>
      <c r="O54" s="268"/>
      <c r="P54" s="269"/>
      <c r="Q54" s="269"/>
      <c r="R54" s="269"/>
      <c r="S54" s="269"/>
      <c r="T54" s="268"/>
      <c r="U54" s="268"/>
      <c r="V54" s="268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8"/>
      <c r="AX54" s="268"/>
      <c r="AY54" s="269"/>
    </row>
    <row r="55" spans="2:51" ht="81.75" customHeight="1" x14ac:dyDescent="0.25">
      <c r="B55" s="1114" t="s">
        <v>9</v>
      </c>
      <c r="C55" s="246" t="s">
        <v>105</v>
      </c>
      <c r="D55" s="1200" t="s">
        <v>154</v>
      </c>
      <c r="E55" s="246" t="s">
        <v>184</v>
      </c>
      <c r="F55" s="267" t="s">
        <v>10</v>
      </c>
      <c r="G55" s="247" t="s">
        <v>11</v>
      </c>
      <c r="H55" s="308" t="s">
        <v>111</v>
      </c>
      <c r="I55" s="249">
        <v>1</v>
      </c>
      <c r="J55" s="249">
        <v>1440</v>
      </c>
      <c r="K55" s="250">
        <f>+DEPRECIACION!J17</f>
        <v>1.5432098765432098</v>
      </c>
      <c r="L55" s="292">
        <f>I55*J55*K55</f>
        <v>2222.2222222222222</v>
      </c>
      <c r="M55" s="251">
        <f>+SUM(L55)</f>
        <v>2222.2222222222222</v>
      </c>
      <c r="N55" s="1117">
        <f>+M55+M56</f>
        <v>2973.6786265432102</v>
      </c>
      <c r="O55" s="1147">
        <f>+N55+N65</f>
        <v>2975.9355709876545</v>
      </c>
      <c r="P55" s="252">
        <v>2</v>
      </c>
      <c r="Q55" s="253">
        <v>12</v>
      </c>
      <c r="R55" s="254">
        <f>+'NOMINA   MENSUAL'!Q31</f>
        <v>115.02687002777776</v>
      </c>
      <c r="S55" s="255">
        <f>+P55*Q55*R55</f>
        <v>2760.6448806666663</v>
      </c>
      <c r="T55" s="256">
        <f>+SUM(S55)</f>
        <v>2760.6448806666663</v>
      </c>
      <c r="U55" s="1127">
        <f>+SUM(T55,T56)</f>
        <v>77758.164138777764</v>
      </c>
      <c r="V55" s="1156">
        <f>+U55+U65</f>
        <v>82819.346419999987</v>
      </c>
      <c r="W55" s="257">
        <v>15</v>
      </c>
      <c r="X55" s="258">
        <v>1440</v>
      </c>
      <c r="Y55" s="258" t="s">
        <v>138</v>
      </c>
      <c r="Z55" s="258" t="s">
        <v>138</v>
      </c>
      <c r="AA55" s="258" t="s">
        <v>138</v>
      </c>
      <c r="AB55" s="258" t="s">
        <v>138</v>
      </c>
      <c r="AC55" s="258" t="s">
        <v>138</v>
      </c>
      <c r="AD55" s="258" t="s">
        <v>138</v>
      </c>
      <c r="AE55" s="258" t="s">
        <v>138</v>
      </c>
      <c r="AF55" s="258">
        <f>+Q55</f>
        <v>12</v>
      </c>
      <c r="AG55" s="258" t="s">
        <v>138</v>
      </c>
      <c r="AH55" s="258">
        <v>6</v>
      </c>
      <c r="AI55" s="258" t="s">
        <v>138</v>
      </c>
      <c r="AJ55" s="319">
        <f>+AJ47</f>
        <v>10.645601851851852</v>
      </c>
      <c r="AK55" s="319">
        <f>+AK47</f>
        <v>13.541666666666666</v>
      </c>
      <c r="AL55" s="318" t="s">
        <v>138</v>
      </c>
      <c r="AM55" s="318" t="s">
        <v>138</v>
      </c>
      <c r="AN55" s="318" t="s">
        <v>138</v>
      </c>
      <c r="AO55" s="318" t="s">
        <v>138</v>
      </c>
      <c r="AP55" s="318" t="s">
        <v>138</v>
      </c>
      <c r="AQ55" s="318" t="s">
        <v>138</v>
      </c>
      <c r="AR55" s="318" t="s">
        <v>138</v>
      </c>
      <c r="AS55" s="319">
        <f>+AS37</f>
        <v>4.0297067901234573</v>
      </c>
      <c r="AT55" s="319" t="s">
        <v>138</v>
      </c>
      <c r="AU55" s="319">
        <f>+'GASTOS ANUALES'!I48</f>
        <v>5.5372299382716061</v>
      </c>
      <c r="AV55" s="318" t="s">
        <v>138</v>
      </c>
      <c r="AW55" s="323">
        <f>+(W55*AJ55)+(X55*AK55)+(AF55*AS55)+(AH55*AU55)</f>
        <v>19741.263888888891</v>
      </c>
      <c r="AX55" s="324">
        <f>+SUM(AW55)</f>
        <v>19741.263888888891</v>
      </c>
      <c r="AY55" s="1091">
        <f>+AX55+AX56</f>
        <v>49516.982253086418</v>
      </c>
    </row>
    <row r="56" spans="2:51" ht="42" x14ac:dyDescent="0.25">
      <c r="B56" s="1115"/>
      <c r="C56" s="1192" t="s">
        <v>105</v>
      </c>
      <c r="D56" s="1192"/>
      <c r="E56" s="1182" t="s">
        <v>185</v>
      </c>
      <c r="F56" s="1176" t="s">
        <v>5</v>
      </c>
      <c r="G56" s="1178" t="s">
        <v>575</v>
      </c>
      <c r="H56" s="305" t="s">
        <v>127</v>
      </c>
      <c r="I56" s="235">
        <v>2</v>
      </c>
      <c r="J56" s="235">
        <v>465</v>
      </c>
      <c r="K56" s="259">
        <f>+DEPRECIACION!J47</f>
        <v>2.0576131687242798E-2</v>
      </c>
      <c r="L56" s="237">
        <f t="shared" ref="L56:L65" si="4">I56*J56*K56</f>
        <v>19.135802469135804</v>
      </c>
      <c r="M56" s="1139">
        <f>+SUM(L56:L64)</f>
        <v>751.45640432098776</v>
      </c>
      <c r="N56" s="1118"/>
      <c r="O56" s="1148"/>
      <c r="P56" s="1138">
        <v>2</v>
      </c>
      <c r="Q56" s="1129">
        <v>326</v>
      </c>
      <c r="R56" s="1130">
        <f>+'NOMINA   MENSUAL'!Q$31</f>
        <v>115.02687002777776</v>
      </c>
      <c r="S56" s="1131">
        <f>+P56*Q56*$R$56</f>
        <v>74997.519258111104</v>
      </c>
      <c r="T56" s="1159">
        <f>+SUM(S56:S64)</f>
        <v>74997.519258111104</v>
      </c>
      <c r="U56" s="1128"/>
      <c r="V56" s="1157"/>
      <c r="W56" s="1094">
        <v>300</v>
      </c>
      <c r="X56" s="1077">
        <v>1440</v>
      </c>
      <c r="Y56" s="1077" t="s">
        <v>138</v>
      </c>
      <c r="Z56" s="1077" t="s">
        <v>138</v>
      </c>
      <c r="AA56" s="1077" t="s">
        <v>138</v>
      </c>
      <c r="AB56" s="1077" t="s">
        <v>138</v>
      </c>
      <c r="AC56" s="1077" t="s">
        <v>138</v>
      </c>
      <c r="AD56" s="1077" t="s">
        <v>138</v>
      </c>
      <c r="AE56" s="1077" t="s">
        <v>138</v>
      </c>
      <c r="AF56" s="1077">
        <f>+Q56</f>
        <v>326</v>
      </c>
      <c r="AG56" s="1077">
        <v>480</v>
      </c>
      <c r="AH56" s="1077">
        <v>60</v>
      </c>
      <c r="AI56" s="1077">
        <v>40</v>
      </c>
      <c r="AJ56" s="1075">
        <f>+AJ55</f>
        <v>10.645601851851852</v>
      </c>
      <c r="AK56" s="1075">
        <f>+AK55</f>
        <v>13.541666666666666</v>
      </c>
      <c r="AL56" s="1072" t="s">
        <v>138</v>
      </c>
      <c r="AM56" s="1072" t="s">
        <v>138</v>
      </c>
      <c r="AN56" s="1072" t="s">
        <v>138</v>
      </c>
      <c r="AO56" s="1072" t="s">
        <v>138</v>
      </c>
      <c r="AP56" s="1072" t="s">
        <v>138</v>
      </c>
      <c r="AQ56" s="1072" t="s">
        <v>138</v>
      </c>
      <c r="AR56" s="1072" t="s">
        <v>138</v>
      </c>
      <c r="AS56" s="1075">
        <f>+AS55</f>
        <v>4.0297067901234573</v>
      </c>
      <c r="AT56" s="1075">
        <f>+'GASTOS ANUALES'!L27</f>
        <v>8.518518518518519</v>
      </c>
      <c r="AU56" s="1075">
        <f>+AU55</f>
        <v>5.5372299382716061</v>
      </c>
      <c r="AV56" s="1075">
        <f>+AV32</f>
        <v>2.4934413580246915</v>
      </c>
      <c r="AW56" s="1099">
        <f>+(W56*AJ56)+(AK56*X56)+(AF56*AS56)+(AG56*AT56)+(AH56*AU56)+(AI56*AV56)</f>
        <v>28528.225308641973</v>
      </c>
      <c r="AX56" s="1111">
        <f>+AW56+AW65</f>
        <v>29775.718364197528</v>
      </c>
      <c r="AY56" s="1092"/>
    </row>
    <row r="57" spans="2:51" ht="42" x14ac:dyDescent="0.25">
      <c r="B57" s="1115"/>
      <c r="C57" s="1192"/>
      <c r="D57" s="1192"/>
      <c r="E57" s="1183"/>
      <c r="F57" s="1176"/>
      <c r="G57" s="1178"/>
      <c r="H57" s="305" t="s">
        <v>109</v>
      </c>
      <c r="I57" s="235">
        <v>2</v>
      </c>
      <c r="J57" s="235">
        <v>465</v>
      </c>
      <c r="K57" s="259">
        <f>+DEPRECIACION!J44</f>
        <v>8.3590534979423869E-2</v>
      </c>
      <c r="L57" s="237">
        <f t="shared" si="4"/>
        <v>77.739197530864203</v>
      </c>
      <c r="M57" s="1139"/>
      <c r="N57" s="1118"/>
      <c r="O57" s="1148"/>
      <c r="P57" s="1138"/>
      <c r="Q57" s="1129"/>
      <c r="R57" s="1130"/>
      <c r="S57" s="1131"/>
      <c r="T57" s="1159"/>
      <c r="U57" s="1128"/>
      <c r="V57" s="1157"/>
      <c r="W57" s="1095"/>
      <c r="X57" s="1078"/>
      <c r="Y57" s="1078"/>
      <c r="Z57" s="1078"/>
      <c r="AA57" s="1078"/>
      <c r="AB57" s="1078"/>
      <c r="AC57" s="1078"/>
      <c r="AD57" s="1078"/>
      <c r="AE57" s="1078"/>
      <c r="AF57" s="1078"/>
      <c r="AG57" s="1078"/>
      <c r="AH57" s="1078"/>
      <c r="AI57" s="1078"/>
      <c r="AJ57" s="1073"/>
      <c r="AK57" s="1073"/>
      <c r="AL57" s="1073"/>
      <c r="AM57" s="1073"/>
      <c r="AN57" s="1073"/>
      <c r="AO57" s="1073"/>
      <c r="AP57" s="1073"/>
      <c r="AQ57" s="1073"/>
      <c r="AR57" s="1073"/>
      <c r="AS57" s="1073"/>
      <c r="AT57" s="1073"/>
      <c r="AU57" s="1073"/>
      <c r="AV57" s="1073"/>
      <c r="AW57" s="1100"/>
      <c r="AX57" s="1112"/>
      <c r="AY57" s="1092"/>
    </row>
    <row r="58" spans="2:51" ht="21" x14ac:dyDescent="0.25">
      <c r="B58" s="1115"/>
      <c r="C58" s="1192"/>
      <c r="D58" s="1192"/>
      <c r="E58" s="1183"/>
      <c r="F58" s="1176"/>
      <c r="G58" s="1178"/>
      <c r="H58" s="305" t="s">
        <v>110</v>
      </c>
      <c r="I58" s="235">
        <v>2</v>
      </c>
      <c r="J58" s="235">
        <v>465</v>
      </c>
      <c r="K58" s="259">
        <f>+DEPRECIACION!J41</f>
        <v>0.32150205761316875</v>
      </c>
      <c r="L58" s="237">
        <f t="shared" si="4"/>
        <v>298.99691358024694</v>
      </c>
      <c r="M58" s="1139"/>
      <c r="N58" s="1118"/>
      <c r="O58" s="1148"/>
      <c r="P58" s="1138"/>
      <c r="Q58" s="1129"/>
      <c r="R58" s="1130"/>
      <c r="S58" s="1131"/>
      <c r="T58" s="1159"/>
      <c r="U58" s="1128"/>
      <c r="V58" s="1157"/>
      <c r="W58" s="1095"/>
      <c r="X58" s="1078"/>
      <c r="Y58" s="1078"/>
      <c r="Z58" s="1078"/>
      <c r="AA58" s="1078"/>
      <c r="AB58" s="1078"/>
      <c r="AC58" s="1078"/>
      <c r="AD58" s="1078"/>
      <c r="AE58" s="1078"/>
      <c r="AF58" s="1078"/>
      <c r="AG58" s="1078"/>
      <c r="AH58" s="1078"/>
      <c r="AI58" s="1078"/>
      <c r="AJ58" s="1073"/>
      <c r="AK58" s="1073"/>
      <c r="AL58" s="1073"/>
      <c r="AM58" s="1073"/>
      <c r="AN58" s="1073"/>
      <c r="AO58" s="1073"/>
      <c r="AP58" s="1073"/>
      <c r="AQ58" s="1073"/>
      <c r="AR58" s="1073"/>
      <c r="AS58" s="1073"/>
      <c r="AT58" s="1073"/>
      <c r="AU58" s="1073"/>
      <c r="AV58" s="1073"/>
      <c r="AW58" s="1100"/>
      <c r="AX58" s="1112"/>
      <c r="AY58" s="1092"/>
    </row>
    <row r="59" spans="2:51" ht="21" x14ac:dyDescent="0.25">
      <c r="B59" s="1115"/>
      <c r="C59" s="1192"/>
      <c r="D59" s="1192"/>
      <c r="E59" s="1183"/>
      <c r="F59" s="1176"/>
      <c r="G59" s="1178"/>
      <c r="H59" s="309" t="s">
        <v>14</v>
      </c>
      <c r="I59" s="260">
        <v>1</v>
      </c>
      <c r="J59" s="235">
        <v>90</v>
      </c>
      <c r="K59" s="259">
        <f>+DEPRECIACION!J19</f>
        <v>1.1574074074074074</v>
      </c>
      <c r="L59" s="237">
        <f t="shared" si="4"/>
        <v>104.16666666666667</v>
      </c>
      <c r="M59" s="1139"/>
      <c r="N59" s="1118"/>
      <c r="O59" s="1148"/>
      <c r="P59" s="1138"/>
      <c r="Q59" s="1129"/>
      <c r="R59" s="1130"/>
      <c r="S59" s="1131"/>
      <c r="T59" s="1159"/>
      <c r="U59" s="1128"/>
      <c r="V59" s="1157"/>
      <c r="W59" s="1095"/>
      <c r="X59" s="1078"/>
      <c r="Y59" s="1078"/>
      <c r="Z59" s="1078"/>
      <c r="AA59" s="1078"/>
      <c r="AB59" s="1078"/>
      <c r="AC59" s="1078"/>
      <c r="AD59" s="1078"/>
      <c r="AE59" s="1078"/>
      <c r="AF59" s="1078"/>
      <c r="AG59" s="1078"/>
      <c r="AH59" s="1078"/>
      <c r="AI59" s="1078"/>
      <c r="AJ59" s="1073"/>
      <c r="AK59" s="1073"/>
      <c r="AL59" s="1073"/>
      <c r="AM59" s="1073"/>
      <c r="AN59" s="1073"/>
      <c r="AO59" s="1073"/>
      <c r="AP59" s="1073"/>
      <c r="AQ59" s="1073"/>
      <c r="AR59" s="1073"/>
      <c r="AS59" s="1073"/>
      <c r="AT59" s="1073"/>
      <c r="AU59" s="1073"/>
      <c r="AV59" s="1073"/>
      <c r="AW59" s="1100"/>
      <c r="AX59" s="1112"/>
      <c r="AY59" s="1092"/>
    </row>
    <row r="60" spans="2:51" ht="42" x14ac:dyDescent="0.25">
      <c r="B60" s="1115"/>
      <c r="C60" s="1192"/>
      <c r="D60" s="1192"/>
      <c r="E60" s="1183"/>
      <c r="F60" s="1176"/>
      <c r="G60" s="1178"/>
      <c r="H60" s="305" t="s">
        <v>15</v>
      </c>
      <c r="I60" s="260">
        <v>1</v>
      </c>
      <c r="J60" s="235">
        <v>90</v>
      </c>
      <c r="K60" s="259">
        <f>+DEPRECIACION!J20</f>
        <v>0.81018518518518523</v>
      </c>
      <c r="L60" s="237">
        <f t="shared" si="4"/>
        <v>72.916666666666671</v>
      </c>
      <c r="M60" s="1139"/>
      <c r="N60" s="1118"/>
      <c r="O60" s="1148"/>
      <c r="P60" s="1138"/>
      <c r="Q60" s="1129"/>
      <c r="R60" s="1130"/>
      <c r="S60" s="1131"/>
      <c r="T60" s="1159"/>
      <c r="U60" s="1128"/>
      <c r="V60" s="1157"/>
      <c r="W60" s="1095"/>
      <c r="X60" s="1078"/>
      <c r="Y60" s="1078"/>
      <c r="Z60" s="1078"/>
      <c r="AA60" s="1078"/>
      <c r="AB60" s="1078"/>
      <c r="AC60" s="1078"/>
      <c r="AD60" s="1078"/>
      <c r="AE60" s="1078"/>
      <c r="AF60" s="1078"/>
      <c r="AG60" s="1078"/>
      <c r="AH60" s="1078"/>
      <c r="AI60" s="1078"/>
      <c r="AJ60" s="1073"/>
      <c r="AK60" s="1073"/>
      <c r="AL60" s="1073"/>
      <c r="AM60" s="1073"/>
      <c r="AN60" s="1073"/>
      <c r="AO60" s="1073"/>
      <c r="AP60" s="1073"/>
      <c r="AQ60" s="1073"/>
      <c r="AR60" s="1073"/>
      <c r="AS60" s="1073"/>
      <c r="AT60" s="1073"/>
      <c r="AU60" s="1073"/>
      <c r="AV60" s="1073"/>
      <c r="AW60" s="1100"/>
      <c r="AX60" s="1112"/>
      <c r="AY60" s="1092"/>
    </row>
    <row r="61" spans="2:51" ht="42" x14ac:dyDescent="0.25">
      <c r="B61" s="1115"/>
      <c r="C61" s="1192"/>
      <c r="D61" s="1192"/>
      <c r="E61" s="1183"/>
      <c r="F61" s="1176"/>
      <c r="G61" s="1178"/>
      <c r="H61" s="305" t="s">
        <v>17</v>
      </c>
      <c r="I61" s="260">
        <v>1</v>
      </c>
      <c r="J61" s="235">
        <v>465</v>
      </c>
      <c r="K61" s="259">
        <f>+DEPRECIACION!J21</f>
        <v>4.6296296296296294E-2</v>
      </c>
      <c r="L61" s="237">
        <f t="shared" si="4"/>
        <v>21.527777777777775</v>
      </c>
      <c r="M61" s="1139"/>
      <c r="N61" s="1118"/>
      <c r="O61" s="1148"/>
      <c r="P61" s="1138"/>
      <c r="Q61" s="1129"/>
      <c r="R61" s="1130"/>
      <c r="S61" s="1131"/>
      <c r="T61" s="1159"/>
      <c r="U61" s="1128"/>
      <c r="V61" s="1157"/>
      <c r="W61" s="1095"/>
      <c r="X61" s="1078"/>
      <c r="Y61" s="1078"/>
      <c r="Z61" s="1078"/>
      <c r="AA61" s="1078"/>
      <c r="AB61" s="1078"/>
      <c r="AC61" s="1078"/>
      <c r="AD61" s="1078"/>
      <c r="AE61" s="1078"/>
      <c r="AF61" s="1078"/>
      <c r="AG61" s="1078"/>
      <c r="AH61" s="1078"/>
      <c r="AI61" s="1078"/>
      <c r="AJ61" s="1073"/>
      <c r="AK61" s="1073"/>
      <c r="AL61" s="1073"/>
      <c r="AM61" s="1073"/>
      <c r="AN61" s="1073"/>
      <c r="AO61" s="1073"/>
      <c r="AP61" s="1073"/>
      <c r="AQ61" s="1073"/>
      <c r="AR61" s="1073"/>
      <c r="AS61" s="1073"/>
      <c r="AT61" s="1073"/>
      <c r="AU61" s="1073"/>
      <c r="AV61" s="1073"/>
      <c r="AW61" s="1100"/>
      <c r="AX61" s="1112"/>
      <c r="AY61" s="1092"/>
    </row>
    <row r="62" spans="2:51" ht="42" x14ac:dyDescent="0.25">
      <c r="B62" s="1115"/>
      <c r="C62" s="1192"/>
      <c r="D62" s="1192"/>
      <c r="E62" s="1183"/>
      <c r="F62" s="1176"/>
      <c r="G62" s="1178"/>
      <c r="H62" s="305" t="s">
        <v>18</v>
      </c>
      <c r="I62" s="260">
        <v>1</v>
      </c>
      <c r="J62" s="235">
        <v>465</v>
      </c>
      <c r="K62" s="259">
        <f>+DEPRECIACION!J22</f>
        <v>0.13503086419753085</v>
      </c>
      <c r="L62" s="237">
        <f t="shared" si="4"/>
        <v>62.789351851851848</v>
      </c>
      <c r="M62" s="1139"/>
      <c r="N62" s="1118"/>
      <c r="O62" s="1148"/>
      <c r="P62" s="1138"/>
      <c r="Q62" s="1129"/>
      <c r="R62" s="1130"/>
      <c r="S62" s="1131"/>
      <c r="T62" s="1159"/>
      <c r="U62" s="1128"/>
      <c r="V62" s="1157"/>
      <c r="W62" s="1095"/>
      <c r="X62" s="1078"/>
      <c r="Y62" s="1078"/>
      <c r="Z62" s="1078"/>
      <c r="AA62" s="1078"/>
      <c r="AB62" s="1078"/>
      <c r="AC62" s="1078"/>
      <c r="AD62" s="1078"/>
      <c r="AE62" s="1078"/>
      <c r="AF62" s="1078"/>
      <c r="AG62" s="1078"/>
      <c r="AH62" s="1078"/>
      <c r="AI62" s="1078"/>
      <c r="AJ62" s="1073"/>
      <c r="AK62" s="1073"/>
      <c r="AL62" s="1073"/>
      <c r="AM62" s="1073"/>
      <c r="AN62" s="1073"/>
      <c r="AO62" s="1073"/>
      <c r="AP62" s="1073"/>
      <c r="AQ62" s="1073"/>
      <c r="AR62" s="1073"/>
      <c r="AS62" s="1073"/>
      <c r="AT62" s="1073"/>
      <c r="AU62" s="1073"/>
      <c r="AV62" s="1073"/>
      <c r="AW62" s="1100"/>
      <c r="AX62" s="1112"/>
      <c r="AY62" s="1092"/>
    </row>
    <row r="63" spans="2:51" ht="42" x14ac:dyDescent="0.25">
      <c r="B63" s="1115"/>
      <c r="C63" s="1192"/>
      <c r="D63" s="1192"/>
      <c r="E63" s="1183"/>
      <c r="F63" s="1176"/>
      <c r="G63" s="1178"/>
      <c r="H63" s="305" t="s">
        <v>31</v>
      </c>
      <c r="I63" s="260">
        <v>1</v>
      </c>
      <c r="J63" s="235">
        <v>465</v>
      </c>
      <c r="K63" s="259">
        <f>+DEPRECIACION!J23</f>
        <v>0.13503086419753085</v>
      </c>
      <c r="L63" s="237">
        <f t="shared" si="4"/>
        <v>62.789351851851848</v>
      </c>
      <c r="M63" s="1139"/>
      <c r="N63" s="1118"/>
      <c r="O63" s="1148"/>
      <c r="P63" s="1138"/>
      <c r="Q63" s="1129"/>
      <c r="R63" s="1130"/>
      <c r="S63" s="1131"/>
      <c r="T63" s="1159"/>
      <c r="U63" s="1128"/>
      <c r="V63" s="1157"/>
      <c r="W63" s="1095"/>
      <c r="X63" s="1078"/>
      <c r="Y63" s="1078"/>
      <c r="Z63" s="1078"/>
      <c r="AA63" s="1078"/>
      <c r="AB63" s="1078"/>
      <c r="AC63" s="1078"/>
      <c r="AD63" s="1078"/>
      <c r="AE63" s="1078"/>
      <c r="AF63" s="1078"/>
      <c r="AG63" s="1078"/>
      <c r="AH63" s="1078"/>
      <c r="AI63" s="1078"/>
      <c r="AJ63" s="1073"/>
      <c r="AK63" s="1073"/>
      <c r="AL63" s="1073"/>
      <c r="AM63" s="1073"/>
      <c r="AN63" s="1073"/>
      <c r="AO63" s="1073"/>
      <c r="AP63" s="1073"/>
      <c r="AQ63" s="1073"/>
      <c r="AR63" s="1073"/>
      <c r="AS63" s="1073"/>
      <c r="AT63" s="1073"/>
      <c r="AU63" s="1073"/>
      <c r="AV63" s="1073"/>
      <c r="AW63" s="1100"/>
      <c r="AX63" s="1112"/>
      <c r="AY63" s="1092"/>
    </row>
    <row r="64" spans="2:51" ht="42" x14ac:dyDescent="0.25">
      <c r="B64" s="1115"/>
      <c r="C64" s="1192"/>
      <c r="D64" s="1192"/>
      <c r="E64" s="1184"/>
      <c r="F64" s="1176"/>
      <c r="G64" s="1178"/>
      <c r="H64" s="305" t="s">
        <v>32</v>
      </c>
      <c r="I64" s="260">
        <v>1</v>
      </c>
      <c r="J64" s="235">
        <v>465</v>
      </c>
      <c r="K64" s="259">
        <f>+DEPRECIACION!J24</f>
        <v>6.7515432098765427E-2</v>
      </c>
      <c r="L64" s="237">
        <f t="shared" si="4"/>
        <v>31.394675925925924</v>
      </c>
      <c r="M64" s="1139"/>
      <c r="N64" s="1119"/>
      <c r="O64" s="1148"/>
      <c r="P64" s="1138"/>
      <c r="Q64" s="1129"/>
      <c r="R64" s="1130"/>
      <c r="S64" s="1131"/>
      <c r="T64" s="1159"/>
      <c r="U64" s="1128"/>
      <c r="V64" s="1157"/>
      <c r="W64" s="1096"/>
      <c r="X64" s="1079"/>
      <c r="Y64" s="1079"/>
      <c r="Z64" s="1079"/>
      <c r="AA64" s="1079"/>
      <c r="AB64" s="1079"/>
      <c r="AC64" s="1079"/>
      <c r="AD64" s="1079"/>
      <c r="AE64" s="1079"/>
      <c r="AF64" s="1079"/>
      <c r="AG64" s="1079"/>
      <c r="AH64" s="1079"/>
      <c r="AI64" s="1079"/>
      <c r="AJ64" s="1076"/>
      <c r="AK64" s="1076"/>
      <c r="AL64" s="1076"/>
      <c r="AM64" s="1076"/>
      <c r="AN64" s="1076"/>
      <c r="AO64" s="1076"/>
      <c r="AP64" s="1076"/>
      <c r="AQ64" s="1076"/>
      <c r="AR64" s="1076"/>
      <c r="AS64" s="1076"/>
      <c r="AT64" s="1076"/>
      <c r="AU64" s="1076"/>
      <c r="AV64" s="1076"/>
      <c r="AW64" s="1100"/>
      <c r="AX64" s="1112"/>
      <c r="AY64" s="1092"/>
    </row>
    <row r="65" spans="2:51" ht="72.75" customHeight="1" thickBot="1" x14ac:dyDescent="0.3">
      <c r="B65" s="1116"/>
      <c r="C65" s="287" t="s">
        <v>105</v>
      </c>
      <c r="D65" s="287" t="s">
        <v>155</v>
      </c>
      <c r="E65" s="287" t="s">
        <v>186</v>
      </c>
      <c r="F65" s="293" t="s">
        <v>6</v>
      </c>
      <c r="G65" s="294" t="s">
        <v>576</v>
      </c>
      <c r="H65" s="310" t="s">
        <v>188</v>
      </c>
      <c r="I65" s="295">
        <v>1</v>
      </c>
      <c r="J65" s="288">
        <v>30</v>
      </c>
      <c r="K65" s="289">
        <f>+DEPRECIACION!J26</f>
        <v>7.5231481481481483E-2</v>
      </c>
      <c r="L65" s="296">
        <f t="shared" si="4"/>
        <v>2.2569444444444446</v>
      </c>
      <c r="M65" s="297">
        <f>+SUM(L65)</f>
        <v>2.2569444444444446</v>
      </c>
      <c r="N65" s="298">
        <f>+SUM(M65)</f>
        <v>2.2569444444444446</v>
      </c>
      <c r="O65" s="1149"/>
      <c r="P65" s="261">
        <v>2</v>
      </c>
      <c r="Q65" s="262">
        <v>22</v>
      </c>
      <c r="R65" s="263">
        <f>+'NOMINA   MENSUAL'!Q31</f>
        <v>115.02687002777776</v>
      </c>
      <c r="S65" s="264">
        <f>+P65*Q65*R65</f>
        <v>5061.1822812222217</v>
      </c>
      <c r="T65" s="265">
        <f>+SUM(S65)</f>
        <v>5061.1822812222217</v>
      </c>
      <c r="U65" s="266">
        <f>+T65</f>
        <v>5061.1822812222217</v>
      </c>
      <c r="V65" s="1158"/>
      <c r="W65" s="299">
        <v>30</v>
      </c>
      <c r="X65" s="291">
        <v>44</v>
      </c>
      <c r="Y65" s="291" t="s">
        <v>138</v>
      </c>
      <c r="Z65" s="291" t="s">
        <v>138</v>
      </c>
      <c r="AA65" s="291" t="s">
        <v>138</v>
      </c>
      <c r="AB65" s="291" t="s">
        <v>138</v>
      </c>
      <c r="AC65" s="291" t="s">
        <v>138</v>
      </c>
      <c r="AD65" s="291" t="s">
        <v>138</v>
      </c>
      <c r="AE65" s="291" t="s">
        <v>138</v>
      </c>
      <c r="AF65" s="291">
        <f>+Q65</f>
        <v>22</v>
      </c>
      <c r="AG65" s="291" t="s">
        <v>138</v>
      </c>
      <c r="AH65" s="291">
        <v>44</v>
      </c>
      <c r="AI65" s="291" t="s">
        <v>138</v>
      </c>
      <c r="AJ65" s="325">
        <f>+AJ55</f>
        <v>10.645601851851852</v>
      </c>
      <c r="AK65" s="325">
        <f>+AK55</f>
        <v>13.541666666666666</v>
      </c>
      <c r="AL65" s="326" t="s">
        <v>138</v>
      </c>
      <c r="AM65" s="326" t="s">
        <v>138</v>
      </c>
      <c r="AN65" s="326" t="s">
        <v>138</v>
      </c>
      <c r="AO65" s="326" t="s">
        <v>138</v>
      </c>
      <c r="AP65" s="326" t="s">
        <v>138</v>
      </c>
      <c r="AQ65" s="326" t="s">
        <v>138</v>
      </c>
      <c r="AR65" s="326" t="s">
        <v>138</v>
      </c>
      <c r="AS65" s="325">
        <f>+AS55</f>
        <v>4.0297067901234573</v>
      </c>
      <c r="AT65" s="326" t="s">
        <v>138</v>
      </c>
      <c r="AU65" s="325">
        <f>+AU55</f>
        <v>5.5372299382716061</v>
      </c>
      <c r="AV65" s="326" t="s">
        <v>138</v>
      </c>
      <c r="AW65" s="327">
        <f>+(AK65*X65)+(W65*AJ65)+(AF65*AS65)+(AH65*AU65)</f>
        <v>1247.4930555555554</v>
      </c>
      <c r="AX65" s="1113"/>
      <c r="AY65" s="1093"/>
    </row>
    <row r="66" spans="2:51" s="35" customFormat="1" x14ac:dyDescent="0.25">
      <c r="H66" s="304"/>
      <c r="K66" s="149"/>
      <c r="L66" s="150"/>
      <c r="M66" s="34"/>
      <c r="N66" s="34"/>
      <c r="O66" s="34"/>
      <c r="T66" s="34"/>
      <c r="U66" s="34"/>
      <c r="V66" s="33"/>
      <c r="AW66" s="34"/>
      <c r="AX66" s="34"/>
    </row>
    <row r="67" spans="2:51" s="35" customFormat="1" x14ac:dyDescent="0.25">
      <c r="H67" s="304"/>
      <c r="K67" s="149"/>
      <c r="L67" s="150"/>
      <c r="M67" s="34"/>
      <c r="N67" s="34"/>
      <c r="O67" s="34"/>
      <c r="T67" s="34"/>
      <c r="U67" s="34"/>
      <c r="V67" s="33"/>
      <c r="AW67" s="34"/>
      <c r="AX67" s="34"/>
    </row>
    <row r="68" spans="2:51" s="35" customFormat="1" hidden="1" x14ac:dyDescent="0.25">
      <c r="H68" s="304"/>
      <c r="K68" s="149"/>
      <c r="L68" s="150"/>
      <c r="M68" s="34"/>
      <c r="N68" s="34"/>
      <c r="O68" s="34"/>
      <c r="T68" s="34"/>
      <c r="U68" s="34"/>
      <c r="V68" s="33"/>
      <c r="AW68" s="34"/>
      <c r="AX68" s="34"/>
    </row>
    <row r="69" spans="2:51" s="35" customFormat="1" hidden="1" x14ac:dyDescent="0.25">
      <c r="H69" s="304"/>
      <c r="K69" s="149"/>
      <c r="L69" s="150"/>
      <c r="M69" s="34"/>
      <c r="N69" s="34"/>
      <c r="O69" s="34"/>
      <c r="T69" s="34"/>
      <c r="U69" s="34"/>
      <c r="V69" s="33"/>
      <c r="AW69" s="34"/>
      <c r="AX69" s="34"/>
    </row>
    <row r="70" spans="2:51" s="35" customFormat="1" hidden="1" x14ac:dyDescent="0.25">
      <c r="H70" s="304"/>
      <c r="K70" s="149"/>
      <c r="L70" s="150"/>
      <c r="M70" s="34"/>
      <c r="N70" s="34"/>
      <c r="O70" s="34"/>
      <c r="T70" s="34"/>
      <c r="U70" s="34"/>
      <c r="V70" s="33"/>
      <c r="AW70" s="34"/>
      <c r="AX70" s="34"/>
    </row>
    <row r="71" spans="2:51" s="35" customFormat="1" hidden="1" x14ac:dyDescent="0.25">
      <c r="H71" s="304"/>
      <c r="K71" s="149"/>
      <c r="L71" s="150"/>
      <c r="M71" s="34"/>
      <c r="N71" s="34"/>
      <c r="O71" s="34"/>
      <c r="T71" s="34"/>
      <c r="U71" s="34"/>
      <c r="V71" s="33"/>
      <c r="AW71" s="34"/>
      <c r="AX71" s="34"/>
    </row>
    <row r="72" spans="2:51" s="35" customFormat="1" hidden="1" x14ac:dyDescent="0.25">
      <c r="H72" s="304"/>
      <c r="K72" s="149"/>
      <c r="L72" s="150"/>
      <c r="M72" s="34"/>
      <c r="N72" s="34"/>
      <c r="O72" s="34"/>
      <c r="T72" s="34"/>
      <c r="U72" s="34"/>
      <c r="V72" s="33"/>
      <c r="AW72" s="34"/>
      <c r="AX72" s="34"/>
    </row>
    <row r="73" spans="2:51" s="35" customFormat="1" hidden="1" x14ac:dyDescent="0.25">
      <c r="H73" s="304"/>
      <c r="K73" s="149"/>
      <c r="L73" s="150"/>
      <c r="M73" s="34"/>
      <c r="N73" s="34"/>
      <c r="O73" s="34"/>
      <c r="T73" s="34"/>
      <c r="U73" s="34"/>
      <c r="V73" s="33"/>
      <c r="AW73" s="34"/>
      <c r="AX73" s="34"/>
    </row>
    <row r="74" spans="2:51" s="35" customFormat="1" hidden="1" x14ac:dyDescent="0.25">
      <c r="H74" s="304"/>
      <c r="K74" s="149"/>
      <c r="L74" s="150"/>
      <c r="M74" s="34"/>
      <c r="N74" s="34"/>
      <c r="O74" s="34"/>
      <c r="T74" s="34"/>
      <c r="U74" s="34"/>
      <c r="V74" s="33"/>
      <c r="AW74" s="34"/>
      <c r="AX74" s="34"/>
    </row>
    <row r="75" spans="2:51" s="35" customFormat="1" hidden="1" x14ac:dyDescent="0.25">
      <c r="H75" s="304"/>
      <c r="K75" s="149"/>
      <c r="L75" s="150"/>
      <c r="M75" s="34"/>
      <c r="N75" s="34"/>
      <c r="O75" s="34"/>
      <c r="T75" s="34"/>
      <c r="U75" s="34"/>
      <c r="V75" s="33"/>
      <c r="AW75" s="34"/>
      <c r="AX75" s="34"/>
    </row>
    <row r="76" spans="2:51" s="35" customFormat="1" hidden="1" x14ac:dyDescent="0.25">
      <c r="H76" s="304"/>
      <c r="K76" s="149"/>
      <c r="L76" s="150"/>
      <c r="M76" s="34"/>
      <c r="N76" s="34"/>
      <c r="O76" s="34"/>
      <c r="T76" s="34"/>
      <c r="U76" s="34"/>
      <c r="V76" s="33"/>
      <c r="AW76" s="34"/>
      <c r="AX76" s="34"/>
    </row>
    <row r="77" spans="2:51" s="35" customFormat="1" hidden="1" x14ac:dyDescent="0.25">
      <c r="H77" s="304"/>
      <c r="K77" s="149"/>
      <c r="L77" s="150"/>
      <c r="M77" s="34"/>
      <c r="N77" s="34"/>
      <c r="O77" s="34"/>
      <c r="T77" s="34"/>
      <c r="U77" s="34"/>
      <c r="V77" s="33"/>
      <c r="AW77" s="34"/>
      <c r="AX77" s="34"/>
    </row>
    <row r="78" spans="2:51" s="35" customFormat="1" hidden="1" x14ac:dyDescent="0.25">
      <c r="H78" s="304"/>
      <c r="K78" s="149"/>
      <c r="L78" s="150"/>
      <c r="M78" s="34"/>
      <c r="N78" s="34"/>
      <c r="O78" s="34"/>
      <c r="T78" s="34"/>
      <c r="U78" s="34"/>
      <c r="V78" s="33"/>
      <c r="AW78" s="34"/>
      <c r="AX78" s="34"/>
    </row>
    <row r="79" spans="2:51" s="35" customFormat="1" hidden="1" x14ac:dyDescent="0.25">
      <c r="H79" s="304"/>
      <c r="K79" s="149"/>
      <c r="L79" s="150"/>
      <c r="M79" s="34"/>
      <c r="N79" s="34"/>
      <c r="O79" s="34"/>
      <c r="T79" s="34"/>
      <c r="U79" s="34"/>
      <c r="V79" s="33"/>
      <c r="AW79" s="34"/>
      <c r="AX79" s="34"/>
    </row>
    <row r="80" spans="2:51" s="35" customFormat="1" hidden="1" x14ac:dyDescent="0.25">
      <c r="H80" s="304"/>
      <c r="K80" s="149"/>
      <c r="L80" s="150"/>
      <c r="M80" s="34"/>
      <c r="N80" s="34"/>
      <c r="O80" s="34"/>
      <c r="T80" s="34"/>
      <c r="U80" s="34"/>
      <c r="V80" s="33"/>
      <c r="AW80" s="34"/>
      <c r="AX80" s="34"/>
    </row>
    <row r="81" spans="8:50" s="35" customFormat="1" hidden="1" x14ac:dyDescent="0.25">
      <c r="H81" s="304"/>
      <c r="K81" s="149"/>
      <c r="L81" s="150"/>
      <c r="M81" s="34"/>
      <c r="N81" s="34"/>
      <c r="O81" s="34"/>
      <c r="T81" s="34"/>
      <c r="U81" s="34"/>
      <c r="V81" s="33"/>
      <c r="AW81" s="34"/>
      <c r="AX81" s="34"/>
    </row>
    <row r="82" spans="8:50" s="35" customFormat="1" hidden="1" x14ac:dyDescent="0.25">
      <c r="H82" s="304"/>
      <c r="K82" s="149"/>
      <c r="L82" s="150"/>
      <c r="M82" s="34"/>
      <c r="N82" s="34"/>
      <c r="O82" s="34"/>
      <c r="T82" s="34"/>
      <c r="U82" s="34"/>
      <c r="V82" s="33"/>
      <c r="AW82" s="34"/>
      <c r="AX82" s="34"/>
    </row>
    <row r="83" spans="8:50" s="35" customFormat="1" hidden="1" x14ac:dyDescent="0.25">
      <c r="H83" s="304"/>
      <c r="K83" s="149"/>
      <c r="L83" s="150"/>
      <c r="M83" s="34"/>
      <c r="N83" s="34"/>
      <c r="O83" s="34"/>
      <c r="T83" s="34"/>
      <c r="U83" s="34"/>
      <c r="V83" s="33"/>
      <c r="AW83" s="34"/>
      <c r="AX83" s="34"/>
    </row>
    <row r="84" spans="8:50" s="35" customFormat="1" hidden="1" x14ac:dyDescent="0.25">
      <c r="H84" s="304"/>
      <c r="K84" s="149"/>
      <c r="L84" s="150"/>
      <c r="M84" s="34"/>
      <c r="N84" s="34"/>
      <c r="O84" s="34"/>
      <c r="T84" s="34"/>
      <c r="U84" s="34"/>
      <c r="V84" s="33"/>
      <c r="AW84" s="34"/>
      <c r="AX84" s="34"/>
    </row>
    <row r="85" spans="8:50" s="35" customFormat="1" hidden="1" x14ac:dyDescent="0.25">
      <c r="H85" s="304"/>
      <c r="K85" s="149"/>
      <c r="L85" s="150"/>
      <c r="M85" s="34"/>
      <c r="N85" s="34"/>
      <c r="O85" s="34"/>
      <c r="T85" s="34"/>
      <c r="U85" s="34"/>
      <c r="V85" s="33"/>
      <c r="AW85" s="34"/>
      <c r="AX85" s="34"/>
    </row>
    <row r="86" spans="8:50" s="35" customFormat="1" hidden="1" x14ac:dyDescent="0.25">
      <c r="H86" s="304"/>
      <c r="K86" s="149"/>
      <c r="L86" s="150"/>
      <c r="M86" s="34"/>
      <c r="N86" s="34"/>
      <c r="O86" s="34"/>
      <c r="T86" s="34"/>
      <c r="U86" s="34"/>
      <c r="V86" s="33"/>
      <c r="AW86" s="34"/>
      <c r="AX86" s="34"/>
    </row>
    <row r="87" spans="8:50" s="35" customFormat="1" hidden="1" x14ac:dyDescent="0.25">
      <c r="H87" s="304"/>
      <c r="K87" s="149"/>
      <c r="L87" s="150"/>
      <c r="M87" s="34"/>
      <c r="N87" s="34"/>
      <c r="O87" s="34"/>
      <c r="T87" s="34"/>
      <c r="U87" s="34"/>
      <c r="V87" s="33"/>
      <c r="AW87" s="34"/>
      <c r="AX87" s="34"/>
    </row>
    <row r="88" spans="8:50" s="35" customFormat="1" hidden="1" x14ac:dyDescent="0.25">
      <c r="H88" s="304"/>
      <c r="K88" s="149"/>
      <c r="L88" s="150"/>
      <c r="M88" s="34"/>
      <c r="N88" s="34"/>
      <c r="O88" s="34"/>
      <c r="T88" s="34"/>
      <c r="U88" s="34"/>
      <c r="V88" s="33"/>
      <c r="AW88" s="34"/>
      <c r="AX88" s="34"/>
    </row>
    <row r="89" spans="8:50" s="35" customFormat="1" hidden="1" x14ac:dyDescent="0.25">
      <c r="H89" s="304"/>
      <c r="K89" s="149"/>
      <c r="L89" s="150"/>
      <c r="M89" s="34"/>
      <c r="N89" s="34"/>
      <c r="O89" s="34"/>
      <c r="T89" s="34"/>
      <c r="U89" s="34"/>
      <c r="V89" s="33"/>
      <c r="AW89" s="34"/>
      <c r="AX89" s="34"/>
    </row>
    <row r="90" spans="8:50" s="35" customFormat="1" hidden="1" x14ac:dyDescent="0.25">
      <c r="H90" s="304"/>
      <c r="K90" s="149"/>
      <c r="L90" s="150"/>
      <c r="M90" s="34"/>
      <c r="N90" s="34"/>
      <c r="O90" s="34"/>
      <c r="T90" s="34"/>
      <c r="U90" s="34"/>
      <c r="V90" s="33"/>
      <c r="AW90" s="34"/>
      <c r="AX90" s="34"/>
    </row>
    <row r="91" spans="8:50" s="35" customFormat="1" hidden="1" x14ac:dyDescent="0.25">
      <c r="H91" s="304"/>
      <c r="K91" s="149"/>
      <c r="L91" s="150"/>
      <c r="M91" s="34"/>
      <c r="N91" s="34"/>
      <c r="O91" s="34"/>
      <c r="T91" s="34"/>
      <c r="U91" s="34"/>
      <c r="V91" s="33"/>
      <c r="AW91" s="34"/>
      <c r="AX91" s="34"/>
    </row>
    <row r="92" spans="8:50" s="35" customFormat="1" hidden="1" x14ac:dyDescent="0.25">
      <c r="H92" s="304"/>
      <c r="K92" s="149"/>
      <c r="L92" s="150"/>
      <c r="M92" s="34"/>
      <c r="N92" s="34"/>
      <c r="O92" s="34"/>
      <c r="T92" s="34"/>
      <c r="U92" s="34"/>
      <c r="V92" s="33"/>
      <c r="AW92" s="34"/>
      <c r="AX92" s="34"/>
    </row>
    <row r="93" spans="8:50" s="35" customFormat="1" hidden="1" x14ac:dyDescent="0.25">
      <c r="H93" s="304"/>
      <c r="K93" s="149"/>
      <c r="L93" s="150"/>
      <c r="M93" s="34"/>
      <c r="N93" s="34"/>
      <c r="O93" s="34"/>
      <c r="T93" s="34"/>
      <c r="U93" s="34"/>
      <c r="V93" s="33"/>
      <c r="AW93" s="34"/>
      <c r="AX93" s="34"/>
    </row>
    <row r="94" spans="8:50" s="35" customFormat="1" hidden="1" x14ac:dyDescent="0.25">
      <c r="H94" s="304"/>
      <c r="K94" s="149"/>
      <c r="L94" s="150"/>
      <c r="M94" s="34"/>
      <c r="N94" s="34"/>
      <c r="O94" s="34"/>
      <c r="T94" s="34"/>
      <c r="U94" s="34"/>
      <c r="V94" s="33"/>
      <c r="AW94" s="34"/>
      <c r="AX94" s="34"/>
    </row>
    <row r="95" spans="8:50" s="35" customFormat="1" hidden="1" x14ac:dyDescent="0.25">
      <c r="H95" s="304"/>
      <c r="K95" s="149"/>
      <c r="L95" s="150"/>
      <c r="M95" s="34"/>
      <c r="N95" s="34"/>
      <c r="O95" s="34"/>
      <c r="T95" s="34"/>
      <c r="U95" s="34"/>
      <c r="V95" s="33"/>
      <c r="AW95" s="34"/>
      <c r="AX95" s="34"/>
    </row>
    <row r="96" spans="8:50" s="35" customFormat="1" hidden="1" x14ac:dyDescent="0.25">
      <c r="H96" s="304"/>
      <c r="K96" s="149"/>
      <c r="L96" s="150"/>
      <c r="M96" s="34"/>
      <c r="N96" s="34"/>
      <c r="O96" s="34"/>
      <c r="T96" s="34"/>
      <c r="U96" s="34"/>
      <c r="V96" s="33"/>
      <c r="AW96" s="34"/>
      <c r="AX96" s="34"/>
    </row>
    <row r="97" spans="8:50" s="35" customFormat="1" hidden="1" x14ac:dyDescent="0.25">
      <c r="H97" s="304"/>
      <c r="K97" s="149"/>
      <c r="L97" s="150"/>
      <c r="M97" s="34"/>
      <c r="N97" s="34"/>
      <c r="O97" s="34"/>
      <c r="T97" s="34"/>
      <c r="U97" s="34"/>
      <c r="V97" s="33"/>
      <c r="AW97" s="34"/>
      <c r="AX97" s="34"/>
    </row>
    <row r="98" spans="8:50" s="35" customFormat="1" hidden="1" x14ac:dyDescent="0.25">
      <c r="H98" s="304"/>
      <c r="K98" s="149"/>
      <c r="L98" s="150"/>
      <c r="M98" s="34"/>
      <c r="N98" s="34"/>
      <c r="O98" s="34"/>
      <c r="T98" s="34"/>
      <c r="U98" s="34"/>
      <c r="V98" s="33"/>
      <c r="AW98" s="34"/>
      <c r="AX98" s="34"/>
    </row>
    <row r="99" spans="8:50" s="35" customFormat="1" hidden="1" x14ac:dyDescent="0.25">
      <c r="H99" s="304"/>
      <c r="K99" s="149"/>
      <c r="L99" s="150"/>
      <c r="M99" s="34"/>
      <c r="N99" s="34"/>
      <c r="O99" s="34"/>
      <c r="T99" s="34"/>
      <c r="U99" s="34"/>
      <c r="V99" s="33"/>
      <c r="AW99" s="34"/>
      <c r="AX99" s="34"/>
    </row>
    <row r="100" spans="8:50" s="35" customFormat="1" hidden="1" x14ac:dyDescent="0.25">
      <c r="H100" s="304"/>
      <c r="K100" s="149"/>
      <c r="L100" s="150"/>
      <c r="M100" s="34"/>
      <c r="N100" s="34"/>
      <c r="O100" s="34"/>
      <c r="T100" s="34"/>
      <c r="U100" s="34"/>
      <c r="V100" s="33"/>
      <c r="AW100" s="34"/>
      <c r="AX100" s="34"/>
    </row>
    <row r="101" spans="8:50" s="35" customFormat="1" hidden="1" x14ac:dyDescent="0.25">
      <c r="H101" s="304"/>
      <c r="K101" s="149"/>
      <c r="L101" s="150"/>
      <c r="M101" s="34"/>
      <c r="N101" s="34"/>
      <c r="O101" s="34"/>
      <c r="T101" s="34"/>
      <c r="U101" s="34"/>
      <c r="V101" s="33"/>
      <c r="AW101" s="34"/>
      <c r="AX101" s="34"/>
    </row>
    <row r="102" spans="8:50" s="35" customFormat="1" hidden="1" x14ac:dyDescent="0.25">
      <c r="H102" s="304"/>
      <c r="K102" s="149"/>
      <c r="L102" s="150"/>
      <c r="M102" s="34"/>
      <c r="N102" s="34"/>
      <c r="O102" s="34"/>
      <c r="T102" s="34"/>
      <c r="U102" s="34"/>
      <c r="V102" s="33"/>
      <c r="AW102" s="34"/>
      <c r="AX102" s="34"/>
    </row>
    <row r="103" spans="8:50" s="35" customFormat="1" hidden="1" x14ac:dyDescent="0.25">
      <c r="H103" s="304"/>
      <c r="K103" s="149"/>
      <c r="L103" s="150"/>
      <c r="M103" s="34"/>
      <c r="N103" s="34"/>
      <c r="O103" s="34"/>
      <c r="T103" s="34"/>
      <c r="U103" s="34"/>
      <c r="V103" s="33"/>
      <c r="AW103" s="34"/>
      <c r="AX103" s="34"/>
    </row>
    <row r="104" spans="8:50" s="35" customFormat="1" hidden="1" x14ac:dyDescent="0.25">
      <c r="H104" s="304"/>
      <c r="K104" s="149"/>
      <c r="L104" s="150"/>
      <c r="M104" s="34"/>
      <c r="N104" s="34"/>
      <c r="O104" s="34"/>
      <c r="T104" s="34"/>
      <c r="U104" s="34"/>
      <c r="V104" s="33"/>
      <c r="AW104" s="34"/>
      <c r="AX104" s="34"/>
    </row>
    <row r="105" spans="8:50" s="35" customFormat="1" hidden="1" x14ac:dyDescent="0.25">
      <c r="H105" s="304"/>
      <c r="K105" s="149"/>
      <c r="L105" s="150"/>
      <c r="M105" s="34"/>
      <c r="N105" s="34"/>
      <c r="O105" s="34"/>
      <c r="T105" s="34"/>
      <c r="U105" s="34"/>
      <c r="V105" s="33"/>
      <c r="AW105" s="34"/>
      <c r="AX105" s="34"/>
    </row>
    <row r="106" spans="8:50" s="35" customFormat="1" hidden="1" x14ac:dyDescent="0.25">
      <c r="H106" s="304"/>
      <c r="K106" s="149"/>
      <c r="L106" s="150"/>
      <c r="M106" s="34"/>
      <c r="N106" s="34"/>
      <c r="O106" s="34"/>
      <c r="T106" s="34"/>
      <c r="U106" s="34"/>
      <c r="V106" s="33"/>
      <c r="AW106" s="34"/>
      <c r="AX106" s="34"/>
    </row>
    <row r="107" spans="8:50" s="35" customFormat="1" hidden="1" x14ac:dyDescent="0.25">
      <c r="H107" s="304"/>
      <c r="K107" s="149"/>
      <c r="L107" s="150"/>
      <c r="M107" s="34"/>
      <c r="N107" s="34"/>
      <c r="O107" s="34"/>
      <c r="T107" s="34"/>
      <c r="U107" s="34"/>
      <c r="V107" s="33"/>
      <c r="AW107" s="34"/>
      <c r="AX107" s="34"/>
    </row>
    <row r="108" spans="8:50" s="35" customFormat="1" hidden="1" x14ac:dyDescent="0.25">
      <c r="H108" s="304"/>
      <c r="K108" s="149"/>
      <c r="L108" s="150"/>
      <c r="M108" s="34"/>
      <c r="N108" s="34"/>
      <c r="O108" s="34"/>
      <c r="T108" s="34"/>
      <c r="U108" s="34"/>
      <c r="V108" s="33"/>
      <c r="AW108" s="34"/>
      <c r="AX108" s="34"/>
    </row>
    <row r="109" spans="8:50" s="35" customFormat="1" hidden="1" x14ac:dyDescent="0.25">
      <c r="H109" s="304"/>
      <c r="K109" s="149"/>
      <c r="L109" s="150"/>
      <c r="M109" s="34"/>
      <c r="N109" s="34"/>
      <c r="O109" s="34"/>
      <c r="T109" s="34"/>
      <c r="U109" s="34"/>
      <c r="V109" s="33"/>
      <c r="AW109" s="34"/>
      <c r="AX109" s="34"/>
    </row>
    <row r="110" spans="8:50" s="35" customFormat="1" hidden="1" x14ac:dyDescent="0.25">
      <c r="H110" s="304"/>
      <c r="K110" s="149"/>
      <c r="L110" s="150"/>
      <c r="M110" s="34"/>
      <c r="N110" s="34"/>
      <c r="O110" s="34"/>
      <c r="T110" s="34"/>
      <c r="U110" s="34"/>
      <c r="V110" s="33"/>
      <c r="AW110" s="34"/>
      <c r="AX110" s="34"/>
    </row>
    <row r="111" spans="8:50" s="35" customFormat="1" hidden="1" x14ac:dyDescent="0.25">
      <c r="H111" s="304"/>
      <c r="K111" s="149"/>
      <c r="L111" s="150"/>
      <c r="M111" s="34"/>
      <c r="N111" s="34"/>
      <c r="O111" s="34"/>
      <c r="T111" s="34"/>
      <c r="U111" s="34"/>
      <c r="V111" s="33"/>
      <c r="AW111" s="34"/>
      <c r="AX111" s="34"/>
    </row>
    <row r="112" spans="8:50" s="35" customFormat="1" hidden="1" x14ac:dyDescent="0.25">
      <c r="H112" s="304"/>
      <c r="K112" s="149"/>
      <c r="L112" s="150"/>
      <c r="M112" s="34"/>
      <c r="N112" s="34"/>
      <c r="O112" s="34"/>
      <c r="T112" s="34"/>
      <c r="U112" s="34"/>
      <c r="V112" s="33"/>
      <c r="AW112" s="34"/>
      <c r="AX112" s="34"/>
    </row>
    <row r="113" spans="8:50" s="35" customFormat="1" hidden="1" x14ac:dyDescent="0.25">
      <c r="H113" s="304"/>
      <c r="K113" s="149"/>
      <c r="L113" s="150"/>
      <c r="M113" s="34"/>
      <c r="N113" s="34"/>
      <c r="O113" s="34"/>
      <c r="T113" s="34"/>
      <c r="U113" s="34"/>
      <c r="V113" s="33"/>
      <c r="AW113" s="34"/>
      <c r="AX113" s="34"/>
    </row>
    <row r="114" spans="8:50" s="35" customFormat="1" hidden="1" x14ac:dyDescent="0.25">
      <c r="H114" s="304"/>
      <c r="K114" s="149"/>
      <c r="L114" s="150"/>
      <c r="M114" s="34"/>
      <c r="N114" s="34"/>
      <c r="O114" s="34"/>
      <c r="T114" s="34"/>
      <c r="U114" s="34"/>
      <c r="V114" s="33"/>
      <c r="AW114" s="34"/>
      <c r="AX114" s="34"/>
    </row>
    <row r="115" spans="8:50" s="35" customFormat="1" hidden="1" x14ac:dyDescent="0.25">
      <c r="H115" s="304"/>
      <c r="K115" s="149"/>
      <c r="L115" s="150"/>
      <c r="M115" s="34"/>
      <c r="N115" s="34"/>
      <c r="O115" s="34"/>
      <c r="T115" s="34"/>
      <c r="U115" s="34"/>
      <c r="V115" s="33"/>
      <c r="AW115" s="34"/>
      <c r="AX115" s="34"/>
    </row>
    <row r="116" spans="8:50" s="35" customFormat="1" hidden="1" x14ac:dyDescent="0.25">
      <c r="H116" s="304"/>
      <c r="K116" s="149"/>
      <c r="L116" s="150"/>
      <c r="M116" s="34"/>
      <c r="N116" s="34"/>
      <c r="O116" s="34"/>
      <c r="T116" s="34"/>
      <c r="U116" s="34"/>
      <c r="V116" s="33"/>
      <c r="AW116" s="34"/>
      <c r="AX116" s="34"/>
    </row>
    <row r="117" spans="8:50" s="35" customFormat="1" hidden="1" x14ac:dyDescent="0.25">
      <c r="H117" s="304"/>
      <c r="K117" s="149"/>
      <c r="L117" s="150"/>
      <c r="M117" s="34"/>
      <c r="N117" s="34"/>
      <c r="O117" s="34"/>
      <c r="T117" s="34"/>
      <c r="U117" s="34"/>
      <c r="V117" s="33"/>
      <c r="AW117" s="34"/>
      <c r="AX117" s="34"/>
    </row>
    <row r="118" spans="8:50" s="35" customFormat="1" hidden="1" x14ac:dyDescent="0.25">
      <c r="H118" s="304"/>
      <c r="K118" s="149"/>
      <c r="L118" s="150"/>
      <c r="M118" s="34"/>
      <c r="N118" s="34"/>
      <c r="O118" s="34"/>
      <c r="T118" s="34"/>
      <c r="U118" s="34"/>
      <c r="V118" s="33"/>
      <c r="AW118" s="34"/>
      <c r="AX118" s="34"/>
    </row>
    <row r="119" spans="8:50" s="35" customFormat="1" hidden="1" x14ac:dyDescent="0.25">
      <c r="H119" s="304"/>
      <c r="K119" s="149"/>
      <c r="L119" s="150"/>
      <c r="M119" s="34"/>
      <c r="N119" s="34"/>
      <c r="O119" s="34"/>
      <c r="T119" s="34"/>
      <c r="U119" s="34"/>
      <c r="V119" s="33"/>
      <c r="AW119" s="34"/>
      <c r="AX119" s="34"/>
    </row>
    <row r="120" spans="8:50" s="35" customFormat="1" hidden="1" x14ac:dyDescent="0.25">
      <c r="H120" s="304"/>
      <c r="K120" s="149"/>
      <c r="L120" s="150"/>
      <c r="M120" s="34"/>
      <c r="N120" s="34"/>
      <c r="O120" s="34"/>
      <c r="T120" s="34"/>
      <c r="U120" s="34"/>
      <c r="V120" s="33"/>
      <c r="AW120" s="34"/>
      <c r="AX120" s="34"/>
    </row>
    <row r="121" spans="8:50" s="35" customFormat="1" hidden="1" x14ac:dyDescent="0.25">
      <c r="H121" s="304"/>
      <c r="K121" s="149"/>
      <c r="L121" s="150"/>
      <c r="M121" s="34"/>
      <c r="N121" s="34"/>
      <c r="O121" s="34"/>
      <c r="T121" s="34"/>
      <c r="U121" s="34"/>
      <c r="V121" s="33"/>
      <c r="AW121" s="34"/>
      <c r="AX121" s="34"/>
    </row>
    <row r="122" spans="8:50" s="35" customFormat="1" hidden="1" x14ac:dyDescent="0.25">
      <c r="H122" s="304"/>
      <c r="K122" s="149"/>
      <c r="L122" s="150"/>
      <c r="M122" s="34"/>
      <c r="N122" s="34"/>
      <c r="O122" s="34"/>
      <c r="T122" s="34"/>
      <c r="U122" s="34"/>
      <c r="V122" s="33"/>
      <c r="AW122" s="34"/>
      <c r="AX122" s="34"/>
    </row>
    <row r="123" spans="8:50" s="35" customFormat="1" hidden="1" x14ac:dyDescent="0.25">
      <c r="H123" s="304"/>
      <c r="K123" s="149"/>
      <c r="L123" s="150"/>
      <c r="M123" s="34"/>
      <c r="N123" s="34"/>
      <c r="O123" s="34"/>
      <c r="T123" s="34"/>
      <c r="U123" s="34"/>
      <c r="V123" s="33"/>
      <c r="AW123" s="34"/>
      <c r="AX123" s="34"/>
    </row>
    <row r="124" spans="8:50" s="35" customFormat="1" hidden="1" x14ac:dyDescent="0.25">
      <c r="H124" s="304"/>
      <c r="K124" s="149"/>
      <c r="L124" s="150"/>
      <c r="M124" s="34"/>
      <c r="N124" s="34"/>
      <c r="O124" s="34"/>
      <c r="T124" s="34"/>
      <c r="U124" s="34"/>
      <c r="V124" s="33"/>
      <c r="AW124" s="34"/>
      <c r="AX124" s="34"/>
    </row>
    <row r="125" spans="8:50" s="35" customFormat="1" hidden="1" x14ac:dyDescent="0.25">
      <c r="H125" s="304"/>
      <c r="K125" s="149"/>
      <c r="L125" s="150"/>
      <c r="M125" s="34"/>
      <c r="N125" s="34"/>
      <c r="O125" s="34"/>
      <c r="T125" s="34"/>
      <c r="U125" s="34"/>
      <c r="V125" s="33"/>
      <c r="AW125" s="34"/>
      <c r="AX125" s="34"/>
    </row>
    <row r="126" spans="8:50" s="35" customFormat="1" hidden="1" x14ac:dyDescent="0.25">
      <c r="H126" s="304"/>
      <c r="K126" s="149"/>
      <c r="L126" s="150"/>
      <c r="M126" s="34"/>
      <c r="N126" s="34"/>
      <c r="O126" s="34"/>
      <c r="T126" s="34"/>
      <c r="U126" s="34"/>
      <c r="V126" s="33"/>
      <c r="AW126" s="34"/>
      <c r="AX126" s="34"/>
    </row>
    <row r="127" spans="8:50" s="35" customFormat="1" hidden="1" x14ac:dyDescent="0.25">
      <c r="H127" s="304"/>
      <c r="K127" s="149"/>
      <c r="L127" s="150"/>
      <c r="M127" s="34"/>
      <c r="N127" s="34"/>
      <c r="O127" s="34"/>
      <c r="T127" s="34"/>
      <c r="U127" s="34"/>
      <c r="V127" s="33"/>
      <c r="AW127" s="34"/>
      <c r="AX127" s="34"/>
    </row>
    <row r="128" spans="8:50" s="35" customFormat="1" hidden="1" x14ac:dyDescent="0.25">
      <c r="H128" s="304"/>
      <c r="K128" s="149"/>
      <c r="L128" s="150"/>
      <c r="M128" s="34"/>
      <c r="N128" s="34"/>
      <c r="O128" s="34"/>
      <c r="T128" s="34"/>
      <c r="U128" s="34"/>
      <c r="V128" s="33"/>
      <c r="AW128" s="34"/>
      <c r="AX128" s="34"/>
    </row>
    <row r="129" spans="8:50" s="35" customFormat="1" hidden="1" x14ac:dyDescent="0.25">
      <c r="H129" s="304"/>
      <c r="K129" s="149"/>
      <c r="L129" s="150"/>
      <c r="M129" s="34"/>
      <c r="N129" s="34"/>
      <c r="O129" s="34"/>
      <c r="T129" s="34"/>
      <c r="U129" s="34"/>
      <c r="V129" s="33"/>
      <c r="AW129" s="34"/>
      <c r="AX129" s="34"/>
    </row>
    <row r="130" spans="8:50" s="35" customFormat="1" hidden="1" x14ac:dyDescent="0.25">
      <c r="H130" s="304"/>
      <c r="K130" s="149"/>
      <c r="L130" s="150"/>
      <c r="M130" s="34"/>
      <c r="N130" s="34"/>
      <c r="O130" s="34"/>
      <c r="T130" s="34"/>
      <c r="U130" s="34"/>
      <c r="V130" s="33"/>
      <c r="AW130" s="34"/>
      <c r="AX130" s="34"/>
    </row>
    <row r="131" spans="8:50" s="35" customFormat="1" hidden="1" x14ac:dyDescent="0.25">
      <c r="H131" s="304"/>
      <c r="K131" s="149"/>
      <c r="L131" s="150"/>
      <c r="M131" s="34"/>
      <c r="N131" s="34"/>
      <c r="O131" s="34"/>
      <c r="T131" s="34"/>
      <c r="U131" s="34"/>
      <c r="V131" s="33"/>
      <c r="AW131" s="34"/>
      <c r="AX131" s="34"/>
    </row>
    <row r="132" spans="8:50" s="35" customFormat="1" hidden="1" x14ac:dyDescent="0.25">
      <c r="H132" s="304"/>
      <c r="K132" s="149"/>
      <c r="L132" s="150"/>
      <c r="M132" s="34"/>
      <c r="N132" s="34"/>
      <c r="O132" s="34"/>
      <c r="T132" s="34"/>
      <c r="U132" s="34"/>
      <c r="V132" s="33"/>
      <c r="AW132" s="34"/>
      <c r="AX132" s="34"/>
    </row>
    <row r="133" spans="8:50" s="35" customFormat="1" hidden="1" x14ac:dyDescent="0.25">
      <c r="H133" s="304"/>
      <c r="K133" s="149"/>
      <c r="L133" s="150"/>
      <c r="M133" s="34"/>
      <c r="N133" s="34"/>
      <c r="O133" s="34"/>
      <c r="T133" s="34"/>
      <c r="U133" s="34"/>
      <c r="V133" s="33"/>
      <c r="AW133" s="34"/>
      <c r="AX133" s="34"/>
    </row>
    <row r="134" spans="8:50" s="35" customFormat="1" hidden="1" x14ac:dyDescent="0.25">
      <c r="H134" s="304"/>
      <c r="K134" s="149"/>
      <c r="L134" s="150"/>
      <c r="M134" s="34"/>
      <c r="N134" s="34"/>
      <c r="O134" s="34"/>
      <c r="T134" s="34"/>
      <c r="U134" s="34"/>
      <c r="V134" s="33"/>
      <c r="AW134" s="34"/>
      <c r="AX134" s="34"/>
    </row>
    <row r="135" spans="8:50" s="35" customFormat="1" hidden="1" x14ac:dyDescent="0.25">
      <c r="H135" s="304"/>
      <c r="K135" s="149"/>
      <c r="L135" s="150"/>
      <c r="M135" s="34"/>
      <c r="N135" s="34"/>
      <c r="O135" s="34"/>
      <c r="T135" s="34"/>
      <c r="U135" s="34"/>
      <c r="V135" s="33"/>
      <c r="AW135" s="34"/>
      <c r="AX135" s="34"/>
    </row>
    <row r="136" spans="8:50" s="35" customFormat="1" hidden="1" x14ac:dyDescent="0.25">
      <c r="H136" s="304"/>
      <c r="K136" s="149"/>
      <c r="L136" s="150"/>
      <c r="M136" s="34"/>
      <c r="N136" s="34"/>
      <c r="O136" s="34"/>
      <c r="T136" s="34"/>
      <c r="U136" s="34"/>
      <c r="V136" s="33"/>
      <c r="AW136" s="34"/>
      <c r="AX136" s="34"/>
    </row>
    <row r="137" spans="8:50" s="35" customFormat="1" hidden="1" x14ac:dyDescent="0.25">
      <c r="H137" s="304"/>
      <c r="K137" s="149"/>
      <c r="L137" s="150"/>
      <c r="M137" s="34"/>
      <c r="N137" s="34"/>
      <c r="O137" s="34"/>
      <c r="T137" s="34"/>
      <c r="U137" s="34"/>
      <c r="V137" s="33"/>
      <c r="AW137" s="34"/>
      <c r="AX137" s="34"/>
    </row>
    <row r="138" spans="8:50" s="35" customFormat="1" hidden="1" x14ac:dyDescent="0.25">
      <c r="H138" s="304"/>
      <c r="K138" s="149"/>
      <c r="L138" s="150"/>
      <c r="M138" s="34"/>
      <c r="N138" s="34"/>
      <c r="O138" s="34"/>
      <c r="T138" s="34"/>
      <c r="U138" s="34"/>
      <c r="V138" s="33"/>
      <c r="AW138" s="34"/>
      <c r="AX138" s="34"/>
    </row>
    <row r="139" spans="8:50" s="35" customFormat="1" hidden="1" x14ac:dyDescent="0.25">
      <c r="H139" s="304"/>
      <c r="K139" s="149"/>
      <c r="L139" s="150"/>
      <c r="M139" s="34"/>
      <c r="N139" s="34"/>
      <c r="O139" s="34"/>
      <c r="T139" s="34"/>
      <c r="U139" s="34"/>
      <c r="V139" s="33"/>
      <c r="AW139" s="34"/>
      <c r="AX139" s="34"/>
    </row>
    <row r="140" spans="8:50" s="35" customFormat="1" hidden="1" x14ac:dyDescent="0.25">
      <c r="H140" s="304"/>
      <c r="K140" s="149"/>
      <c r="L140" s="150"/>
      <c r="M140" s="34"/>
      <c r="N140" s="34"/>
      <c r="O140" s="34"/>
      <c r="T140" s="34"/>
      <c r="U140" s="34"/>
      <c r="V140" s="33"/>
      <c r="AW140" s="34"/>
      <c r="AX140" s="34"/>
    </row>
    <row r="141" spans="8:50" s="35" customFormat="1" hidden="1" x14ac:dyDescent="0.25">
      <c r="H141" s="304"/>
      <c r="K141" s="149"/>
      <c r="L141" s="150"/>
      <c r="M141" s="34"/>
      <c r="N141" s="34"/>
      <c r="O141" s="34"/>
      <c r="T141" s="34"/>
      <c r="U141" s="34"/>
      <c r="V141" s="33"/>
      <c r="AW141" s="34"/>
      <c r="AX141" s="34"/>
    </row>
    <row r="142" spans="8:50" s="35" customFormat="1" hidden="1" x14ac:dyDescent="0.25">
      <c r="H142" s="304"/>
      <c r="K142" s="149"/>
      <c r="L142" s="150"/>
      <c r="M142" s="34"/>
      <c r="N142" s="34"/>
      <c r="O142" s="34"/>
      <c r="T142" s="34"/>
      <c r="U142" s="34"/>
      <c r="V142" s="33"/>
      <c r="AW142" s="34"/>
      <c r="AX142" s="34"/>
    </row>
    <row r="143" spans="8:50" s="35" customFormat="1" hidden="1" x14ac:dyDescent="0.25">
      <c r="H143" s="304"/>
      <c r="K143" s="149"/>
      <c r="L143" s="150"/>
      <c r="M143" s="34"/>
      <c r="N143" s="34"/>
      <c r="O143" s="34"/>
      <c r="T143" s="34"/>
      <c r="U143" s="34"/>
      <c r="V143" s="33"/>
      <c r="AW143" s="34"/>
      <c r="AX143" s="34"/>
    </row>
    <row r="144" spans="8:50" s="35" customFormat="1" hidden="1" x14ac:dyDescent="0.25">
      <c r="H144" s="304"/>
      <c r="K144" s="149"/>
      <c r="L144" s="150"/>
      <c r="M144" s="34"/>
      <c r="N144" s="34"/>
      <c r="O144" s="34"/>
      <c r="T144" s="34"/>
      <c r="U144" s="34"/>
      <c r="V144" s="33"/>
      <c r="AW144" s="34"/>
      <c r="AX144" s="34"/>
    </row>
    <row r="145" spans="8:50" s="35" customFormat="1" hidden="1" x14ac:dyDescent="0.25">
      <c r="H145" s="304"/>
      <c r="K145" s="149"/>
      <c r="L145" s="150"/>
      <c r="M145" s="34"/>
      <c r="N145" s="34"/>
      <c r="O145" s="34"/>
      <c r="T145" s="34"/>
      <c r="U145" s="34"/>
      <c r="V145" s="33"/>
      <c r="AW145" s="34"/>
      <c r="AX145" s="34"/>
    </row>
    <row r="146" spans="8:50" s="35" customFormat="1" hidden="1" x14ac:dyDescent="0.25">
      <c r="H146" s="304"/>
      <c r="K146" s="149"/>
      <c r="L146" s="150"/>
      <c r="M146" s="34"/>
      <c r="N146" s="34"/>
      <c r="O146" s="34"/>
      <c r="T146" s="34"/>
      <c r="U146" s="34"/>
      <c r="V146" s="33"/>
      <c r="AW146" s="34"/>
      <c r="AX146" s="34"/>
    </row>
    <row r="147" spans="8:50" s="35" customFormat="1" hidden="1" x14ac:dyDescent="0.25">
      <c r="H147" s="304"/>
      <c r="K147" s="149"/>
      <c r="L147" s="150"/>
      <c r="M147" s="34"/>
      <c r="N147" s="34"/>
      <c r="O147" s="34"/>
      <c r="T147" s="34"/>
      <c r="U147" s="34"/>
      <c r="V147" s="33"/>
      <c r="AW147" s="34"/>
      <c r="AX147" s="34"/>
    </row>
    <row r="148" spans="8:50" s="35" customFormat="1" hidden="1" x14ac:dyDescent="0.25">
      <c r="H148" s="304"/>
      <c r="K148" s="149"/>
      <c r="L148" s="150"/>
      <c r="M148" s="34"/>
      <c r="N148" s="34"/>
      <c r="O148" s="34"/>
      <c r="T148" s="34"/>
      <c r="U148" s="34"/>
      <c r="V148" s="33"/>
      <c r="AW148" s="34"/>
      <c r="AX148" s="34"/>
    </row>
    <row r="149" spans="8:50" s="35" customFormat="1" hidden="1" x14ac:dyDescent="0.25">
      <c r="H149" s="304"/>
      <c r="K149" s="149"/>
      <c r="L149" s="150"/>
      <c r="M149" s="34"/>
      <c r="N149" s="34"/>
      <c r="O149" s="34"/>
      <c r="T149" s="34"/>
      <c r="U149" s="34"/>
      <c r="V149" s="33"/>
      <c r="AW149" s="34"/>
      <c r="AX149" s="34"/>
    </row>
    <row r="150" spans="8:50" s="35" customFormat="1" hidden="1" x14ac:dyDescent="0.25">
      <c r="H150" s="304"/>
      <c r="K150" s="149"/>
      <c r="L150" s="150"/>
      <c r="M150" s="34"/>
      <c r="N150" s="34"/>
      <c r="O150" s="34"/>
      <c r="T150" s="34"/>
      <c r="U150" s="34"/>
      <c r="V150" s="33"/>
      <c r="AW150" s="34"/>
      <c r="AX150" s="34"/>
    </row>
    <row r="151" spans="8:50" s="35" customFormat="1" hidden="1" x14ac:dyDescent="0.25">
      <c r="H151" s="304"/>
      <c r="K151" s="149"/>
      <c r="L151" s="150"/>
      <c r="M151" s="34"/>
      <c r="N151" s="34"/>
      <c r="O151" s="34"/>
      <c r="T151" s="34"/>
      <c r="U151" s="34"/>
      <c r="V151" s="33"/>
      <c r="AW151" s="34"/>
      <c r="AX151" s="34"/>
    </row>
    <row r="152" spans="8:50" s="35" customFormat="1" hidden="1" x14ac:dyDescent="0.25">
      <c r="H152" s="304"/>
      <c r="K152" s="149"/>
      <c r="L152" s="150"/>
      <c r="M152" s="34"/>
      <c r="N152" s="34"/>
      <c r="O152" s="34"/>
      <c r="T152" s="34"/>
      <c r="U152" s="34"/>
      <c r="V152" s="33"/>
      <c r="AW152" s="34"/>
      <c r="AX152" s="34"/>
    </row>
    <row r="153" spans="8:50" s="35" customFormat="1" hidden="1" x14ac:dyDescent="0.25">
      <c r="H153" s="304"/>
      <c r="K153" s="149"/>
      <c r="L153" s="150"/>
      <c r="M153" s="34"/>
      <c r="N153" s="34"/>
      <c r="O153" s="34"/>
      <c r="T153" s="34"/>
      <c r="U153" s="34"/>
      <c r="V153" s="33"/>
      <c r="AW153" s="34"/>
      <c r="AX153" s="34"/>
    </row>
    <row r="154" spans="8:50" s="35" customFormat="1" hidden="1" x14ac:dyDescent="0.25">
      <c r="H154" s="304"/>
      <c r="K154" s="149"/>
      <c r="L154" s="150"/>
      <c r="M154" s="34"/>
      <c r="N154" s="34"/>
      <c r="O154" s="34"/>
      <c r="T154" s="34"/>
      <c r="U154" s="34"/>
      <c r="V154" s="33"/>
      <c r="AW154" s="34"/>
      <c r="AX154" s="34"/>
    </row>
    <row r="155" spans="8:50" s="35" customFormat="1" hidden="1" x14ac:dyDescent="0.25">
      <c r="H155" s="304"/>
      <c r="K155" s="149"/>
      <c r="L155" s="150"/>
      <c r="M155" s="34"/>
      <c r="N155" s="34"/>
      <c r="O155" s="34"/>
      <c r="T155" s="34"/>
      <c r="U155" s="34"/>
      <c r="V155" s="33"/>
      <c r="AW155" s="34"/>
      <c r="AX155" s="34"/>
    </row>
    <row r="156" spans="8:50" s="35" customFormat="1" hidden="1" x14ac:dyDescent="0.25">
      <c r="H156" s="304"/>
      <c r="K156" s="149"/>
      <c r="L156" s="150"/>
      <c r="M156" s="34"/>
      <c r="N156" s="34"/>
      <c r="O156" s="34"/>
      <c r="T156" s="34"/>
      <c r="U156" s="34"/>
      <c r="V156" s="33"/>
      <c r="AW156" s="34"/>
      <c r="AX156" s="34"/>
    </row>
    <row r="157" spans="8:50" s="35" customFormat="1" hidden="1" x14ac:dyDescent="0.25">
      <c r="H157" s="304"/>
      <c r="K157" s="149"/>
      <c r="L157" s="150"/>
      <c r="M157" s="34"/>
      <c r="N157" s="34"/>
      <c r="O157" s="34"/>
      <c r="T157" s="34"/>
      <c r="U157" s="34"/>
      <c r="V157" s="33"/>
      <c r="AW157" s="34"/>
      <c r="AX157" s="34"/>
    </row>
    <row r="158" spans="8:50" s="35" customFormat="1" hidden="1" x14ac:dyDescent="0.25">
      <c r="H158" s="304"/>
      <c r="K158" s="149"/>
      <c r="L158" s="150"/>
      <c r="M158" s="34"/>
      <c r="N158" s="34"/>
      <c r="O158" s="34"/>
      <c r="T158" s="34"/>
      <c r="U158" s="34"/>
      <c r="V158" s="33"/>
      <c r="AW158" s="34"/>
      <c r="AX158" s="34"/>
    </row>
    <row r="159" spans="8:50" s="35" customFormat="1" hidden="1" x14ac:dyDescent="0.25">
      <c r="H159" s="304"/>
      <c r="K159" s="149"/>
      <c r="L159" s="150"/>
      <c r="M159" s="34"/>
      <c r="N159" s="34"/>
      <c r="O159" s="34"/>
      <c r="T159" s="34"/>
      <c r="U159" s="34"/>
      <c r="V159" s="33"/>
      <c r="AW159" s="34"/>
      <c r="AX159" s="34"/>
    </row>
    <row r="160" spans="8:50" s="35" customFormat="1" hidden="1" x14ac:dyDescent="0.25">
      <c r="H160" s="304"/>
      <c r="K160" s="149"/>
      <c r="L160" s="150"/>
      <c r="M160" s="34"/>
      <c r="N160" s="34"/>
      <c r="O160" s="34"/>
      <c r="T160" s="34"/>
      <c r="U160" s="34"/>
      <c r="V160" s="33"/>
      <c r="AW160" s="34"/>
      <c r="AX160" s="34"/>
    </row>
    <row r="161" spans="8:50" s="35" customFormat="1" hidden="1" x14ac:dyDescent="0.25">
      <c r="H161" s="304"/>
      <c r="K161" s="149"/>
      <c r="L161" s="150"/>
      <c r="M161" s="34"/>
      <c r="N161" s="34"/>
      <c r="O161" s="34"/>
      <c r="T161" s="34"/>
      <c r="U161" s="34"/>
      <c r="V161" s="33"/>
      <c r="AW161" s="34"/>
      <c r="AX161" s="34"/>
    </row>
    <row r="162" spans="8:50" s="35" customFormat="1" hidden="1" x14ac:dyDescent="0.25">
      <c r="H162" s="304"/>
      <c r="K162" s="149"/>
      <c r="L162" s="150"/>
      <c r="M162" s="34"/>
      <c r="N162" s="34"/>
      <c r="O162" s="34"/>
      <c r="T162" s="34"/>
      <c r="U162" s="34"/>
      <c r="V162" s="33"/>
      <c r="AW162" s="34"/>
      <c r="AX162" s="34"/>
    </row>
    <row r="163" spans="8:50" s="35" customFormat="1" hidden="1" x14ac:dyDescent="0.25">
      <c r="H163" s="304"/>
      <c r="K163" s="149"/>
      <c r="L163" s="150"/>
      <c r="M163" s="34"/>
      <c r="N163" s="34"/>
      <c r="O163" s="34"/>
      <c r="T163" s="34"/>
      <c r="U163" s="34"/>
      <c r="V163" s="33"/>
      <c r="AW163" s="34"/>
      <c r="AX163" s="34"/>
    </row>
    <row r="164" spans="8:50" s="35" customFormat="1" hidden="1" x14ac:dyDescent="0.25">
      <c r="H164" s="304"/>
      <c r="K164" s="149"/>
      <c r="L164" s="150"/>
      <c r="M164" s="34"/>
      <c r="N164" s="34"/>
      <c r="O164" s="34"/>
      <c r="T164" s="34"/>
      <c r="U164" s="34"/>
      <c r="V164" s="33"/>
      <c r="AW164" s="34"/>
      <c r="AX164" s="34"/>
    </row>
    <row r="165" spans="8:50" s="35" customFormat="1" hidden="1" x14ac:dyDescent="0.25">
      <c r="H165" s="304"/>
      <c r="K165" s="149"/>
      <c r="L165" s="150"/>
      <c r="M165" s="34"/>
      <c r="N165" s="34"/>
      <c r="O165" s="34"/>
      <c r="T165" s="34"/>
      <c r="U165" s="34"/>
      <c r="V165" s="33"/>
      <c r="AW165" s="34"/>
      <c r="AX165" s="34"/>
    </row>
    <row r="166" spans="8:50" s="35" customFormat="1" hidden="1" x14ac:dyDescent="0.25">
      <c r="H166" s="304"/>
      <c r="K166" s="149"/>
      <c r="L166" s="150"/>
      <c r="M166" s="34"/>
      <c r="N166" s="34"/>
      <c r="O166" s="34"/>
      <c r="T166" s="34"/>
      <c r="U166" s="34"/>
      <c r="V166" s="33"/>
      <c r="AW166" s="34"/>
      <c r="AX166" s="34"/>
    </row>
    <row r="167" spans="8:50" s="35" customFormat="1" hidden="1" x14ac:dyDescent="0.25">
      <c r="H167" s="304"/>
      <c r="K167" s="149"/>
      <c r="L167" s="150"/>
      <c r="M167" s="34"/>
      <c r="N167" s="34"/>
      <c r="O167" s="34"/>
      <c r="T167" s="34"/>
      <c r="U167" s="34"/>
      <c r="V167" s="33"/>
      <c r="AW167" s="34"/>
      <c r="AX167" s="34"/>
    </row>
    <row r="168" spans="8:50" s="35" customFormat="1" hidden="1" x14ac:dyDescent="0.25">
      <c r="H168" s="304"/>
      <c r="K168" s="149"/>
      <c r="L168" s="150"/>
      <c r="M168" s="34"/>
      <c r="N168" s="34"/>
      <c r="O168" s="34"/>
      <c r="T168" s="34"/>
      <c r="U168" s="34"/>
      <c r="V168" s="33"/>
      <c r="AW168" s="34"/>
      <c r="AX168" s="34"/>
    </row>
    <row r="169" spans="8:50" s="35" customFormat="1" hidden="1" x14ac:dyDescent="0.25">
      <c r="H169" s="304"/>
      <c r="K169" s="149"/>
      <c r="L169" s="150"/>
      <c r="M169" s="34"/>
      <c r="N169" s="34"/>
      <c r="O169" s="34"/>
      <c r="T169" s="34"/>
      <c r="U169" s="34"/>
      <c r="V169" s="33"/>
      <c r="AW169" s="34"/>
      <c r="AX169" s="34"/>
    </row>
    <row r="170" spans="8:50" s="35" customFormat="1" hidden="1" x14ac:dyDescent="0.25">
      <c r="H170" s="304"/>
      <c r="K170" s="149"/>
      <c r="L170" s="150"/>
      <c r="M170" s="34"/>
      <c r="N170" s="34"/>
      <c r="O170" s="34"/>
      <c r="T170" s="34"/>
      <c r="U170" s="34"/>
      <c r="V170" s="33"/>
      <c r="AW170" s="34"/>
      <c r="AX170" s="34"/>
    </row>
    <row r="171" spans="8:50" s="35" customFormat="1" hidden="1" x14ac:dyDescent="0.25">
      <c r="H171" s="304"/>
      <c r="K171" s="149"/>
      <c r="L171" s="150"/>
      <c r="M171" s="34"/>
      <c r="N171" s="34"/>
      <c r="O171" s="34"/>
      <c r="T171" s="34"/>
      <c r="U171" s="34"/>
      <c r="V171" s="33"/>
      <c r="AW171" s="34"/>
      <c r="AX171" s="34"/>
    </row>
    <row r="172" spans="8:50" s="35" customFormat="1" hidden="1" x14ac:dyDescent="0.25">
      <c r="H172" s="304"/>
      <c r="K172" s="149"/>
      <c r="L172" s="150"/>
      <c r="M172" s="34"/>
      <c r="N172" s="34"/>
      <c r="O172" s="34"/>
      <c r="T172" s="34"/>
      <c r="U172" s="34"/>
      <c r="V172" s="33"/>
      <c r="AW172" s="34"/>
      <c r="AX172" s="34"/>
    </row>
    <row r="173" spans="8:50" s="35" customFormat="1" hidden="1" x14ac:dyDescent="0.25">
      <c r="H173" s="304"/>
      <c r="K173" s="149"/>
      <c r="L173" s="150"/>
      <c r="M173" s="34"/>
      <c r="N173" s="34"/>
      <c r="O173" s="34"/>
      <c r="T173" s="34"/>
      <c r="U173" s="34"/>
      <c r="V173" s="33"/>
      <c r="AW173" s="34"/>
      <c r="AX173" s="34"/>
    </row>
    <row r="174" spans="8:50" s="35" customFormat="1" hidden="1" x14ac:dyDescent="0.25">
      <c r="H174" s="304"/>
      <c r="K174" s="149"/>
      <c r="L174" s="150"/>
      <c r="M174" s="34"/>
      <c r="N174" s="34"/>
      <c r="O174" s="34"/>
      <c r="T174" s="34"/>
      <c r="U174" s="34"/>
      <c r="V174" s="33"/>
      <c r="AW174" s="34"/>
      <c r="AX174" s="34"/>
    </row>
    <row r="175" spans="8:50" s="35" customFormat="1" hidden="1" x14ac:dyDescent="0.25">
      <c r="H175" s="304"/>
      <c r="K175" s="149"/>
      <c r="L175" s="150"/>
      <c r="M175" s="34"/>
      <c r="N175" s="34"/>
      <c r="O175" s="34"/>
      <c r="T175" s="34"/>
      <c r="U175" s="34"/>
      <c r="V175" s="33"/>
      <c r="AW175" s="34"/>
      <c r="AX175" s="34"/>
    </row>
    <row r="176" spans="8:50" s="35" customFormat="1" hidden="1" x14ac:dyDescent="0.25">
      <c r="H176" s="304"/>
      <c r="K176" s="149"/>
      <c r="L176" s="150"/>
      <c r="M176" s="34"/>
      <c r="N176" s="34"/>
      <c r="O176" s="34"/>
      <c r="T176" s="34"/>
      <c r="U176" s="34"/>
      <c r="V176" s="33"/>
      <c r="AW176" s="34"/>
      <c r="AX176" s="34"/>
    </row>
    <row r="177" spans="8:50" s="35" customFormat="1" hidden="1" x14ac:dyDescent="0.25">
      <c r="H177" s="304"/>
      <c r="K177" s="149"/>
      <c r="L177" s="150"/>
      <c r="M177" s="34"/>
      <c r="N177" s="34"/>
      <c r="O177" s="34"/>
      <c r="T177" s="34"/>
      <c r="U177" s="34"/>
      <c r="V177" s="33"/>
      <c r="AW177" s="34"/>
      <c r="AX177" s="34"/>
    </row>
    <row r="178" spans="8:50" s="35" customFormat="1" hidden="1" x14ac:dyDescent="0.25">
      <c r="H178" s="304"/>
      <c r="K178" s="149"/>
      <c r="L178" s="150"/>
      <c r="M178" s="34"/>
      <c r="N178" s="34"/>
      <c r="O178" s="34"/>
      <c r="T178" s="34"/>
      <c r="U178" s="34"/>
      <c r="V178" s="33"/>
      <c r="AW178" s="34"/>
      <c r="AX178" s="34"/>
    </row>
    <row r="179" spans="8:50" s="35" customFormat="1" hidden="1" x14ac:dyDescent="0.25">
      <c r="H179" s="304"/>
      <c r="K179" s="149"/>
      <c r="L179" s="150"/>
      <c r="M179" s="34"/>
      <c r="N179" s="34"/>
      <c r="O179" s="34"/>
      <c r="T179" s="34"/>
      <c r="U179" s="34"/>
      <c r="V179" s="33"/>
      <c r="AW179" s="34"/>
      <c r="AX179" s="34"/>
    </row>
    <row r="180" spans="8:50" s="35" customFormat="1" hidden="1" x14ac:dyDescent="0.25">
      <c r="H180" s="304"/>
      <c r="K180" s="149"/>
      <c r="L180" s="150"/>
      <c r="M180" s="34"/>
      <c r="N180" s="34"/>
      <c r="O180" s="34"/>
      <c r="T180" s="34"/>
      <c r="U180" s="34"/>
      <c r="V180" s="33"/>
      <c r="AW180" s="34"/>
      <c r="AX180" s="34"/>
    </row>
    <row r="181" spans="8:50" s="35" customFormat="1" hidden="1" x14ac:dyDescent="0.25">
      <c r="H181" s="304"/>
      <c r="K181" s="149"/>
      <c r="L181" s="150"/>
      <c r="M181" s="34"/>
      <c r="N181" s="34"/>
      <c r="O181" s="34"/>
      <c r="T181" s="34"/>
      <c r="U181" s="34"/>
      <c r="V181" s="33"/>
      <c r="AW181" s="34"/>
      <c r="AX181" s="34"/>
    </row>
    <row r="182" spans="8:50" s="35" customFormat="1" hidden="1" x14ac:dyDescent="0.25">
      <c r="H182" s="304"/>
      <c r="K182" s="149"/>
      <c r="L182" s="150"/>
      <c r="M182" s="34"/>
      <c r="N182" s="34"/>
      <c r="O182" s="34"/>
      <c r="T182" s="34"/>
      <c r="U182" s="34"/>
      <c r="V182" s="33"/>
      <c r="AW182" s="34"/>
      <c r="AX182" s="34"/>
    </row>
    <row r="183" spans="8:50" s="35" customFormat="1" hidden="1" x14ac:dyDescent="0.25">
      <c r="H183" s="304"/>
      <c r="K183" s="149"/>
      <c r="L183" s="150"/>
      <c r="M183" s="34"/>
      <c r="N183" s="34"/>
      <c r="O183" s="34"/>
      <c r="T183" s="34"/>
      <c r="U183" s="34"/>
      <c r="V183" s="33"/>
      <c r="AW183" s="34"/>
      <c r="AX183" s="34"/>
    </row>
    <row r="184" spans="8:50" s="35" customFormat="1" hidden="1" x14ac:dyDescent="0.25">
      <c r="H184" s="304"/>
      <c r="K184" s="149"/>
      <c r="L184" s="150"/>
      <c r="M184" s="34"/>
      <c r="N184" s="34"/>
      <c r="O184" s="34"/>
      <c r="T184" s="34"/>
      <c r="U184" s="34"/>
      <c r="V184" s="33"/>
      <c r="AW184" s="34"/>
      <c r="AX184" s="34"/>
    </row>
    <row r="185" spans="8:50" s="35" customFormat="1" hidden="1" x14ac:dyDescent="0.25">
      <c r="H185" s="304"/>
      <c r="K185" s="149"/>
      <c r="L185" s="150"/>
      <c r="M185" s="34"/>
      <c r="N185" s="34"/>
      <c r="O185" s="34"/>
      <c r="T185" s="34"/>
      <c r="U185" s="34"/>
      <c r="V185" s="33"/>
      <c r="AW185" s="34"/>
      <c r="AX185" s="34"/>
    </row>
    <row r="186" spans="8:50" s="35" customFormat="1" hidden="1" x14ac:dyDescent="0.25">
      <c r="H186" s="304"/>
      <c r="K186" s="149"/>
      <c r="L186" s="150"/>
      <c r="M186" s="34"/>
      <c r="N186" s="34"/>
      <c r="O186" s="34"/>
      <c r="T186" s="34"/>
      <c r="U186" s="34"/>
      <c r="V186" s="33"/>
      <c r="AW186" s="34"/>
      <c r="AX186" s="34"/>
    </row>
    <row r="187" spans="8:50" s="35" customFormat="1" hidden="1" x14ac:dyDescent="0.25">
      <c r="H187" s="304"/>
      <c r="K187" s="149"/>
      <c r="L187" s="150"/>
      <c r="M187" s="34"/>
      <c r="N187" s="34"/>
      <c r="O187" s="34"/>
      <c r="T187" s="34"/>
      <c r="U187" s="34"/>
      <c r="V187" s="33"/>
      <c r="AW187" s="34"/>
      <c r="AX187" s="34"/>
    </row>
    <row r="188" spans="8:50" s="35" customFormat="1" hidden="1" x14ac:dyDescent="0.25">
      <c r="H188" s="304"/>
      <c r="K188" s="149"/>
      <c r="L188" s="150"/>
      <c r="M188" s="34"/>
      <c r="N188" s="34"/>
      <c r="O188" s="34"/>
      <c r="T188" s="34"/>
      <c r="U188" s="34"/>
      <c r="V188" s="33"/>
      <c r="AW188" s="34"/>
      <c r="AX188" s="34"/>
    </row>
    <row r="189" spans="8:50" s="35" customFormat="1" hidden="1" x14ac:dyDescent="0.25">
      <c r="H189" s="304"/>
      <c r="K189" s="149"/>
      <c r="L189" s="150"/>
      <c r="M189" s="34"/>
      <c r="N189" s="34"/>
      <c r="O189" s="34"/>
      <c r="T189" s="34"/>
      <c r="U189" s="34"/>
      <c r="V189" s="33"/>
      <c r="AW189" s="34"/>
      <c r="AX189" s="34"/>
    </row>
    <row r="190" spans="8:50" s="35" customFormat="1" hidden="1" x14ac:dyDescent="0.25">
      <c r="H190" s="304"/>
      <c r="K190" s="149"/>
      <c r="L190" s="150"/>
      <c r="M190" s="34"/>
      <c r="N190" s="34"/>
      <c r="O190" s="34"/>
      <c r="T190" s="34"/>
      <c r="U190" s="34"/>
      <c r="V190" s="33"/>
      <c r="AW190" s="34"/>
      <c r="AX190" s="34"/>
    </row>
    <row r="191" spans="8:50" s="35" customFormat="1" hidden="1" x14ac:dyDescent="0.25">
      <c r="H191" s="304"/>
      <c r="K191" s="149"/>
      <c r="L191" s="150"/>
      <c r="M191" s="34"/>
      <c r="N191" s="34"/>
      <c r="O191" s="34"/>
      <c r="T191" s="34"/>
      <c r="U191" s="34"/>
      <c r="V191" s="33"/>
      <c r="AW191" s="34"/>
      <c r="AX191" s="34"/>
    </row>
    <row r="192" spans="8:50" s="35" customFormat="1" hidden="1" x14ac:dyDescent="0.25">
      <c r="H192" s="304"/>
      <c r="K192" s="149"/>
      <c r="L192" s="150"/>
      <c r="M192" s="34"/>
      <c r="N192" s="34"/>
      <c r="O192" s="34"/>
      <c r="T192" s="34"/>
      <c r="U192" s="34"/>
      <c r="V192" s="33"/>
      <c r="AW192" s="34"/>
      <c r="AX192" s="34"/>
    </row>
    <row r="193" spans="8:50" s="35" customFormat="1" hidden="1" x14ac:dyDescent="0.25">
      <c r="H193" s="304"/>
      <c r="K193" s="149"/>
      <c r="L193" s="150"/>
      <c r="M193" s="34"/>
      <c r="N193" s="34"/>
      <c r="O193" s="34"/>
      <c r="T193" s="34"/>
      <c r="U193" s="34"/>
      <c r="V193" s="33"/>
      <c r="AW193" s="34"/>
      <c r="AX193" s="34"/>
    </row>
    <row r="194" spans="8:50" s="35" customFormat="1" hidden="1" x14ac:dyDescent="0.25">
      <c r="H194" s="304"/>
      <c r="K194" s="149"/>
      <c r="L194" s="150"/>
      <c r="M194" s="34"/>
      <c r="N194" s="34"/>
      <c r="O194" s="34"/>
      <c r="T194" s="34"/>
      <c r="U194" s="34"/>
      <c r="V194" s="33"/>
      <c r="AW194" s="34"/>
      <c r="AX194" s="34"/>
    </row>
    <row r="195" spans="8:50" s="35" customFormat="1" hidden="1" x14ac:dyDescent="0.25">
      <c r="H195" s="304"/>
      <c r="K195" s="149"/>
      <c r="L195" s="150"/>
      <c r="M195" s="34"/>
      <c r="N195" s="34"/>
      <c r="O195" s="34"/>
      <c r="T195" s="34"/>
      <c r="U195" s="34"/>
      <c r="V195" s="33"/>
      <c r="AW195" s="34"/>
      <c r="AX195" s="34"/>
    </row>
    <row r="196" spans="8:50" s="35" customFormat="1" hidden="1" x14ac:dyDescent="0.25">
      <c r="H196" s="304"/>
      <c r="K196" s="149"/>
      <c r="L196" s="150"/>
      <c r="M196" s="34"/>
      <c r="N196" s="34"/>
      <c r="O196" s="34"/>
      <c r="T196" s="34"/>
      <c r="U196" s="34"/>
      <c r="V196" s="33"/>
      <c r="AW196" s="34"/>
      <c r="AX196" s="34"/>
    </row>
    <row r="197" spans="8:50" s="35" customFormat="1" hidden="1" x14ac:dyDescent="0.25">
      <c r="H197" s="304"/>
      <c r="K197" s="149"/>
      <c r="L197" s="150"/>
      <c r="M197" s="34"/>
      <c r="N197" s="34"/>
      <c r="O197" s="34"/>
      <c r="T197" s="34"/>
      <c r="U197" s="34"/>
      <c r="V197" s="33"/>
      <c r="AW197" s="34"/>
      <c r="AX197" s="34"/>
    </row>
    <row r="198" spans="8:50" s="35" customFormat="1" hidden="1" x14ac:dyDescent="0.25">
      <c r="H198" s="304"/>
      <c r="K198" s="149"/>
      <c r="L198" s="150"/>
      <c r="M198" s="34"/>
      <c r="N198" s="34"/>
      <c r="O198" s="34"/>
      <c r="T198" s="34"/>
      <c r="U198" s="34"/>
      <c r="V198" s="33"/>
      <c r="AW198" s="34"/>
      <c r="AX198" s="34"/>
    </row>
    <row r="199" spans="8:50" s="35" customFormat="1" hidden="1" x14ac:dyDescent="0.25">
      <c r="H199" s="304"/>
      <c r="K199" s="149"/>
      <c r="L199" s="150"/>
      <c r="M199" s="34"/>
      <c r="N199" s="34"/>
      <c r="O199" s="34"/>
      <c r="T199" s="34"/>
      <c r="U199" s="34"/>
      <c r="V199" s="33"/>
      <c r="AW199" s="34"/>
      <c r="AX199" s="34"/>
    </row>
    <row r="200" spans="8:50" s="35" customFormat="1" hidden="1" x14ac:dyDescent="0.25">
      <c r="H200" s="304"/>
      <c r="K200" s="149"/>
      <c r="L200" s="150"/>
      <c r="M200" s="34"/>
      <c r="N200" s="34"/>
      <c r="O200" s="34"/>
      <c r="T200" s="34"/>
      <c r="U200" s="34"/>
      <c r="V200" s="33"/>
      <c r="AW200" s="34"/>
      <c r="AX200" s="34"/>
    </row>
    <row r="201" spans="8:50" s="35" customFormat="1" hidden="1" x14ac:dyDescent="0.25">
      <c r="H201" s="304"/>
      <c r="K201" s="149"/>
      <c r="L201" s="150"/>
      <c r="M201" s="34"/>
      <c r="N201" s="34"/>
      <c r="O201" s="34"/>
      <c r="T201" s="34"/>
      <c r="U201" s="34"/>
      <c r="V201" s="33"/>
      <c r="AW201" s="34"/>
      <c r="AX201" s="34"/>
    </row>
    <row r="202" spans="8:50" s="35" customFormat="1" hidden="1" x14ac:dyDescent="0.25">
      <c r="H202" s="304"/>
      <c r="K202" s="149"/>
      <c r="L202" s="150"/>
      <c r="M202" s="34"/>
      <c r="N202" s="34"/>
      <c r="O202" s="34"/>
      <c r="T202" s="34"/>
      <c r="U202" s="34"/>
      <c r="V202" s="33"/>
      <c r="AW202" s="34"/>
      <c r="AX202" s="34"/>
    </row>
    <row r="203" spans="8:50" s="35" customFormat="1" hidden="1" x14ac:dyDescent="0.25">
      <c r="H203" s="304"/>
      <c r="K203" s="149"/>
      <c r="L203" s="150"/>
      <c r="M203" s="34"/>
      <c r="N203" s="34"/>
      <c r="O203" s="34"/>
      <c r="T203" s="34"/>
      <c r="U203" s="34"/>
      <c r="V203" s="33"/>
      <c r="AW203" s="34"/>
      <c r="AX203" s="34"/>
    </row>
    <row r="204" spans="8:50" s="35" customFormat="1" hidden="1" x14ac:dyDescent="0.25">
      <c r="H204" s="304"/>
      <c r="K204" s="149"/>
      <c r="L204" s="150"/>
      <c r="M204" s="34"/>
      <c r="N204" s="34"/>
      <c r="O204" s="34"/>
      <c r="T204" s="34"/>
      <c r="U204" s="34"/>
      <c r="V204" s="33"/>
      <c r="AW204" s="34"/>
      <c r="AX204" s="34"/>
    </row>
    <row r="205" spans="8:50" s="35" customFormat="1" hidden="1" x14ac:dyDescent="0.25">
      <c r="H205" s="304"/>
      <c r="K205" s="149"/>
      <c r="L205" s="150"/>
      <c r="M205" s="34"/>
      <c r="N205" s="34"/>
      <c r="O205" s="34"/>
      <c r="T205" s="34"/>
      <c r="U205" s="34"/>
      <c r="V205" s="33"/>
      <c r="AW205" s="34"/>
      <c r="AX205" s="34"/>
    </row>
    <row r="206" spans="8:50" s="35" customFormat="1" hidden="1" x14ac:dyDescent="0.25">
      <c r="H206" s="304"/>
      <c r="K206" s="149"/>
      <c r="L206" s="150"/>
      <c r="M206" s="34"/>
      <c r="N206" s="34"/>
      <c r="O206" s="34"/>
      <c r="T206" s="34"/>
      <c r="U206" s="34"/>
      <c r="V206" s="33"/>
      <c r="AW206" s="34"/>
      <c r="AX206" s="34"/>
    </row>
    <row r="207" spans="8:50" s="35" customFormat="1" hidden="1" x14ac:dyDescent="0.25">
      <c r="H207" s="304"/>
      <c r="K207" s="149"/>
      <c r="L207" s="150"/>
      <c r="M207" s="34"/>
      <c r="N207" s="34"/>
      <c r="O207" s="34"/>
      <c r="T207" s="34"/>
      <c r="U207" s="34"/>
      <c r="V207" s="33"/>
      <c r="AW207" s="34"/>
      <c r="AX207" s="34"/>
    </row>
    <row r="208" spans="8:50" s="35" customFormat="1" hidden="1" x14ac:dyDescent="0.25">
      <c r="H208" s="304"/>
      <c r="K208" s="149"/>
      <c r="L208" s="150"/>
      <c r="M208" s="34"/>
      <c r="N208" s="34"/>
      <c r="O208" s="34"/>
      <c r="T208" s="34"/>
      <c r="U208" s="34"/>
      <c r="V208" s="33"/>
      <c r="AW208" s="34"/>
      <c r="AX208" s="34"/>
    </row>
    <row r="209" spans="8:50" s="35" customFormat="1" hidden="1" x14ac:dyDescent="0.25">
      <c r="H209" s="304"/>
      <c r="K209" s="149"/>
      <c r="L209" s="150"/>
      <c r="M209" s="34"/>
      <c r="N209" s="34"/>
      <c r="O209" s="34"/>
      <c r="T209" s="34"/>
      <c r="U209" s="34"/>
      <c r="V209" s="33"/>
      <c r="AW209" s="34"/>
      <c r="AX209" s="34"/>
    </row>
    <row r="210" spans="8:50" s="35" customFormat="1" hidden="1" x14ac:dyDescent="0.25">
      <c r="H210" s="304"/>
      <c r="K210" s="149"/>
      <c r="L210" s="150"/>
      <c r="M210" s="34"/>
      <c r="N210" s="34"/>
      <c r="O210" s="34"/>
      <c r="T210" s="34"/>
      <c r="U210" s="34"/>
      <c r="V210" s="33"/>
      <c r="AW210" s="34"/>
      <c r="AX210" s="34"/>
    </row>
    <row r="211" spans="8:50" s="35" customFormat="1" hidden="1" x14ac:dyDescent="0.25">
      <c r="H211" s="304"/>
      <c r="K211" s="149"/>
      <c r="L211" s="150"/>
      <c r="M211" s="34"/>
      <c r="N211" s="34"/>
      <c r="O211" s="34"/>
      <c r="T211" s="34"/>
      <c r="U211" s="34"/>
      <c r="V211" s="33"/>
      <c r="AW211" s="34"/>
      <c r="AX211" s="34"/>
    </row>
    <row r="212" spans="8:50" s="35" customFormat="1" hidden="1" x14ac:dyDescent="0.25">
      <c r="H212" s="304"/>
      <c r="K212" s="149"/>
      <c r="L212" s="150"/>
      <c r="M212" s="34"/>
      <c r="N212" s="34"/>
      <c r="O212" s="34"/>
      <c r="T212" s="34"/>
      <c r="U212" s="34"/>
      <c r="V212" s="33"/>
      <c r="AW212" s="34"/>
      <c r="AX212" s="34"/>
    </row>
    <row r="213" spans="8:50" s="35" customFormat="1" hidden="1" x14ac:dyDescent="0.25">
      <c r="H213" s="304"/>
      <c r="K213" s="149"/>
      <c r="L213" s="150"/>
      <c r="M213" s="34"/>
      <c r="N213" s="34"/>
      <c r="O213" s="34"/>
      <c r="T213" s="34"/>
      <c r="U213" s="34"/>
      <c r="V213" s="33"/>
      <c r="AW213" s="34"/>
      <c r="AX213" s="34"/>
    </row>
    <row r="214" spans="8:50" s="35" customFormat="1" hidden="1" x14ac:dyDescent="0.25">
      <c r="H214" s="304"/>
      <c r="K214" s="149"/>
      <c r="L214" s="150"/>
      <c r="M214" s="34"/>
      <c r="N214" s="34"/>
      <c r="O214" s="34"/>
      <c r="T214" s="34"/>
      <c r="U214" s="34"/>
      <c r="V214" s="33"/>
      <c r="AW214" s="34"/>
      <c r="AX214" s="34"/>
    </row>
    <row r="215" spans="8:50" s="35" customFormat="1" hidden="1" x14ac:dyDescent="0.25">
      <c r="H215" s="304"/>
      <c r="K215" s="149"/>
      <c r="L215" s="150"/>
      <c r="M215" s="34"/>
      <c r="N215" s="34"/>
      <c r="O215" s="34"/>
      <c r="T215" s="34"/>
      <c r="U215" s="34"/>
      <c r="V215" s="33"/>
      <c r="AW215" s="34"/>
      <c r="AX215" s="34"/>
    </row>
    <row r="216" spans="8:50" s="35" customFormat="1" hidden="1" x14ac:dyDescent="0.25">
      <c r="H216" s="304"/>
      <c r="K216" s="149"/>
      <c r="L216" s="150"/>
      <c r="M216" s="34"/>
      <c r="N216" s="34"/>
      <c r="O216" s="34"/>
      <c r="T216" s="34"/>
      <c r="U216" s="34"/>
      <c r="V216" s="33"/>
      <c r="AW216" s="34"/>
      <c r="AX216" s="34"/>
    </row>
    <row r="217" spans="8:50" s="35" customFormat="1" hidden="1" x14ac:dyDescent="0.25">
      <c r="H217" s="304"/>
      <c r="K217" s="149"/>
      <c r="L217" s="150"/>
      <c r="M217" s="34"/>
      <c r="N217" s="34"/>
      <c r="O217" s="34"/>
      <c r="T217" s="34"/>
      <c r="U217" s="34"/>
      <c r="V217" s="33"/>
      <c r="AW217" s="34"/>
      <c r="AX217" s="34"/>
    </row>
    <row r="218" spans="8:50" s="35" customFormat="1" hidden="1" x14ac:dyDescent="0.25">
      <c r="H218" s="304"/>
      <c r="K218" s="149"/>
      <c r="L218" s="150"/>
      <c r="M218" s="34"/>
      <c r="N218" s="34"/>
      <c r="O218" s="34"/>
      <c r="T218" s="34"/>
      <c r="U218" s="34"/>
      <c r="V218" s="33"/>
      <c r="AW218" s="34"/>
      <c r="AX218" s="34"/>
    </row>
    <row r="219" spans="8:50" s="35" customFormat="1" hidden="1" x14ac:dyDescent="0.25">
      <c r="H219" s="304"/>
      <c r="K219" s="149"/>
      <c r="L219" s="150"/>
      <c r="M219" s="34"/>
      <c r="N219" s="34"/>
      <c r="O219" s="34"/>
      <c r="T219" s="34"/>
      <c r="U219" s="34"/>
      <c r="V219" s="33"/>
      <c r="AW219" s="34"/>
      <c r="AX219" s="34"/>
    </row>
    <row r="220" spans="8:50" s="35" customFormat="1" hidden="1" x14ac:dyDescent="0.25">
      <c r="H220" s="304"/>
      <c r="K220" s="149"/>
      <c r="L220" s="150"/>
      <c r="M220" s="34"/>
      <c r="N220" s="34"/>
      <c r="O220" s="34"/>
      <c r="T220" s="34"/>
      <c r="U220" s="34"/>
      <c r="V220" s="33"/>
      <c r="AW220" s="34"/>
      <c r="AX220" s="34"/>
    </row>
    <row r="221" spans="8:50" s="35" customFormat="1" hidden="1" x14ac:dyDescent="0.25">
      <c r="H221" s="304"/>
      <c r="K221" s="149"/>
      <c r="L221" s="150"/>
      <c r="M221" s="34"/>
      <c r="N221" s="34"/>
      <c r="O221" s="34"/>
      <c r="T221" s="34"/>
      <c r="U221" s="34"/>
      <c r="V221" s="33"/>
      <c r="AW221" s="34"/>
      <c r="AX221" s="34"/>
    </row>
    <row r="222" spans="8:50" s="35" customFormat="1" hidden="1" x14ac:dyDescent="0.25">
      <c r="H222" s="304"/>
      <c r="K222" s="149"/>
      <c r="L222" s="150"/>
      <c r="M222" s="34"/>
      <c r="N222" s="34"/>
      <c r="O222" s="34"/>
      <c r="T222" s="34"/>
      <c r="U222" s="34"/>
      <c r="V222" s="33"/>
      <c r="AW222" s="34"/>
      <c r="AX222" s="34"/>
    </row>
    <row r="223" spans="8:50" s="35" customFormat="1" hidden="1" x14ac:dyDescent="0.25">
      <c r="H223" s="304"/>
      <c r="K223" s="149"/>
      <c r="L223" s="150"/>
      <c r="M223" s="34"/>
      <c r="N223" s="34"/>
      <c r="O223" s="34"/>
      <c r="T223" s="34"/>
      <c r="U223" s="34"/>
      <c r="V223" s="33"/>
      <c r="AW223" s="34"/>
      <c r="AX223" s="34"/>
    </row>
    <row r="224" spans="8:50" s="35" customFormat="1" hidden="1" x14ac:dyDescent="0.25">
      <c r="H224" s="304"/>
      <c r="K224" s="149"/>
      <c r="L224" s="150"/>
      <c r="M224" s="34"/>
      <c r="N224" s="34"/>
      <c r="O224" s="34"/>
      <c r="T224" s="34"/>
      <c r="U224" s="34"/>
      <c r="V224" s="33"/>
      <c r="AW224" s="34"/>
      <c r="AX224" s="34"/>
    </row>
    <row r="225" spans="8:50" s="35" customFormat="1" hidden="1" x14ac:dyDescent="0.25">
      <c r="H225" s="304"/>
      <c r="K225" s="149"/>
      <c r="L225" s="150"/>
      <c r="M225" s="34"/>
      <c r="N225" s="34"/>
      <c r="O225" s="34"/>
      <c r="T225" s="34"/>
      <c r="U225" s="34"/>
      <c r="V225" s="33"/>
      <c r="AW225" s="34"/>
      <c r="AX225" s="34"/>
    </row>
    <row r="226" spans="8:50" s="35" customFormat="1" hidden="1" x14ac:dyDescent="0.25">
      <c r="H226" s="304"/>
      <c r="K226" s="149"/>
      <c r="L226" s="150"/>
      <c r="M226" s="34"/>
      <c r="N226" s="34"/>
      <c r="O226" s="34"/>
      <c r="T226" s="34"/>
      <c r="U226" s="34"/>
      <c r="V226" s="33"/>
      <c r="AW226" s="34"/>
      <c r="AX226" s="34"/>
    </row>
    <row r="227" spans="8:50" s="35" customFormat="1" hidden="1" x14ac:dyDescent="0.25">
      <c r="H227" s="304"/>
      <c r="K227" s="149"/>
      <c r="L227" s="150"/>
      <c r="M227" s="34"/>
      <c r="N227" s="34"/>
      <c r="O227" s="34"/>
      <c r="T227" s="34"/>
      <c r="U227" s="34"/>
      <c r="V227" s="33"/>
      <c r="AW227" s="34"/>
      <c r="AX227" s="34"/>
    </row>
    <row r="228" spans="8:50" s="35" customFormat="1" hidden="1" x14ac:dyDescent="0.25">
      <c r="H228" s="304"/>
      <c r="K228" s="149"/>
      <c r="L228" s="150"/>
      <c r="M228" s="34"/>
      <c r="N228" s="34"/>
      <c r="O228" s="34"/>
      <c r="T228" s="34"/>
      <c r="U228" s="34"/>
      <c r="V228" s="33"/>
      <c r="AW228" s="34"/>
      <c r="AX228" s="34"/>
    </row>
    <row r="229" spans="8:50" s="35" customFormat="1" hidden="1" x14ac:dyDescent="0.25">
      <c r="H229" s="304"/>
      <c r="K229" s="149"/>
      <c r="L229" s="150"/>
      <c r="M229" s="34"/>
      <c r="N229" s="34"/>
      <c r="O229" s="34"/>
      <c r="T229" s="34"/>
      <c r="U229" s="34"/>
      <c r="V229" s="33"/>
      <c r="AW229" s="34"/>
      <c r="AX229" s="34"/>
    </row>
    <row r="230" spans="8:50" s="35" customFormat="1" hidden="1" x14ac:dyDescent="0.25">
      <c r="H230" s="304"/>
      <c r="K230" s="149"/>
      <c r="L230" s="150"/>
      <c r="M230" s="34"/>
      <c r="N230" s="34"/>
      <c r="O230" s="34"/>
      <c r="T230" s="34"/>
      <c r="U230" s="34"/>
      <c r="V230" s="33"/>
      <c r="AW230" s="34"/>
      <c r="AX230" s="34"/>
    </row>
    <row r="231" spans="8:50" s="35" customFormat="1" hidden="1" x14ac:dyDescent="0.25">
      <c r="H231" s="304"/>
      <c r="K231" s="149"/>
      <c r="L231" s="150"/>
      <c r="M231" s="34"/>
      <c r="N231" s="34"/>
      <c r="O231" s="34"/>
      <c r="T231" s="34"/>
      <c r="U231" s="34"/>
      <c r="V231" s="33"/>
      <c r="AW231" s="34"/>
      <c r="AX231" s="34"/>
    </row>
    <row r="232" spans="8:50" s="35" customFormat="1" hidden="1" x14ac:dyDescent="0.25">
      <c r="H232" s="304"/>
      <c r="K232" s="149"/>
      <c r="L232" s="150"/>
      <c r="M232" s="34"/>
      <c r="N232" s="34"/>
      <c r="O232" s="34"/>
      <c r="T232" s="34"/>
      <c r="U232" s="34"/>
      <c r="V232" s="33"/>
      <c r="AW232" s="34"/>
      <c r="AX232" s="34"/>
    </row>
    <row r="233" spans="8:50" s="35" customFormat="1" hidden="1" x14ac:dyDescent="0.25">
      <c r="H233" s="304"/>
      <c r="K233" s="149"/>
      <c r="L233" s="150"/>
      <c r="M233" s="34"/>
      <c r="N233" s="34"/>
      <c r="O233" s="34"/>
      <c r="T233" s="34"/>
      <c r="U233" s="34"/>
      <c r="V233" s="33"/>
      <c r="AW233" s="34"/>
      <c r="AX233" s="34"/>
    </row>
    <row r="234" spans="8:50" s="35" customFormat="1" hidden="1" x14ac:dyDescent="0.25">
      <c r="H234" s="304"/>
      <c r="K234" s="149"/>
      <c r="L234" s="150"/>
      <c r="M234" s="34"/>
      <c r="N234" s="34"/>
      <c r="O234" s="34"/>
      <c r="T234" s="34"/>
      <c r="U234" s="34"/>
      <c r="V234" s="33"/>
      <c r="AW234" s="34"/>
      <c r="AX234" s="34"/>
    </row>
    <row r="235" spans="8:50" s="35" customFormat="1" hidden="1" x14ac:dyDescent="0.25">
      <c r="H235" s="304"/>
      <c r="K235" s="149"/>
      <c r="L235" s="150"/>
      <c r="M235" s="34"/>
      <c r="N235" s="34"/>
      <c r="O235" s="34"/>
      <c r="T235" s="34"/>
      <c r="U235" s="34"/>
      <c r="V235" s="33"/>
      <c r="AW235" s="34"/>
      <c r="AX235" s="34"/>
    </row>
    <row r="236" spans="8:50" s="35" customFormat="1" hidden="1" x14ac:dyDescent="0.25">
      <c r="H236" s="304"/>
      <c r="K236" s="149"/>
      <c r="L236" s="150"/>
      <c r="M236" s="34"/>
      <c r="N236" s="34"/>
      <c r="O236" s="34"/>
      <c r="T236" s="34"/>
      <c r="U236" s="34"/>
      <c r="V236" s="33"/>
      <c r="AW236" s="34"/>
      <c r="AX236" s="34"/>
    </row>
    <row r="237" spans="8:50" s="35" customFormat="1" hidden="1" x14ac:dyDescent="0.25">
      <c r="H237" s="304"/>
      <c r="K237" s="149"/>
      <c r="L237" s="150"/>
      <c r="M237" s="34"/>
      <c r="N237" s="34"/>
      <c r="O237" s="34"/>
      <c r="T237" s="34"/>
      <c r="U237" s="34"/>
      <c r="V237" s="33"/>
      <c r="AW237" s="34"/>
      <c r="AX237" s="34"/>
    </row>
    <row r="238" spans="8:50" s="35" customFormat="1" hidden="1" x14ac:dyDescent="0.25">
      <c r="H238" s="304"/>
      <c r="K238" s="149"/>
      <c r="L238" s="150"/>
      <c r="M238" s="34"/>
      <c r="N238" s="34"/>
      <c r="O238" s="34"/>
      <c r="T238" s="34"/>
      <c r="U238" s="34"/>
      <c r="V238" s="33"/>
      <c r="AW238" s="34"/>
      <c r="AX238" s="34"/>
    </row>
    <row r="239" spans="8:50" s="35" customFormat="1" hidden="1" x14ac:dyDescent="0.25">
      <c r="H239" s="304"/>
      <c r="K239" s="149"/>
      <c r="L239" s="150"/>
      <c r="M239" s="34"/>
      <c r="N239" s="34"/>
      <c r="O239" s="34"/>
      <c r="T239" s="34"/>
      <c r="U239" s="34"/>
      <c r="V239" s="33"/>
      <c r="AW239" s="34"/>
      <c r="AX239" s="34"/>
    </row>
    <row r="240" spans="8:50" s="35" customFormat="1" hidden="1" x14ac:dyDescent="0.25">
      <c r="H240" s="304"/>
      <c r="K240" s="149"/>
      <c r="L240" s="150"/>
      <c r="M240" s="34"/>
      <c r="N240" s="34"/>
      <c r="O240" s="34"/>
      <c r="T240" s="34"/>
      <c r="U240" s="34"/>
      <c r="V240" s="33"/>
      <c r="AW240" s="34"/>
      <c r="AX240" s="34"/>
    </row>
    <row r="241" spans="8:50" s="35" customFormat="1" hidden="1" x14ac:dyDescent="0.25">
      <c r="H241" s="304"/>
      <c r="K241" s="149"/>
      <c r="L241" s="150"/>
      <c r="M241" s="34"/>
      <c r="N241" s="34"/>
      <c r="O241" s="34"/>
      <c r="T241" s="34"/>
      <c r="U241" s="34"/>
      <c r="V241" s="33"/>
      <c r="AW241" s="34"/>
      <c r="AX241" s="34"/>
    </row>
    <row r="242" spans="8:50" s="35" customFormat="1" hidden="1" x14ac:dyDescent="0.25">
      <c r="H242" s="304"/>
      <c r="K242" s="149"/>
      <c r="L242" s="150"/>
      <c r="M242" s="34"/>
      <c r="N242" s="34"/>
      <c r="O242" s="34"/>
      <c r="T242" s="34"/>
      <c r="U242" s="34"/>
      <c r="V242" s="33"/>
      <c r="AW242" s="34"/>
      <c r="AX242" s="34"/>
    </row>
    <row r="243" spans="8:50" s="35" customFormat="1" hidden="1" x14ac:dyDescent="0.25">
      <c r="H243" s="304"/>
      <c r="K243" s="149"/>
      <c r="L243" s="150"/>
      <c r="M243" s="34"/>
      <c r="N243" s="34"/>
      <c r="O243" s="34"/>
      <c r="T243" s="34"/>
      <c r="U243" s="34"/>
      <c r="V243" s="33"/>
      <c r="AW243" s="34"/>
      <c r="AX243" s="34"/>
    </row>
    <row r="244" spans="8:50" s="35" customFormat="1" hidden="1" x14ac:dyDescent="0.25">
      <c r="H244" s="304"/>
      <c r="K244" s="149"/>
      <c r="L244" s="150"/>
      <c r="M244" s="34"/>
      <c r="N244" s="34"/>
      <c r="O244" s="34"/>
      <c r="T244" s="34"/>
      <c r="U244" s="34"/>
      <c r="V244" s="33"/>
      <c r="AW244" s="34"/>
      <c r="AX244" s="34"/>
    </row>
    <row r="245" spans="8:50" s="35" customFormat="1" hidden="1" x14ac:dyDescent="0.25">
      <c r="H245" s="304"/>
      <c r="K245" s="149"/>
      <c r="L245" s="150"/>
      <c r="M245" s="34"/>
      <c r="N245" s="34"/>
      <c r="O245" s="34"/>
      <c r="T245" s="34"/>
      <c r="U245" s="34"/>
      <c r="V245" s="33"/>
      <c r="AW245" s="34"/>
      <c r="AX245" s="34"/>
    </row>
    <row r="246" spans="8:50" s="35" customFormat="1" hidden="1" x14ac:dyDescent="0.25">
      <c r="H246" s="304"/>
      <c r="K246" s="149"/>
      <c r="L246" s="150"/>
      <c r="M246" s="34"/>
      <c r="N246" s="34"/>
      <c r="O246" s="34"/>
      <c r="T246" s="34"/>
      <c r="U246" s="34"/>
      <c r="V246" s="33"/>
      <c r="AW246" s="34"/>
      <c r="AX246" s="34"/>
    </row>
    <row r="247" spans="8:50" s="35" customFormat="1" hidden="1" x14ac:dyDescent="0.25">
      <c r="H247" s="304"/>
      <c r="K247" s="149"/>
      <c r="L247" s="150"/>
      <c r="M247" s="34"/>
      <c r="N247" s="34"/>
      <c r="O247" s="34"/>
      <c r="T247" s="34"/>
      <c r="U247" s="34"/>
      <c r="V247" s="33"/>
      <c r="AW247" s="34"/>
      <c r="AX247" s="34"/>
    </row>
    <row r="248" spans="8:50" s="35" customFormat="1" hidden="1" x14ac:dyDescent="0.25">
      <c r="H248" s="304"/>
      <c r="K248" s="149"/>
      <c r="L248" s="150"/>
      <c r="M248" s="34"/>
      <c r="N248" s="34"/>
      <c r="O248" s="34"/>
      <c r="T248" s="34"/>
      <c r="U248" s="34"/>
      <c r="V248" s="33"/>
      <c r="AW248" s="34"/>
      <c r="AX248" s="34"/>
    </row>
    <row r="249" spans="8:50" s="35" customFormat="1" hidden="1" x14ac:dyDescent="0.25">
      <c r="H249" s="304"/>
      <c r="K249" s="149"/>
      <c r="L249" s="150"/>
      <c r="M249" s="34"/>
      <c r="N249" s="34"/>
      <c r="O249" s="34"/>
      <c r="T249" s="34"/>
      <c r="U249" s="34"/>
      <c r="V249" s="33"/>
      <c r="AW249" s="34"/>
      <c r="AX249" s="34"/>
    </row>
    <row r="250" spans="8:50" s="35" customFormat="1" hidden="1" x14ac:dyDescent="0.25">
      <c r="H250" s="304"/>
      <c r="K250" s="149"/>
      <c r="L250" s="150"/>
      <c r="M250" s="34"/>
      <c r="N250" s="34"/>
      <c r="O250" s="34"/>
      <c r="T250" s="34"/>
      <c r="U250" s="34"/>
      <c r="V250" s="33"/>
      <c r="AW250" s="34"/>
      <c r="AX250" s="34"/>
    </row>
    <row r="251" spans="8:50" s="35" customFormat="1" hidden="1" x14ac:dyDescent="0.25">
      <c r="H251" s="304"/>
      <c r="K251" s="149"/>
      <c r="L251" s="150"/>
      <c r="M251" s="34"/>
      <c r="N251" s="34"/>
      <c r="O251" s="34"/>
      <c r="T251" s="34"/>
      <c r="U251" s="34"/>
      <c r="V251" s="33"/>
      <c r="AW251" s="34"/>
      <c r="AX251" s="34"/>
    </row>
    <row r="252" spans="8:50" s="35" customFormat="1" hidden="1" x14ac:dyDescent="0.25">
      <c r="H252" s="304"/>
      <c r="K252" s="149"/>
      <c r="L252" s="150"/>
      <c r="M252" s="34"/>
      <c r="N252" s="34"/>
      <c r="O252" s="34"/>
      <c r="T252" s="34"/>
      <c r="U252" s="34"/>
      <c r="V252" s="33"/>
      <c r="AW252" s="34"/>
      <c r="AX252" s="34"/>
    </row>
    <row r="253" spans="8:50" s="35" customFormat="1" hidden="1" x14ac:dyDescent="0.25">
      <c r="H253" s="304"/>
      <c r="K253" s="149"/>
      <c r="L253" s="150"/>
      <c r="M253" s="34"/>
      <c r="N253" s="34"/>
      <c r="O253" s="34"/>
      <c r="T253" s="34"/>
      <c r="U253" s="34"/>
      <c r="V253" s="33"/>
      <c r="AW253" s="34"/>
      <c r="AX253" s="34"/>
    </row>
    <row r="254" spans="8:50" s="35" customFormat="1" hidden="1" x14ac:dyDescent="0.25">
      <c r="H254" s="304"/>
      <c r="K254" s="149"/>
      <c r="L254" s="150"/>
      <c r="M254" s="34"/>
      <c r="N254" s="34"/>
      <c r="O254" s="34"/>
      <c r="T254" s="34"/>
      <c r="U254" s="34"/>
      <c r="V254" s="33"/>
      <c r="AW254" s="34"/>
      <c r="AX254" s="34"/>
    </row>
    <row r="255" spans="8:50" s="35" customFormat="1" hidden="1" x14ac:dyDescent="0.25">
      <c r="H255" s="304"/>
      <c r="K255" s="149"/>
      <c r="L255" s="150"/>
      <c r="M255" s="34"/>
      <c r="N255" s="34"/>
      <c r="O255" s="34"/>
      <c r="T255" s="34"/>
      <c r="U255" s="34"/>
      <c r="V255" s="33"/>
      <c r="AW255" s="34"/>
      <c r="AX255" s="34"/>
    </row>
    <row r="256" spans="8:50" s="35" customFormat="1" hidden="1" x14ac:dyDescent="0.25">
      <c r="H256" s="304"/>
      <c r="K256" s="149"/>
      <c r="L256" s="150"/>
      <c r="M256" s="34"/>
      <c r="N256" s="34"/>
      <c r="O256" s="34"/>
      <c r="T256" s="34"/>
      <c r="U256" s="34"/>
      <c r="V256" s="33"/>
      <c r="AW256" s="34"/>
      <c r="AX256" s="34"/>
    </row>
    <row r="257" spans="8:50" s="35" customFormat="1" hidden="1" x14ac:dyDescent="0.25">
      <c r="H257" s="304"/>
      <c r="K257" s="149"/>
      <c r="L257" s="150"/>
      <c r="M257" s="34"/>
      <c r="N257" s="34"/>
      <c r="O257" s="34"/>
      <c r="T257" s="34"/>
      <c r="U257" s="34"/>
      <c r="V257" s="33"/>
      <c r="AW257" s="34"/>
      <c r="AX257" s="34"/>
    </row>
    <row r="258" spans="8:50" s="35" customFormat="1" hidden="1" x14ac:dyDescent="0.25">
      <c r="H258" s="304"/>
      <c r="K258" s="149"/>
      <c r="L258" s="150"/>
      <c r="M258" s="34"/>
      <c r="N258" s="34"/>
      <c r="O258" s="34"/>
      <c r="T258" s="34"/>
      <c r="U258" s="34"/>
      <c r="V258" s="33"/>
      <c r="AW258" s="34"/>
      <c r="AX258" s="34"/>
    </row>
    <row r="259" spans="8:50" s="35" customFormat="1" hidden="1" x14ac:dyDescent="0.25">
      <c r="H259" s="304"/>
      <c r="K259" s="149"/>
      <c r="L259" s="150"/>
      <c r="M259" s="34"/>
      <c r="N259" s="34"/>
      <c r="O259" s="34"/>
      <c r="T259" s="34"/>
      <c r="U259" s="34"/>
      <c r="V259" s="33"/>
      <c r="AW259" s="34"/>
      <c r="AX259" s="34"/>
    </row>
    <row r="260" spans="8:50" s="35" customFormat="1" hidden="1" x14ac:dyDescent="0.25">
      <c r="H260" s="304"/>
      <c r="K260" s="149"/>
      <c r="L260" s="150"/>
      <c r="M260" s="34"/>
      <c r="N260" s="34"/>
      <c r="O260" s="34"/>
      <c r="T260" s="34"/>
      <c r="U260" s="34"/>
      <c r="V260" s="33"/>
      <c r="AW260" s="34"/>
      <c r="AX260" s="34"/>
    </row>
    <row r="261" spans="8:50" s="35" customFormat="1" hidden="1" x14ac:dyDescent="0.25">
      <c r="H261" s="304"/>
      <c r="K261" s="149"/>
      <c r="L261" s="150"/>
      <c r="M261" s="34"/>
      <c r="N261" s="34"/>
      <c r="O261" s="34"/>
      <c r="T261" s="34"/>
      <c r="U261" s="34"/>
      <c r="V261" s="33"/>
      <c r="AW261" s="34"/>
      <c r="AX261" s="34"/>
    </row>
    <row r="262" spans="8:50" s="35" customFormat="1" hidden="1" x14ac:dyDescent="0.25">
      <c r="H262" s="304"/>
      <c r="K262" s="149"/>
      <c r="L262" s="150"/>
      <c r="M262" s="34"/>
      <c r="N262" s="34"/>
      <c r="O262" s="34"/>
      <c r="T262" s="34"/>
      <c r="U262" s="34"/>
      <c r="V262" s="33"/>
      <c r="AW262" s="34"/>
      <c r="AX262" s="34"/>
    </row>
    <row r="263" spans="8:50" s="35" customFormat="1" hidden="1" x14ac:dyDescent="0.25">
      <c r="H263" s="304"/>
      <c r="K263" s="149"/>
      <c r="L263" s="150"/>
      <c r="M263" s="34"/>
      <c r="N263" s="34"/>
      <c r="O263" s="34"/>
      <c r="T263" s="34"/>
      <c r="U263" s="34"/>
      <c r="V263" s="33"/>
      <c r="AW263" s="34"/>
      <c r="AX263" s="34"/>
    </row>
    <row r="264" spans="8:50" s="35" customFormat="1" hidden="1" x14ac:dyDescent="0.25">
      <c r="H264" s="304"/>
      <c r="K264" s="149"/>
      <c r="L264" s="150"/>
      <c r="M264" s="34"/>
      <c r="N264" s="34"/>
      <c r="O264" s="34"/>
      <c r="T264" s="34"/>
      <c r="U264" s="34"/>
      <c r="V264" s="33"/>
      <c r="AW264" s="34"/>
      <c r="AX264" s="34"/>
    </row>
    <row r="265" spans="8:50" s="35" customFormat="1" hidden="1" x14ac:dyDescent="0.25">
      <c r="H265" s="304"/>
      <c r="K265" s="149"/>
      <c r="L265" s="150"/>
      <c r="M265" s="34"/>
      <c r="N265" s="34"/>
      <c r="O265" s="34"/>
      <c r="T265" s="34"/>
      <c r="U265" s="34"/>
      <c r="V265" s="33"/>
      <c r="AW265" s="34"/>
      <c r="AX265" s="34"/>
    </row>
    <row r="266" spans="8:50" s="35" customFormat="1" hidden="1" x14ac:dyDescent="0.25">
      <c r="H266" s="304"/>
      <c r="K266" s="149"/>
      <c r="L266" s="150"/>
      <c r="M266" s="34"/>
      <c r="N266" s="34"/>
      <c r="O266" s="34"/>
      <c r="T266" s="34"/>
      <c r="U266" s="34"/>
      <c r="V266" s="33"/>
      <c r="AW266" s="34"/>
      <c r="AX266" s="34"/>
    </row>
    <row r="267" spans="8:50" s="35" customFormat="1" hidden="1" x14ac:dyDescent="0.25">
      <c r="H267" s="304"/>
      <c r="K267" s="149"/>
      <c r="L267" s="150"/>
      <c r="M267" s="34"/>
      <c r="N267" s="34"/>
      <c r="O267" s="34"/>
      <c r="T267" s="34"/>
      <c r="U267" s="34"/>
      <c r="V267" s="33"/>
      <c r="AW267" s="34"/>
      <c r="AX267" s="34"/>
    </row>
    <row r="268" spans="8:50" s="35" customFormat="1" hidden="1" x14ac:dyDescent="0.25">
      <c r="H268" s="304"/>
      <c r="K268" s="149"/>
      <c r="L268" s="150"/>
      <c r="M268" s="34"/>
      <c r="N268" s="34"/>
      <c r="O268" s="34"/>
      <c r="T268" s="34"/>
      <c r="U268" s="34"/>
      <c r="V268" s="33"/>
      <c r="AW268" s="34"/>
      <c r="AX268" s="34"/>
    </row>
    <row r="269" spans="8:50" s="35" customFormat="1" hidden="1" x14ac:dyDescent="0.25">
      <c r="H269" s="304"/>
      <c r="K269" s="149"/>
      <c r="L269" s="150"/>
      <c r="M269" s="34"/>
      <c r="N269" s="34"/>
      <c r="O269" s="34"/>
      <c r="T269" s="34"/>
      <c r="U269" s="34"/>
      <c r="V269" s="33"/>
      <c r="AW269" s="34"/>
      <c r="AX269" s="34"/>
    </row>
    <row r="270" spans="8:50" s="35" customFormat="1" hidden="1" x14ac:dyDescent="0.25">
      <c r="H270" s="304"/>
      <c r="K270" s="149"/>
      <c r="L270" s="150"/>
      <c r="M270" s="34"/>
      <c r="N270" s="34"/>
      <c r="O270" s="34"/>
      <c r="T270" s="34"/>
      <c r="U270" s="34"/>
      <c r="V270" s="33"/>
      <c r="AW270" s="34"/>
      <c r="AX270" s="34"/>
    </row>
    <row r="271" spans="8:50" s="35" customFormat="1" hidden="1" x14ac:dyDescent="0.25">
      <c r="H271" s="304"/>
      <c r="K271" s="149"/>
      <c r="L271" s="150"/>
      <c r="M271" s="34"/>
      <c r="N271" s="34"/>
      <c r="O271" s="34"/>
      <c r="T271" s="34"/>
      <c r="U271" s="34"/>
      <c r="V271" s="33"/>
      <c r="AW271" s="34"/>
      <c r="AX271" s="34"/>
    </row>
    <row r="272" spans="8:50" s="35" customFormat="1" hidden="1" x14ac:dyDescent="0.25">
      <c r="H272" s="304"/>
      <c r="K272" s="149"/>
      <c r="L272" s="150"/>
      <c r="M272" s="34"/>
      <c r="N272" s="34"/>
      <c r="O272" s="34"/>
      <c r="T272" s="34"/>
      <c r="U272" s="34"/>
      <c r="V272" s="33"/>
      <c r="AW272" s="34"/>
      <c r="AX272" s="34"/>
    </row>
    <row r="273" spans="8:50" s="35" customFormat="1" hidden="1" x14ac:dyDescent="0.25">
      <c r="H273" s="304"/>
      <c r="K273" s="149"/>
      <c r="L273" s="150"/>
      <c r="M273" s="34"/>
      <c r="N273" s="34"/>
      <c r="O273" s="34"/>
      <c r="T273" s="34"/>
      <c r="U273" s="34"/>
      <c r="V273" s="33"/>
      <c r="AW273" s="34"/>
      <c r="AX273" s="34"/>
    </row>
    <row r="274" spans="8:50" s="35" customFormat="1" hidden="1" x14ac:dyDescent="0.25">
      <c r="H274" s="304"/>
      <c r="K274" s="149"/>
      <c r="L274" s="150"/>
      <c r="M274" s="34"/>
      <c r="N274" s="34"/>
      <c r="O274" s="34"/>
      <c r="T274" s="34"/>
      <c r="U274" s="34"/>
      <c r="V274" s="33"/>
      <c r="AW274" s="34"/>
      <c r="AX274" s="34"/>
    </row>
    <row r="275" spans="8:50" s="35" customFormat="1" hidden="1" x14ac:dyDescent="0.25">
      <c r="H275" s="304"/>
      <c r="K275" s="149"/>
      <c r="L275" s="150"/>
      <c r="M275" s="34"/>
      <c r="N275" s="34"/>
      <c r="O275" s="34"/>
      <c r="T275" s="34"/>
      <c r="U275" s="34"/>
      <c r="V275" s="33"/>
      <c r="AW275" s="34"/>
      <c r="AX275" s="34"/>
    </row>
    <row r="276" spans="8:50" s="35" customFormat="1" hidden="1" x14ac:dyDescent="0.25">
      <c r="H276" s="304"/>
      <c r="K276" s="149"/>
      <c r="L276" s="150"/>
      <c r="M276" s="34"/>
      <c r="N276" s="34"/>
      <c r="O276" s="34"/>
      <c r="T276" s="34"/>
      <c r="U276" s="34"/>
      <c r="V276" s="33"/>
      <c r="AW276" s="34"/>
      <c r="AX276" s="34"/>
    </row>
    <row r="277" spans="8:50" s="35" customFormat="1" hidden="1" x14ac:dyDescent="0.25">
      <c r="H277" s="304"/>
      <c r="K277" s="149"/>
      <c r="L277" s="150"/>
      <c r="M277" s="34"/>
      <c r="N277" s="34"/>
      <c r="O277" s="34"/>
      <c r="T277" s="34"/>
      <c r="U277" s="34"/>
      <c r="V277" s="33"/>
      <c r="AW277" s="34"/>
      <c r="AX277" s="34"/>
    </row>
    <row r="278" spans="8:50" s="35" customFormat="1" hidden="1" x14ac:dyDescent="0.25">
      <c r="H278" s="304"/>
      <c r="K278" s="149"/>
      <c r="L278" s="150"/>
      <c r="M278" s="34"/>
      <c r="N278" s="34"/>
      <c r="O278" s="34"/>
      <c r="T278" s="34"/>
      <c r="U278" s="34"/>
      <c r="V278" s="33"/>
      <c r="AW278" s="34"/>
      <c r="AX278" s="34"/>
    </row>
    <row r="279" spans="8:50" s="35" customFormat="1" hidden="1" x14ac:dyDescent="0.25">
      <c r="H279" s="304"/>
      <c r="K279" s="149"/>
      <c r="L279" s="150"/>
      <c r="M279" s="34"/>
      <c r="N279" s="34"/>
      <c r="O279" s="34"/>
      <c r="T279" s="34"/>
      <c r="U279" s="34"/>
      <c r="V279" s="33"/>
      <c r="AW279" s="34"/>
      <c r="AX279" s="34"/>
    </row>
    <row r="280" spans="8:50" s="35" customFormat="1" hidden="1" x14ac:dyDescent="0.25">
      <c r="H280" s="304"/>
      <c r="K280" s="149"/>
      <c r="L280" s="150"/>
      <c r="M280" s="34"/>
      <c r="N280" s="34"/>
      <c r="O280" s="34"/>
      <c r="T280" s="34"/>
      <c r="U280" s="34"/>
      <c r="V280" s="33"/>
      <c r="AW280" s="34"/>
      <c r="AX280" s="34"/>
    </row>
    <row r="281" spans="8:50" s="35" customFormat="1" hidden="1" x14ac:dyDescent="0.25">
      <c r="H281" s="304"/>
      <c r="K281" s="149"/>
      <c r="L281" s="150"/>
      <c r="M281" s="34"/>
      <c r="N281" s="34"/>
      <c r="O281" s="34"/>
      <c r="T281" s="34"/>
      <c r="U281" s="34"/>
      <c r="V281" s="33"/>
      <c r="AW281" s="34"/>
      <c r="AX281" s="34"/>
    </row>
    <row r="282" spans="8:50" s="35" customFormat="1" hidden="1" x14ac:dyDescent="0.25">
      <c r="H282" s="304"/>
      <c r="K282" s="149"/>
      <c r="L282" s="150"/>
      <c r="M282" s="34"/>
      <c r="N282" s="34"/>
      <c r="O282" s="34"/>
      <c r="T282" s="34"/>
      <c r="U282" s="34"/>
      <c r="V282" s="33"/>
      <c r="AW282" s="34"/>
      <c r="AX282" s="34"/>
    </row>
    <row r="283" spans="8:50" s="35" customFormat="1" hidden="1" x14ac:dyDescent="0.25">
      <c r="H283" s="304"/>
      <c r="K283" s="149"/>
      <c r="L283" s="150"/>
      <c r="M283" s="34"/>
      <c r="N283" s="34"/>
      <c r="O283" s="34"/>
      <c r="T283" s="34"/>
      <c r="U283" s="34"/>
      <c r="V283" s="33"/>
      <c r="AW283" s="34"/>
      <c r="AX283" s="34"/>
    </row>
    <row r="284" spans="8:50" s="35" customFormat="1" hidden="1" x14ac:dyDescent="0.25">
      <c r="H284" s="304"/>
      <c r="K284" s="149"/>
      <c r="L284" s="150"/>
      <c r="M284" s="34"/>
      <c r="N284" s="34"/>
      <c r="O284" s="34"/>
      <c r="T284" s="34"/>
      <c r="U284" s="34"/>
      <c r="V284" s="33"/>
      <c r="AW284" s="34"/>
      <c r="AX284" s="34"/>
    </row>
    <row r="285" spans="8:50" s="35" customFormat="1" hidden="1" x14ac:dyDescent="0.25">
      <c r="H285" s="304"/>
      <c r="K285" s="149"/>
      <c r="L285" s="150"/>
      <c r="M285" s="34"/>
      <c r="N285" s="34"/>
      <c r="O285" s="34"/>
      <c r="T285" s="34"/>
      <c r="U285" s="34"/>
      <c r="V285" s="33"/>
      <c r="AW285" s="34"/>
      <c r="AX285" s="34"/>
    </row>
    <row r="286" spans="8:50" s="35" customFormat="1" hidden="1" x14ac:dyDescent="0.25">
      <c r="H286" s="304"/>
      <c r="K286" s="149"/>
      <c r="L286" s="150"/>
      <c r="M286" s="34"/>
      <c r="N286" s="34"/>
      <c r="O286" s="34"/>
      <c r="T286" s="34"/>
      <c r="U286" s="34"/>
      <c r="V286" s="33"/>
      <c r="AW286" s="34"/>
      <c r="AX286" s="34"/>
    </row>
    <row r="287" spans="8:50" s="35" customFormat="1" hidden="1" x14ac:dyDescent="0.25">
      <c r="H287" s="304"/>
      <c r="K287" s="149"/>
      <c r="L287" s="150"/>
      <c r="M287" s="34"/>
      <c r="N287" s="34"/>
      <c r="O287" s="34"/>
      <c r="T287" s="34"/>
      <c r="U287" s="34"/>
      <c r="V287" s="33"/>
      <c r="AW287" s="34"/>
      <c r="AX287" s="34"/>
    </row>
    <row r="288" spans="8:50" s="35" customFormat="1" hidden="1" x14ac:dyDescent="0.25">
      <c r="H288" s="304"/>
      <c r="K288" s="149"/>
      <c r="L288" s="150"/>
      <c r="M288" s="34"/>
      <c r="N288" s="34"/>
      <c r="O288" s="34"/>
      <c r="T288" s="34"/>
      <c r="U288" s="34"/>
      <c r="V288" s="33"/>
      <c r="AW288" s="34"/>
      <c r="AX288" s="34"/>
    </row>
    <row r="289" spans="8:50" s="35" customFormat="1" hidden="1" x14ac:dyDescent="0.25">
      <c r="H289" s="304"/>
      <c r="K289" s="149"/>
      <c r="L289" s="150"/>
      <c r="M289" s="34"/>
      <c r="N289" s="34"/>
      <c r="O289" s="34"/>
      <c r="T289" s="34"/>
      <c r="U289" s="34"/>
      <c r="V289" s="33"/>
      <c r="AW289" s="34"/>
      <c r="AX289" s="34"/>
    </row>
    <row r="290" spans="8:50" s="35" customFormat="1" hidden="1" x14ac:dyDescent="0.25">
      <c r="H290" s="304"/>
      <c r="K290" s="149"/>
      <c r="L290" s="150"/>
      <c r="M290" s="34"/>
      <c r="N290" s="34"/>
      <c r="O290" s="34"/>
      <c r="T290" s="34"/>
      <c r="U290" s="34"/>
      <c r="V290" s="33"/>
      <c r="AW290" s="34"/>
      <c r="AX290" s="34"/>
    </row>
    <row r="291" spans="8:50" s="35" customFormat="1" hidden="1" x14ac:dyDescent="0.25">
      <c r="H291" s="304"/>
      <c r="K291" s="149"/>
      <c r="L291" s="150"/>
      <c r="M291" s="34"/>
      <c r="N291" s="34"/>
      <c r="O291" s="34"/>
      <c r="T291" s="34"/>
      <c r="U291" s="34"/>
      <c r="V291" s="33"/>
      <c r="AW291" s="34"/>
      <c r="AX291" s="34"/>
    </row>
    <row r="292" spans="8:50" s="35" customFormat="1" hidden="1" x14ac:dyDescent="0.25">
      <c r="H292" s="304"/>
      <c r="K292" s="149"/>
      <c r="L292" s="150"/>
      <c r="M292" s="34"/>
      <c r="N292" s="34"/>
      <c r="O292" s="34"/>
      <c r="T292" s="34"/>
      <c r="U292" s="34"/>
      <c r="V292" s="33"/>
      <c r="AW292" s="34"/>
      <c r="AX292" s="34"/>
    </row>
    <row r="293" spans="8:50" s="35" customFormat="1" hidden="1" x14ac:dyDescent="0.25">
      <c r="H293" s="304"/>
      <c r="K293" s="149"/>
      <c r="L293" s="150"/>
      <c r="M293" s="34"/>
      <c r="N293" s="34"/>
      <c r="O293" s="34"/>
      <c r="T293" s="34"/>
      <c r="U293" s="34"/>
      <c r="V293" s="33"/>
      <c r="AW293" s="34"/>
      <c r="AX293" s="34"/>
    </row>
    <row r="294" spans="8:50" s="35" customFormat="1" hidden="1" x14ac:dyDescent="0.25">
      <c r="H294" s="304"/>
      <c r="K294" s="149"/>
      <c r="L294" s="150"/>
      <c r="M294" s="34"/>
      <c r="N294" s="34"/>
      <c r="O294" s="34"/>
      <c r="T294" s="34"/>
      <c r="U294" s="34"/>
      <c r="V294" s="33"/>
      <c r="AW294" s="34"/>
      <c r="AX294" s="34"/>
    </row>
    <row r="295" spans="8:50" s="35" customFormat="1" hidden="1" x14ac:dyDescent="0.25">
      <c r="H295" s="304"/>
      <c r="K295" s="149"/>
      <c r="L295" s="150"/>
      <c r="M295" s="34"/>
      <c r="N295" s="34"/>
      <c r="O295" s="34"/>
      <c r="T295" s="34"/>
      <c r="U295" s="34"/>
      <c r="V295" s="33"/>
      <c r="AW295" s="34"/>
      <c r="AX295" s="34"/>
    </row>
    <row r="296" spans="8:50" s="35" customFormat="1" hidden="1" x14ac:dyDescent="0.25">
      <c r="H296" s="304"/>
      <c r="K296" s="149"/>
      <c r="L296" s="150"/>
      <c r="M296" s="34"/>
      <c r="N296" s="34"/>
      <c r="O296" s="34"/>
      <c r="T296" s="34"/>
      <c r="U296" s="34"/>
      <c r="V296" s="33"/>
      <c r="AW296" s="34"/>
      <c r="AX296" s="34"/>
    </row>
    <row r="297" spans="8:50" s="35" customFormat="1" hidden="1" x14ac:dyDescent="0.25">
      <c r="H297" s="304"/>
      <c r="K297" s="149"/>
      <c r="L297" s="150"/>
      <c r="M297" s="34"/>
      <c r="N297" s="34"/>
      <c r="O297" s="34"/>
      <c r="T297" s="34"/>
      <c r="U297" s="34"/>
      <c r="V297" s="33"/>
      <c r="AW297" s="34"/>
      <c r="AX297" s="34"/>
    </row>
    <row r="298" spans="8:50" s="35" customFormat="1" hidden="1" x14ac:dyDescent="0.25">
      <c r="H298" s="304"/>
      <c r="K298" s="149"/>
      <c r="L298" s="150"/>
      <c r="M298" s="34"/>
      <c r="N298" s="34"/>
      <c r="O298" s="34"/>
      <c r="T298" s="34"/>
      <c r="U298" s="34"/>
      <c r="V298" s="33"/>
      <c r="AW298" s="34"/>
      <c r="AX298" s="34"/>
    </row>
    <row r="299" spans="8:50" s="35" customFormat="1" hidden="1" x14ac:dyDescent="0.25">
      <c r="H299" s="304"/>
      <c r="K299" s="149"/>
      <c r="L299" s="150"/>
      <c r="M299" s="34"/>
      <c r="N299" s="34"/>
      <c r="O299" s="34"/>
      <c r="T299" s="34"/>
      <c r="U299" s="34"/>
      <c r="V299" s="33"/>
      <c r="AW299" s="34"/>
      <c r="AX299" s="34"/>
    </row>
    <row r="300" spans="8:50" s="35" customFormat="1" hidden="1" x14ac:dyDescent="0.25">
      <c r="H300" s="304"/>
      <c r="K300" s="149"/>
      <c r="L300" s="150"/>
      <c r="M300" s="34"/>
      <c r="N300" s="34"/>
      <c r="O300" s="34"/>
      <c r="T300" s="34"/>
      <c r="U300" s="34"/>
      <c r="V300" s="33"/>
      <c r="AW300" s="34"/>
      <c r="AX300" s="34"/>
    </row>
    <row r="301" spans="8:50" s="35" customFormat="1" hidden="1" x14ac:dyDescent="0.25">
      <c r="H301" s="304"/>
      <c r="K301" s="149"/>
      <c r="L301" s="150"/>
      <c r="M301" s="34"/>
      <c r="N301" s="34"/>
      <c r="O301" s="34"/>
      <c r="T301" s="34"/>
      <c r="U301" s="34"/>
      <c r="V301" s="33"/>
      <c r="AW301" s="34"/>
      <c r="AX301" s="34"/>
    </row>
    <row r="302" spans="8:50" s="35" customFormat="1" hidden="1" x14ac:dyDescent="0.25">
      <c r="H302" s="304"/>
      <c r="K302" s="149"/>
      <c r="L302" s="150"/>
      <c r="M302" s="34"/>
      <c r="N302" s="34"/>
      <c r="O302" s="34"/>
      <c r="T302" s="34"/>
      <c r="U302" s="34"/>
      <c r="V302" s="33"/>
      <c r="AW302" s="34"/>
      <c r="AX302" s="34"/>
    </row>
    <row r="303" spans="8:50" s="35" customFormat="1" hidden="1" x14ac:dyDescent="0.25">
      <c r="H303" s="304"/>
      <c r="K303" s="149"/>
      <c r="L303" s="150"/>
      <c r="M303" s="34"/>
      <c r="N303" s="34"/>
      <c r="O303" s="34"/>
      <c r="T303" s="34"/>
      <c r="U303" s="34"/>
      <c r="V303" s="33"/>
      <c r="AW303" s="34"/>
      <c r="AX303" s="34"/>
    </row>
    <row r="304" spans="8:50" s="35" customFormat="1" hidden="1" x14ac:dyDescent="0.25">
      <c r="H304" s="304"/>
      <c r="K304" s="149"/>
      <c r="L304" s="150"/>
      <c r="M304" s="34"/>
      <c r="N304" s="34"/>
      <c r="O304" s="34"/>
      <c r="T304" s="34"/>
      <c r="U304" s="34"/>
      <c r="V304" s="33"/>
      <c r="AW304" s="34"/>
      <c r="AX304" s="34"/>
    </row>
    <row r="305" spans="8:50" s="35" customFormat="1" hidden="1" x14ac:dyDescent="0.25">
      <c r="H305" s="304"/>
      <c r="K305" s="149"/>
      <c r="L305" s="150"/>
      <c r="M305" s="34"/>
      <c r="N305" s="34"/>
      <c r="O305" s="34"/>
      <c r="T305" s="34"/>
      <c r="U305" s="34"/>
      <c r="V305" s="33"/>
      <c r="AW305" s="34"/>
      <c r="AX305" s="34"/>
    </row>
    <row r="306" spans="8:50" s="35" customFormat="1" hidden="1" x14ac:dyDescent="0.25">
      <c r="H306" s="304"/>
      <c r="K306" s="149"/>
      <c r="L306" s="150"/>
      <c r="M306" s="34"/>
      <c r="N306" s="34"/>
      <c r="O306" s="34"/>
      <c r="T306" s="34"/>
      <c r="U306" s="34"/>
      <c r="V306" s="33"/>
      <c r="AW306" s="34"/>
      <c r="AX306" s="34"/>
    </row>
    <row r="307" spans="8:50" s="35" customFormat="1" hidden="1" x14ac:dyDescent="0.25">
      <c r="H307" s="304"/>
      <c r="K307" s="149"/>
      <c r="L307" s="150"/>
      <c r="M307" s="34"/>
      <c r="N307" s="34"/>
      <c r="O307" s="34"/>
      <c r="T307" s="34"/>
      <c r="U307" s="34"/>
      <c r="V307" s="33"/>
      <c r="AW307" s="34"/>
      <c r="AX307" s="34"/>
    </row>
    <row r="308" spans="8:50" s="35" customFormat="1" hidden="1" x14ac:dyDescent="0.25">
      <c r="H308" s="304"/>
      <c r="K308" s="149"/>
      <c r="L308" s="150"/>
      <c r="M308" s="34"/>
      <c r="N308" s="34"/>
      <c r="O308" s="34"/>
      <c r="T308" s="34"/>
      <c r="U308" s="34"/>
      <c r="V308" s="33"/>
      <c r="AW308" s="34"/>
      <c r="AX308" s="34"/>
    </row>
    <row r="309" spans="8:50" s="35" customFormat="1" hidden="1" x14ac:dyDescent="0.25">
      <c r="H309" s="304"/>
      <c r="K309" s="149"/>
      <c r="L309" s="150"/>
      <c r="M309" s="34"/>
      <c r="N309" s="34"/>
      <c r="O309" s="34"/>
      <c r="T309" s="34"/>
      <c r="U309" s="34"/>
      <c r="V309" s="33"/>
      <c r="AW309" s="34"/>
      <c r="AX309" s="34"/>
    </row>
    <row r="310" spans="8:50" s="35" customFormat="1" hidden="1" x14ac:dyDescent="0.25">
      <c r="H310" s="304"/>
      <c r="K310" s="149"/>
      <c r="L310" s="150"/>
      <c r="M310" s="34"/>
      <c r="N310" s="34"/>
      <c r="O310" s="34"/>
      <c r="T310" s="34"/>
      <c r="U310" s="34"/>
      <c r="V310" s="33"/>
      <c r="AW310" s="34"/>
      <c r="AX310" s="34"/>
    </row>
    <row r="311" spans="8:50" s="35" customFormat="1" hidden="1" x14ac:dyDescent="0.25">
      <c r="H311" s="304"/>
      <c r="K311" s="149"/>
      <c r="L311" s="150"/>
      <c r="M311" s="34"/>
      <c r="N311" s="34"/>
      <c r="O311" s="34"/>
      <c r="T311" s="34"/>
      <c r="U311" s="34"/>
      <c r="V311" s="33"/>
      <c r="AW311" s="34"/>
      <c r="AX311" s="34"/>
    </row>
    <row r="312" spans="8:50" s="35" customFormat="1" hidden="1" x14ac:dyDescent="0.25">
      <c r="H312" s="304"/>
      <c r="K312" s="149"/>
      <c r="L312" s="150"/>
      <c r="M312" s="34"/>
      <c r="N312" s="34"/>
      <c r="O312" s="34"/>
      <c r="T312" s="34"/>
      <c r="U312" s="34"/>
      <c r="V312" s="33"/>
      <c r="AW312" s="34"/>
      <c r="AX312" s="34"/>
    </row>
    <row r="313" spans="8:50" s="35" customFormat="1" hidden="1" x14ac:dyDescent="0.25">
      <c r="H313" s="304"/>
      <c r="K313" s="149"/>
      <c r="L313" s="150"/>
      <c r="M313" s="34"/>
      <c r="N313" s="34"/>
      <c r="O313" s="34"/>
      <c r="T313" s="34"/>
      <c r="U313" s="34"/>
      <c r="V313" s="33"/>
      <c r="AW313" s="34"/>
      <c r="AX313" s="34"/>
    </row>
    <row r="314" spans="8:50" s="35" customFormat="1" hidden="1" x14ac:dyDescent="0.25">
      <c r="H314" s="304"/>
      <c r="K314" s="149"/>
      <c r="L314" s="150"/>
      <c r="M314" s="34"/>
      <c r="N314" s="34"/>
      <c r="O314" s="34"/>
      <c r="T314" s="34"/>
      <c r="U314" s="34"/>
      <c r="V314" s="33"/>
      <c r="AW314" s="34"/>
      <c r="AX314" s="34"/>
    </row>
    <row r="315" spans="8:50" s="35" customFormat="1" hidden="1" x14ac:dyDescent="0.25">
      <c r="H315" s="304"/>
      <c r="K315" s="149"/>
      <c r="L315" s="150"/>
      <c r="M315" s="34"/>
      <c r="N315" s="34"/>
      <c r="O315" s="34"/>
      <c r="T315" s="34"/>
      <c r="U315" s="34"/>
      <c r="V315" s="33"/>
      <c r="AW315" s="34"/>
      <c r="AX315" s="34"/>
    </row>
    <row r="316" spans="8:50" s="35" customFormat="1" hidden="1" x14ac:dyDescent="0.25">
      <c r="H316" s="304"/>
      <c r="K316" s="149"/>
      <c r="L316" s="150"/>
      <c r="M316" s="34"/>
      <c r="N316" s="34"/>
      <c r="O316" s="34"/>
      <c r="T316" s="34"/>
      <c r="U316" s="34"/>
      <c r="V316" s="33"/>
      <c r="AW316" s="34"/>
      <c r="AX316" s="34"/>
    </row>
    <row r="317" spans="8:50" s="35" customFormat="1" hidden="1" x14ac:dyDescent="0.25">
      <c r="H317" s="304"/>
      <c r="K317" s="149"/>
      <c r="L317" s="150"/>
      <c r="M317" s="34"/>
      <c r="N317" s="34"/>
      <c r="O317" s="34"/>
      <c r="T317" s="34"/>
      <c r="U317" s="34"/>
      <c r="V317" s="33"/>
      <c r="AW317" s="34"/>
      <c r="AX317" s="34"/>
    </row>
    <row r="318" spans="8:50" s="35" customFormat="1" hidden="1" x14ac:dyDescent="0.25">
      <c r="H318" s="304"/>
      <c r="K318" s="149"/>
      <c r="L318" s="150"/>
      <c r="M318" s="34"/>
      <c r="N318" s="34"/>
      <c r="O318" s="34"/>
      <c r="T318" s="34"/>
      <c r="U318" s="34"/>
      <c r="V318" s="33"/>
      <c r="AW318" s="34"/>
      <c r="AX318" s="34"/>
    </row>
    <row r="319" spans="8:50" s="35" customFormat="1" hidden="1" x14ac:dyDescent="0.25">
      <c r="H319" s="304"/>
      <c r="K319" s="149"/>
      <c r="L319" s="150"/>
      <c r="M319" s="34"/>
      <c r="N319" s="34"/>
      <c r="O319" s="34"/>
      <c r="T319" s="34"/>
      <c r="U319" s="34"/>
      <c r="V319" s="33"/>
      <c r="AW319" s="34"/>
      <c r="AX319" s="34"/>
    </row>
    <row r="320" spans="8:50" s="35" customFormat="1" hidden="1" x14ac:dyDescent="0.25">
      <c r="H320" s="304"/>
      <c r="K320" s="149"/>
      <c r="L320" s="150"/>
      <c r="M320" s="34"/>
      <c r="N320" s="34"/>
      <c r="O320" s="34"/>
      <c r="T320" s="34"/>
      <c r="U320" s="34"/>
      <c r="V320" s="33"/>
      <c r="AW320" s="34"/>
      <c r="AX320" s="34"/>
    </row>
    <row r="321" spans="8:50" s="35" customFormat="1" hidden="1" x14ac:dyDescent="0.25">
      <c r="H321" s="304"/>
      <c r="K321" s="149"/>
      <c r="L321" s="150"/>
      <c r="M321" s="34"/>
      <c r="N321" s="34"/>
      <c r="O321" s="34"/>
      <c r="T321" s="34"/>
      <c r="U321" s="34"/>
      <c r="V321" s="33"/>
      <c r="AW321" s="34"/>
      <c r="AX321" s="34"/>
    </row>
    <row r="322" spans="8:50" s="35" customFormat="1" hidden="1" x14ac:dyDescent="0.25">
      <c r="H322" s="304"/>
      <c r="K322" s="149"/>
      <c r="L322" s="150"/>
      <c r="M322" s="34"/>
      <c r="N322" s="34"/>
      <c r="O322" s="34"/>
      <c r="T322" s="34"/>
      <c r="U322" s="34"/>
      <c r="V322" s="33"/>
      <c r="AW322" s="34"/>
      <c r="AX322" s="34"/>
    </row>
    <row r="323" spans="8:50" s="35" customFormat="1" hidden="1" x14ac:dyDescent="0.25">
      <c r="H323" s="304"/>
      <c r="K323" s="149"/>
      <c r="L323" s="150"/>
      <c r="M323" s="34"/>
      <c r="N323" s="34"/>
      <c r="O323" s="34"/>
      <c r="T323" s="34"/>
      <c r="U323" s="34"/>
      <c r="V323" s="33"/>
      <c r="AW323" s="34"/>
      <c r="AX323" s="34"/>
    </row>
    <row r="324" spans="8:50" s="35" customFormat="1" hidden="1" x14ac:dyDescent="0.25">
      <c r="H324" s="304"/>
      <c r="K324" s="149"/>
      <c r="L324" s="150"/>
      <c r="M324" s="34"/>
      <c r="N324" s="34"/>
      <c r="O324" s="34"/>
      <c r="T324" s="34"/>
      <c r="U324" s="34"/>
      <c r="V324" s="33"/>
      <c r="AW324" s="34"/>
      <c r="AX324" s="34"/>
    </row>
    <row r="325" spans="8:50" s="35" customFormat="1" hidden="1" x14ac:dyDescent="0.25">
      <c r="H325" s="304"/>
      <c r="K325" s="149"/>
      <c r="L325" s="150"/>
      <c r="M325" s="34"/>
      <c r="N325" s="34"/>
      <c r="O325" s="34"/>
      <c r="T325" s="34"/>
      <c r="U325" s="34"/>
      <c r="V325" s="33"/>
      <c r="AW325" s="34"/>
      <c r="AX325" s="34"/>
    </row>
    <row r="326" spans="8:50" s="35" customFormat="1" hidden="1" x14ac:dyDescent="0.25">
      <c r="H326" s="304"/>
      <c r="K326" s="149"/>
      <c r="L326" s="150"/>
      <c r="M326" s="34"/>
      <c r="N326" s="34"/>
      <c r="O326" s="34"/>
      <c r="T326" s="34"/>
      <c r="U326" s="34"/>
      <c r="V326" s="33"/>
      <c r="AW326" s="34"/>
      <c r="AX326" s="34"/>
    </row>
    <row r="327" spans="8:50" s="35" customFormat="1" hidden="1" x14ac:dyDescent="0.25">
      <c r="H327" s="304"/>
      <c r="K327" s="149"/>
      <c r="L327" s="150"/>
      <c r="M327" s="34"/>
      <c r="N327" s="34"/>
      <c r="O327" s="34"/>
      <c r="T327" s="34"/>
      <c r="U327" s="34"/>
      <c r="V327" s="33"/>
      <c r="AW327" s="34"/>
      <c r="AX327" s="34"/>
    </row>
    <row r="328" spans="8:50" s="35" customFormat="1" hidden="1" x14ac:dyDescent="0.25">
      <c r="H328" s="304"/>
      <c r="K328" s="149"/>
      <c r="L328" s="150"/>
      <c r="M328" s="34"/>
      <c r="N328" s="34"/>
      <c r="O328" s="34"/>
      <c r="T328" s="34"/>
      <c r="U328" s="34"/>
      <c r="V328" s="33"/>
      <c r="AW328" s="34"/>
      <c r="AX328" s="34"/>
    </row>
    <row r="329" spans="8:50" s="35" customFormat="1" hidden="1" x14ac:dyDescent="0.25">
      <c r="H329" s="304"/>
      <c r="K329" s="149"/>
      <c r="L329" s="150"/>
      <c r="M329" s="34"/>
      <c r="N329" s="34"/>
      <c r="O329" s="34"/>
      <c r="T329" s="34"/>
      <c r="U329" s="34"/>
      <c r="V329" s="33"/>
      <c r="AW329" s="34"/>
      <c r="AX329" s="34"/>
    </row>
    <row r="330" spans="8:50" s="35" customFormat="1" hidden="1" x14ac:dyDescent="0.25">
      <c r="H330" s="304"/>
      <c r="K330" s="149"/>
      <c r="L330" s="150"/>
      <c r="M330" s="34"/>
      <c r="N330" s="34"/>
      <c r="O330" s="34"/>
      <c r="T330" s="34"/>
      <c r="U330" s="34"/>
      <c r="V330" s="33"/>
      <c r="AW330" s="34"/>
      <c r="AX330" s="34"/>
    </row>
    <row r="331" spans="8:50" s="35" customFormat="1" hidden="1" x14ac:dyDescent="0.25">
      <c r="H331" s="304"/>
      <c r="K331" s="149"/>
      <c r="L331" s="150"/>
      <c r="M331" s="34"/>
      <c r="N331" s="34"/>
      <c r="O331" s="34"/>
      <c r="T331" s="34"/>
      <c r="U331" s="34"/>
      <c r="V331" s="33"/>
      <c r="AW331" s="34"/>
      <c r="AX331" s="34"/>
    </row>
    <row r="332" spans="8:50" s="35" customFormat="1" hidden="1" x14ac:dyDescent="0.25">
      <c r="H332" s="304"/>
      <c r="K332" s="149"/>
      <c r="L332" s="150"/>
      <c r="M332" s="34"/>
      <c r="N332" s="34"/>
      <c r="O332" s="34"/>
      <c r="T332" s="34"/>
      <c r="U332" s="34"/>
      <c r="V332" s="33"/>
      <c r="AW332" s="34"/>
      <c r="AX332" s="34"/>
    </row>
    <row r="333" spans="8:50" s="35" customFormat="1" hidden="1" x14ac:dyDescent="0.25">
      <c r="H333" s="304"/>
      <c r="K333" s="149"/>
      <c r="L333" s="150"/>
      <c r="M333" s="34"/>
      <c r="N333" s="34"/>
      <c r="O333" s="34"/>
      <c r="T333" s="34"/>
      <c r="U333" s="34"/>
      <c r="V333" s="33"/>
      <c r="AW333" s="34"/>
      <c r="AX333" s="34"/>
    </row>
    <row r="334" spans="8:50" s="35" customFormat="1" hidden="1" x14ac:dyDescent="0.25">
      <c r="H334" s="304"/>
      <c r="K334" s="149"/>
      <c r="L334" s="150"/>
      <c r="M334" s="34"/>
      <c r="N334" s="34"/>
      <c r="O334" s="34"/>
      <c r="T334" s="34"/>
      <c r="U334" s="34"/>
      <c r="V334" s="33"/>
      <c r="AW334" s="34"/>
      <c r="AX334" s="34"/>
    </row>
    <row r="335" spans="8:50" s="35" customFormat="1" hidden="1" x14ac:dyDescent="0.25">
      <c r="H335" s="304"/>
      <c r="K335" s="149"/>
      <c r="L335" s="150"/>
      <c r="M335" s="34"/>
      <c r="N335" s="34"/>
      <c r="O335" s="34"/>
      <c r="T335" s="34"/>
      <c r="U335" s="34"/>
      <c r="V335" s="33"/>
      <c r="AW335" s="34"/>
      <c r="AX335" s="34"/>
    </row>
    <row r="336" spans="8:50" s="35" customFormat="1" hidden="1" x14ac:dyDescent="0.25">
      <c r="H336" s="304"/>
      <c r="K336" s="149"/>
      <c r="L336" s="150"/>
      <c r="M336" s="34"/>
      <c r="N336" s="34"/>
      <c r="O336" s="34"/>
      <c r="T336" s="34"/>
      <c r="U336" s="34"/>
      <c r="V336" s="33"/>
      <c r="AW336" s="34"/>
      <c r="AX336" s="34"/>
    </row>
    <row r="337" spans="8:50" s="35" customFormat="1" hidden="1" x14ac:dyDescent="0.25">
      <c r="H337" s="304"/>
      <c r="K337" s="149"/>
      <c r="L337" s="150"/>
      <c r="M337" s="34"/>
      <c r="N337" s="34"/>
      <c r="O337" s="34"/>
      <c r="T337" s="34"/>
      <c r="U337" s="34"/>
      <c r="V337" s="33"/>
      <c r="AW337" s="34"/>
      <c r="AX337" s="34"/>
    </row>
    <row r="338" spans="8:50" s="35" customFormat="1" hidden="1" x14ac:dyDescent="0.25">
      <c r="H338" s="304"/>
      <c r="K338" s="149"/>
      <c r="L338" s="150"/>
      <c r="M338" s="34"/>
      <c r="N338" s="34"/>
      <c r="O338" s="34"/>
      <c r="T338" s="34"/>
      <c r="U338" s="34"/>
      <c r="V338" s="33"/>
      <c r="AW338" s="34"/>
      <c r="AX338" s="34"/>
    </row>
    <row r="339" spans="8:50" s="35" customFormat="1" hidden="1" x14ac:dyDescent="0.25">
      <c r="H339" s="304"/>
      <c r="K339" s="149"/>
      <c r="L339" s="150"/>
      <c r="M339" s="34"/>
      <c r="N339" s="34"/>
      <c r="O339" s="34"/>
      <c r="T339" s="34"/>
      <c r="U339" s="34"/>
      <c r="V339" s="33"/>
      <c r="AW339" s="34"/>
      <c r="AX339" s="34"/>
    </row>
    <row r="340" spans="8:50" s="35" customFormat="1" hidden="1" x14ac:dyDescent="0.25">
      <c r="H340" s="304"/>
      <c r="K340" s="149"/>
      <c r="L340" s="150"/>
      <c r="M340" s="34"/>
      <c r="N340" s="34"/>
      <c r="O340" s="34"/>
      <c r="T340" s="34"/>
      <c r="U340" s="34"/>
      <c r="V340" s="33"/>
      <c r="AW340" s="34"/>
      <c r="AX340" s="34"/>
    </row>
    <row r="341" spans="8:50" s="35" customFormat="1" hidden="1" x14ac:dyDescent="0.25">
      <c r="H341" s="304"/>
      <c r="K341" s="149"/>
      <c r="L341" s="150"/>
      <c r="M341" s="34"/>
      <c r="N341" s="34"/>
      <c r="O341" s="34"/>
      <c r="T341" s="34"/>
      <c r="U341" s="34"/>
      <c r="V341" s="33"/>
      <c r="AW341" s="34"/>
      <c r="AX341" s="34"/>
    </row>
    <row r="342" spans="8:50" s="35" customFormat="1" hidden="1" x14ac:dyDescent="0.25">
      <c r="H342" s="304"/>
      <c r="K342" s="149"/>
      <c r="L342" s="150"/>
      <c r="M342" s="34"/>
      <c r="N342" s="34"/>
      <c r="O342" s="34"/>
      <c r="T342" s="34"/>
      <c r="U342" s="34"/>
      <c r="V342" s="33"/>
      <c r="AW342" s="34"/>
      <c r="AX342" s="34"/>
    </row>
    <row r="343" spans="8:50" s="35" customFormat="1" hidden="1" x14ac:dyDescent="0.25">
      <c r="H343" s="304"/>
      <c r="K343" s="149"/>
      <c r="L343" s="150"/>
      <c r="M343" s="34"/>
      <c r="N343" s="34"/>
      <c r="O343" s="34"/>
      <c r="T343" s="34"/>
      <c r="U343" s="34"/>
      <c r="V343" s="33"/>
      <c r="AW343" s="34"/>
      <c r="AX343" s="34"/>
    </row>
    <row r="344" spans="8:50" s="35" customFormat="1" hidden="1" x14ac:dyDescent="0.25">
      <c r="H344" s="304"/>
      <c r="K344" s="149"/>
      <c r="L344" s="150"/>
      <c r="M344" s="34"/>
      <c r="N344" s="34"/>
      <c r="O344" s="34"/>
      <c r="T344" s="34"/>
      <c r="U344" s="34"/>
      <c r="V344" s="33"/>
      <c r="AW344" s="34"/>
      <c r="AX344" s="34"/>
    </row>
    <row r="345" spans="8:50" s="35" customFormat="1" hidden="1" x14ac:dyDescent="0.25">
      <c r="H345" s="304"/>
      <c r="K345" s="149"/>
      <c r="L345" s="150"/>
      <c r="M345" s="34"/>
      <c r="N345" s="34"/>
      <c r="O345" s="34"/>
      <c r="T345" s="34"/>
      <c r="U345" s="34"/>
      <c r="V345" s="33"/>
      <c r="AW345" s="34"/>
      <c r="AX345" s="34"/>
    </row>
    <row r="346" spans="8:50" s="35" customFormat="1" hidden="1" x14ac:dyDescent="0.25">
      <c r="H346" s="304"/>
      <c r="K346" s="149"/>
      <c r="L346" s="150"/>
      <c r="M346" s="34"/>
      <c r="N346" s="34"/>
      <c r="O346" s="34"/>
      <c r="T346" s="34"/>
      <c r="U346" s="34"/>
      <c r="V346" s="33"/>
      <c r="AW346" s="34"/>
      <c r="AX346" s="34"/>
    </row>
    <row r="347" spans="8:50" s="35" customFormat="1" hidden="1" x14ac:dyDescent="0.25">
      <c r="H347" s="304"/>
      <c r="K347" s="149"/>
      <c r="L347" s="150"/>
      <c r="M347" s="34"/>
      <c r="N347" s="34"/>
      <c r="O347" s="34"/>
      <c r="T347" s="34"/>
      <c r="U347" s="34"/>
      <c r="V347" s="33"/>
      <c r="AW347" s="34"/>
      <c r="AX347" s="34"/>
    </row>
    <row r="348" spans="8:50" s="35" customFormat="1" hidden="1" x14ac:dyDescent="0.25">
      <c r="H348" s="304"/>
      <c r="K348" s="149"/>
      <c r="L348" s="150"/>
      <c r="M348" s="34"/>
      <c r="N348" s="34"/>
      <c r="O348" s="34"/>
      <c r="T348" s="34"/>
      <c r="U348" s="34"/>
      <c r="V348" s="33"/>
      <c r="AW348" s="34"/>
      <c r="AX348" s="34"/>
    </row>
    <row r="349" spans="8:50" s="35" customFormat="1" hidden="1" x14ac:dyDescent="0.25">
      <c r="H349" s="304"/>
      <c r="K349" s="149"/>
      <c r="L349" s="150"/>
      <c r="M349" s="34"/>
      <c r="N349" s="34"/>
      <c r="O349" s="34"/>
      <c r="T349" s="34"/>
      <c r="U349" s="34"/>
      <c r="V349" s="33"/>
      <c r="AW349" s="34"/>
      <c r="AX349" s="34"/>
    </row>
    <row r="350" spans="8:50" s="35" customFormat="1" hidden="1" x14ac:dyDescent="0.25">
      <c r="H350" s="304"/>
      <c r="K350" s="149"/>
      <c r="L350" s="150"/>
      <c r="M350" s="34"/>
      <c r="N350" s="34"/>
      <c r="O350" s="34"/>
      <c r="T350" s="34"/>
      <c r="U350" s="34"/>
      <c r="V350" s="33"/>
      <c r="AW350" s="34"/>
      <c r="AX350" s="34"/>
    </row>
    <row r="351" spans="8:50" s="35" customFormat="1" hidden="1" x14ac:dyDescent="0.25">
      <c r="H351" s="304"/>
      <c r="K351" s="149"/>
      <c r="L351" s="150"/>
      <c r="M351" s="34"/>
      <c r="N351" s="34"/>
      <c r="O351" s="34"/>
      <c r="T351" s="34"/>
      <c r="U351" s="34"/>
      <c r="V351" s="33"/>
      <c r="AW351" s="34"/>
      <c r="AX351" s="34"/>
    </row>
    <row r="352" spans="8:50" s="35" customFormat="1" hidden="1" x14ac:dyDescent="0.25">
      <c r="H352" s="304"/>
      <c r="K352" s="149"/>
      <c r="L352" s="150"/>
      <c r="M352" s="34"/>
      <c r="N352" s="34"/>
      <c r="O352" s="34"/>
      <c r="T352" s="34"/>
      <c r="U352" s="34"/>
      <c r="V352" s="33"/>
      <c r="AW352" s="34"/>
      <c r="AX352" s="34"/>
    </row>
    <row r="353" spans="8:50" s="35" customFormat="1" hidden="1" x14ac:dyDescent="0.25">
      <c r="H353" s="304"/>
      <c r="K353" s="149"/>
      <c r="L353" s="150"/>
      <c r="M353" s="34"/>
      <c r="N353" s="34"/>
      <c r="O353" s="34"/>
      <c r="T353" s="34"/>
      <c r="U353" s="34"/>
      <c r="V353" s="33"/>
      <c r="AW353" s="34"/>
      <c r="AX353" s="34"/>
    </row>
    <row r="354" spans="8:50" s="35" customFormat="1" hidden="1" x14ac:dyDescent="0.25">
      <c r="H354" s="304"/>
      <c r="K354" s="149"/>
      <c r="L354" s="150"/>
      <c r="M354" s="34"/>
      <c r="N354" s="34"/>
      <c r="O354" s="34"/>
      <c r="T354" s="34"/>
      <c r="U354" s="34"/>
      <c r="V354" s="33"/>
      <c r="AW354" s="34"/>
      <c r="AX354" s="34"/>
    </row>
    <row r="355" spans="8:50" s="35" customFormat="1" hidden="1" x14ac:dyDescent="0.25">
      <c r="H355" s="304"/>
      <c r="K355" s="149"/>
      <c r="L355" s="150"/>
      <c r="M355" s="34"/>
      <c r="N355" s="34"/>
      <c r="O355" s="34"/>
      <c r="T355" s="34"/>
      <c r="U355" s="34"/>
      <c r="V355" s="33"/>
      <c r="AW355" s="34"/>
      <c r="AX355" s="34"/>
    </row>
    <row r="356" spans="8:50" s="35" customFormat="1" hidden="1" x14ac:dyDescent="0.25">
      <c r="H356" s="304"/>
      <c r="K356" s="149"/>
      <c r="L356" s="150"/>
      <c r="M356" s="34"/>
      <c r="N356" s="34"/>
      <c r="O356" s="34"/>
      <c r="T356" s="34"/>
      <c r="U356" s="34"/>
      <c r="V356" s="33"/>
      <c r="AW356" s="34"/>
      <c r="AX356" s="34"/>
    </row>
    <row r="357" spans="8:50" s="35" customFormat="1" hidden="1" x14ac:dyDescent="0.25">
      <c r="H357" s="304"/>
      <c r="K357" s="149"/>
      <c r="L357" s="150"/>
      <c r="M357" s="34"/>
      <c r="N357" s="34"/>
      <c r="O357" s="34"/>
      <c r="T357" s="34"/>
      <c r="U357" s="34"/>
      <c r="V357" s="33"/>
      <c r="AW357" s="34"/>
      <c r="AX357" s="34"/>
    </row>
    <row r="358" spans="8:50" s="35" customFormat="1" hidden="1" x14ac:dyDescent="0.25">
      <c r="H358" s="304"/>
      <c r="K358" s="149"/>
      <c r="L358" s="150"/>
      <c r="M358" s="34"/>
      <c r="N358" s="34"/>
      <c r="O358" s="34"/>
      <c r="T358" s="34"/>
      <c r="U358" s="34"/>
      <c r="V358" s="33"/>
      <c r="AW358" s="34"/>
      <c r="AX358" s="34"/>
    </row>
    <row r="359" spans="8:50" s="35" customFormat="1" hidden="1" x14ac:dyDescent="0.25">
      <c r="H359" s="304"/>
      <c r="K359" s="149"/>
      <c r="L359" s="150"/>
      <c r="M359" s="34"/>
      <c r="N359" s="34"/>
      <c r="O359" s="34"/>
      <c r="T359" s="34"/>
      <c r="U359" s="34"/>
      <c r="V359" s="33"/>
      <c r="AW359" s="34"/>
      <c r="AX359" s="34"/>
    </row>
    <row r="360" spans="8:50" s="35" customFormat="1" hidden="1" x14ac:dyDescent="0.25">
      <c r="H360" s="304"/>
      <c r="K360" s="149"/>
      <c r="L360" s="150"/>
      <c r="M360" s="34"/>
      <c r="N360" s="34"/>
      <c r="O360" s="34"/>
      <c r="T360" s="34"/>
      <c r="U360" s="34"/>
      <c r="V360" s="33"/>
      <c r="AW360" s="34"/>
      <c r="AX360" s="34"/>
    </row>
    <row r="361" spans="8:50" s="35" customFormat="1" hidden="1" x14ac:dyDescent="0.25">
      <c r="H361" s="304"/>
      <c r="K361" s="149"/>
      <c r="L361" s="150"/>
      <c r="M361" s="34"/>
      <c r="N361" s="34"/>
      <c r="O361" s="34"/>
      <c r="T361" s="34"/>
      <c r="U361" s="34"/>
      <c r="V361" s="33"/>
      <c r="AW361" s="34"/>
      <c r="AX361" s="34"/>
    </row>
    <row r="362" spans="8:50" s="35" customFormat="1" hidden="1" x14ac:dyDescent="0.25">
      <c r="H362" s="304"/>
      <c r="K362" s="149"/>
      <c r="L362" s="150"/>
      <c r="M362" s="34"/>
      <c r="N362" s="34"/>
      <c r="O362" s="34"/>
      <c r="T362" s="34"/>
      <c r="U362" s="34"/>
      <c r="V362" s="33"/>
      <c r="AW362" s="34"/>
      <c r="AX362" s="34"/>
    </row>
    <row r="363" spans="8:50" s="35" customFormat="1" hidden="1" x14ac:dyDescent="0.25">
      <c r="H363" s="304"/>
      <c r="K363" s="149"/>
      <c r="L363" s="150"/>
      <c r="M363" s="34"/>
      <c r="N363" s="34"/>
      <c r="O363" s="34"/>
      <c r="T363" s="34"/>
      <c r="U363" s="34"/>
      <c r="V363" s="33"/>
      <c r="AW363" s="34"/>
      <c r="AX363" s="34"/>
    </row>
    <row r="364" spans="8:50" s="35" customFormat="1" hidden="1" x14ac:dyDescent="0.25">
      <c r="H364" s="304"/>
      <c r="K364" s="149"/>
      <c r="L364" s="150"/>
      <c r="M364" s="34"/>
      <c r="N364" s="34"/>
      <c r="O364" s="34"/>
      <c r="T364" s="34"/>
      <c r="U364" s="34"/>
      <c r="V364" s="33"/>
      <c r="AW364" s="34"/>
      <c r="AX364" s="34"/>
    </row>
    <row r="365" spans="8:50" s="35" customFormat="1" hidden="1" x14ac:dyDescent="0.25">
      <c r="H365" s="304"/>
      <c r="K365" s="149"/>
      <c r="L365" s="150"/>
      <c r="M365" s="34"/>
      <c r="N365" s="34"/>
      <c r="O365" s="34"/>
      <c r="T365" s="34"/>
      <c r="U365" s="34"/>
      <c r="V365" s="33"/>
      <c r="AW365" s="34"/>
      <c r="AX365" s="34"/>
    </row>
    <row r="366" spans="8:50" s="35" customFormat="1" hidden="1" x14ac:dyDescent="0.25">
      <c r="H366" s="304"/>
      <c r="K366" s="149"/>
      <c r="L366" s="150"/>
      <c r="M366" s="34"/>
      <c r="N366" s="34"/>
      <c r="O366" s="34"/>
      <c r="T366" s="34"/>
      <c r="U366" s="34"/>
      <c r="V366" s="33"/>
      <c r="AW366" s="34"/>
      <c r="AX366" s="34"/>
    </row>
    <row r="367" spans="8:50" s="35" customFormat="1" hidden="1" x14ac:dyDescent="0.25">
      <c r="H367" s="304"/>
      <c r="K367" s="149"/>
      <c r="L367" s="150"/>
      <c r="M367" s="34"/>
      <c r="N367" s="34"/>
      <c r="O367" s="34"/>
      <c r="T367" s="34"/>
      <c r="U367" s="34"/>
      <c r="V367" s="33"/>
      <c r="AW367" s="34"/>
      <c r="AX367" s="34"/>
    </row>
    <row r="368" spans="8:50" s="35" customFormat="1" hidden="1" x14ac:dyDescent="0.25">
      <c r="H368" s="304"/>
      <c r="K368" s="149"/>
      <c r="L368" s="150"/>
      <c r="M368" s="34"/>
      <c r="N368" s="34"/>
      <c r="O368" s="34"/>
      <c r="T368" s="34"/>
      <c r="U368" s="34"/>
      <c r="V368" s="33"/>
      <c r="AW368" s="34"/>
      <c r="AX368" s="34"/>
    </row>
    <row r="369" spans="8:50" s="35" customFormat="1" hidden="1" x14ac:dyDescent="0.25">
      <c r="H369" s="304"/>
      <c r="K369" s="149"/>
      <c r="L369" s="150"/>
      <c r="M369" s="34"/>
      <c r="N369" s="34"/>
      <c r="O369" s="34"/>
      <c r="T369" s="34"/>
      <c r="U369" s="34"/>
      <c r="V369" s="33"/>
      <c r="AW369" s="34"/>
      <c r="AX369" s="34"/>
    </row>
    <row r="370" spans="8:50" s="35" customFormat="1" hidden="1" x14ac:dyDescent="0.25">
      <c r="H370" s="304"/>
      <c r="K370" s="149"/>
      <c r="L370" s="150"/>
      <c r="M370" s="34"/>
      <c r="N370" s="34"/>
      <c r="O370" s="34"/>
      <c r="T370" s="34"/>
      <c r="U370" s="34"/>
      <c r="V370" s="33"/>
      <c r="AW370" s="34"/>
      <c r="AX370" s="34"/>
    </row>
    <row r="371" spans="8:50" s="35" customFormat="1" hidden="1" x14ac:dyDescent="0.25">
      <c r="H371" s="304"/>
      <c r="K371" s="149"/>
      <c r="L371" s="150"/>
      <c r="M371" s="34"/>
      <c r="N371" s="34"/>
      <c r="O371" s="34"/>
      <c r="T371" s="34"/>
      <c r="U371" s="34"/>
      <c r="V371" s="33"/>
      <c r="AW371" s="34"/>
      <c r="AX371" s="34"/>
    </row>
    <row r="372" spans="8:50" s="35" customFormat="1" hidden="1" x14ac:dyDescent="0.25">
      <c r="H372" s="304"/>
      <c r="K372" s="149"/>
      <c r="L372" s="150"/>
      <c r="M372" s="34"/>
      <c r="N372" s="34"/>
      <c r="O372" s="34"/>
      <c r="T372" s="34"/>
      <c r="U372" s="34"/>
      <c r="V372" s="33"/>
      <c r="AW372" s="34"/>
      <c r="AX372" s="34"/>
    </row>
    <row r="373" spans="8:50" s="35" customFormat="1" hidden="1" x14ac:dyDescent="0.25">
      <c r="H373" s="304"/>
      <c r="K373" s="149"/>
      <c r="L373" s="150"/>
      <c r="M373" s="34"/>
      <c r="N373" s="34"/>
      <c r="O373" s="34"/>
      <c r="T373" s="34"/>
      <c r="U373" s="34"/>
      <c r="V373" s="33"/>
      <c r="AW373" s="34"/>
      <c r="AX373" s="34"/>
    </row>
    <row r="374" spans="8:50" s="35" customFormat="1" hidden="1" x14ac:dyDescent="0.25">
      <c r="H374" s="304"/>
      <c r="K374" s="149"/>
      <c r="L374" s="150"/>
      <c r="M374" s="34"/>
      <c r="N374" s="34"/>
      <c r="O374" s="34"/>
      <c r="T374" s="34"/>
      <c r="U374" s="34"/>
      <c r="V374" s="33"/>
      <c r="AW374" s="34"/>
      <c r="AX374" s="34"/>
    </row>
    <row r="375" spans="8:50" s="35" customFormat="1" hidden="1" x14ac:dyDescent="0.25">
      <c r="H375" s="304"/>
      <c r="K375" s="149"/>
      <c r="L375" s="150"/>
      <c r="M375" s="34"/>
      <c r="N375" s="34"/>
      <c r="O375" s="34"/>
      <c r="T375" s="34"/>
      <c r="U375" s="34"/>
      <c r="V375" s="33"/>
      <c r="AW375" s="34"/>
      <c r="AX375" s="34"/>
    </row>
    <row r="376" spans="8:50" s="35" customFormat="1" hidden="1" x14ac:dyDescent="0.25">
      <c r="H376" s="304"/>
      <c r="K376" s="149"/>
      <c r="L376" s="150"/>
      <c r="M376" s="34"/>
      <c r="N376" s="34"/>
      <c r="O376" s="34"/>
      <c r="T376" s="34"/>
      <c r="U376" s="34"/>
      <c r="V376" s="33"/>
      <c r="AW376" s="34"/>
      <c r="AX376" s="34"/>
    </row>
    <row r="377" spans="8:50" s="35" customFormat="1" hidden="1" x14ac:dyDescent="0.25">
      <c r="H377" s="304"/>
      <c r="K377" s="149"/>
      <c r="L377" s="150"/>
      <c r="M377" s="34"/>
      <c r="N377" s="34"/>
      <c r="O377" s="34"/>
      <c r="T377" s="34"/>
      <c r="U377" s="34"/>
      <c r="V377" s="33"/>
      <c r="AW377" s="34"/>
      <c r="AX377" s="34"/>
    </row>
    <row r="378" spans="8:50" s="35" customFormat="1" hidden="1" x14ac:dyDescent="0.25">
      <c r="H378" s="304"/>
      <c r="K378" s="149"/>
      <c r="L378" s="150"/>
      <c r="M378" s="34"/>
      <c r="N378" s="34"/>
      <c r="O378" s="34"/>
      <c r="T378" s="34"/>
      <c r="U378" s="34"/>
      <c r="V378" s="33"/>
      <c r="AW378" s="34"/>
      <c r="AX378" s="34"/>
    </row>
    <row r="379" spans="8:50" s="35" customFormat="1" hidden="1" x14ac:dyDescent="0.25">
      <c r="H379" s="304"/>
      <c r="K379" s="149"/>
      <c r="L379" s="150"/>
      <c r="M379" s="34"/>
      <c r="N379" s="34"/>
      <c r="O379" s="34"/>
      <c r="T379" s="34"/>
      <c r="U379" s="34"/>
      <c r="V379" s="33"/>
      <c r="AW379" s="34"/>
      <c r="AX379" s="34"/>
    </row>
    <row r="380" spans="8:50" s="35" customFormat="1" hidden="1" x14ac:dyDescent="0.25">
      <c r="H380" s="304"/>
      <c r="K380" s="149"/>
      <c r="L380" s="150"/>
      <c r="M380" s="34"/>
      <c r="N380" s="34"/>
      <c r="O380" s="34"/>
      <c r="T380" s="34"/>
      <c r="U380" s="34"/>
      <c r="V380" s="33"/>
      <c r="AW380" s="34"/>
      <c r="AX380" s="34"/>
    </row>
    <row r="381" spans="8:50" s="35" customFormat="1" hidden="1" x14ac:dyDescent="0.25">
      <c r="H381" s="304"/>
      <c r="K381" s="149"/>
      <c r="L381" s="150"/>
      <c r="M381" s="34"/>
      <c r="N381" s="34"/>
      <c r="O381" s="34"/>
      <c r="T381" s="34"/>
      <c r="U381" s="34"/>
      <c r="V381" s="33"/>
      <c r="AW381" s="34"/>
      <c r="AX381" s="34"/>
    </row>
    <row r="382" spans="8:50" s="35" customFormat="1" hidden="1" x14ac:dyDescent="0.25">
      <c r="H382" s="304"/>
      <c r="K382" s="149"/>
      <c r="L382" s="150"/>
      <c r="M382" s="34"/>
      <c r="N382" s="34"/>
      <c r="O382" s="34"/>
      <c r="T382" s="34"/>
      <c r="U382" s="34"/>
      <c r="V382" s="33"/>
      <c r="AW382" s="34"/>
      <c r="AX382" s="34"/>
    </row>
    <row r="383" spans="8:50" s="35" customFormat="1" hidden="1" x14ac:dyDescent="0.25">
      <c r="H383" s="304"/>
      <c r="K383" s="149"/>
      <c r="L383" s="150"/>
      <c r="M383" s="34"/>
      <c r="N383" s="34"/>
      <c r="O383" s="34"/>
      <c r="T383" s="34"/>
      <c r="U383" s="34"/>
      <c r="V383" s="33"/>
      <c r="AW383" s="34"/>
      <c r="AX383" s="34"/>
    </row>
    <row r="384" spans="8:50" s="35" customFormat="1" hidden="1" x14ac:dyDescent="0.25">
      <c r="H384" s="304"/>
      <c r="K384" s="149"/>
      <c r="L384" s="150"/>
      <c r="M384" s="34"/>
      <c r="N384" s="34"/>
      <c r="O384" s="34"/>
      <c r="T384" s="34"/>
      <c r="U384" s="34"/>
      <c r="V384" s="33"/>
      <c r="AW384" s="34"/>
      <c r="AX384" s="34"/>
    </row>
    <row r="385" spans="8:50" s="35" customFormat="1" hidden="1" x14ac:dyDescent="0.25">
      <c r="H385" s="304"/>
      <c r="K385" s="149"/>
      <c r="L385" s="150"/>
      <c r="M385" s="34"/>
      <c r="N385" s="34"/>
      <c r="O385" s="34"/>
      <c r="T385" s="34"/>
      <c r="U385" s="34"/>
      <c r="V385" s="33"/>
      <c r="AW385" s="34"/>
      <c r="AX385" s="34"/>
    </row>
    <row r="386" spans="8:50" s="35" customFormat="1" hidden="1" x14ac:dyDescent="0.25">
      <c r="H386" s="304"/>
      <c r="K386" s="149"/>
      <c r="L386" s="150"/>
      <c r="M386" s="34"/>
      <c r="N386" s="34"/>
      <c r="O386" s="34"/>
      <c r="T386" s="34"/>
      <c r="U386" s="34"/>
      <c r="V386" s="33"/>
      <c r="AW386" s="34"/>
      <c r="AX386" s="34"/>
    </row>
    <row r="387" spans="8:50" s="35" customFormat="1" hidden="1" x14ac:dyDescent="0.25">
      <c r="H387" s="304"/>
      <c r="K387" s="149"/>
      <c r="L387" s="150"/>
      <c r="M387" s="34"/>
      <c r="N387" s="34"/>
      <c r="O387" s="34"/>
      <c r="T387" s="34"/>
      <c r="U387" s="34"/>
      <c r="V387" s="33"/>
      <c r="AW387" s="34"/>
      <c r="AX387" s="34"/>
    </row>
    <row r="388" spans="8:50" s="35" customFormat="1" hidden="1" x14ac:dyDescent="0.25">
      <c r="H388" s="304"/>
      <c r="K388" s="149"/>
      <c r="L388" s="150"/>
      <c r="M388" s="34"/>
      <c r="N388" s="34"/>
      <c r="O388" s="34"/>
      <c r="T388" s="34"/>
      <c r="U388" s="34"/>
      <c r="V388" s="33"/>
      <c r="AW388" s="34"/>
      <c r="AX388" s="34"/>
    </row>
    <row r="389" spans="8:50" s="35" customFormat="1" hidden="1" x14ac:dyDescent="0.25">
      <c r="H389" s="304"/>
      <c r="K389" s="149"/>
      <c r="L389" s="150"/>
      <c r="M389" s="34"/>
      <c r="N389" s="34"/>
      <c r="O389" s="34"/>
      <c r="T389" s="34"/>
      <c r="U389" s="34"/>
      <c r="V389" s="33"/>
      <c r="AW389" s="34"/>
      <c r="AX389" s="34"/>
    </row>
    <row r="390" spans="8:50" s="35" customFormat="1" hidden="1" x14ac:dyDescent="0.25">
      <c r="H390" s="304"/>
      <c r="K390" s="149"/>
      <c r="L390" s="150"/>
      <c r="M390" s="34"/>
      <c r="N390" s="34"/>
      <c r="O390" s="34"/>
      <c r="T390" s="34"/>
      <c r="U390" s="34"/>
      <c r="V390" s="33"/>
      <c r="AW390" s="34"/>
      <c r="AX390" s="34"/>
    </row>
    <row r="391" spans="8:50" s="35" customFormat="1" hidden="1" x14ac:dyDescent="0.25">
      <c r="H391" s="304"/>
      <c r="K391" s="149"/>
      <c r="L391" s="150"/>
      <c r="M391" s="34"/>
      <c r="N391" s="34"/>
      <c r="O391" s="34"/>
      <c r="T391" s="34"/>
      <c r="U391" s="34"/>
      <c r="V391" s="33"/>
      <c r="AW391" s="34"/>
      <c r="AX391" s="34"/>
    </row>
    <row r="392" spans="8:50" s="35" customFormat="1" hidden="1" x14ac:dyDescent="0.25">
      <c r="H392" s="304"/>
      <c r="K392" s="149"/>
      <c r="L392" s="150"/>
      <c r="M392" s="34"/>
      <c r="N392" s="34"/>
      <c r="O392" s="34"/>
      <c r="T392" s="34"/>
      <c r="U392" s="34"/>
      <c r="V392" s="33"/>
      <c r="AW392" s="34"/>
      <c r="AX392" s="34"/>
    </row>
    <row r="393" spans="8:50" s="35" customFormat="1" hidden="1" x14ac:dyDescent="0.25">
      <c r="H393" s="304"/>
      <c r="K393" s="149"/>
      <c r="L393" s="150"/>
      <c r="M393" s="34"/>
      <c r="N393" s="34"/>
      <c r="O393" s="34"/>
      <c r="T393" s="34"/>
      <c r="U393" s="34"/>
      <c r="V393" s="33"/>
      <c r="AW393" s="34"/>
      <c r="AX393" s="34"/>
    </row>
    <row r="394" spans="8:50" s="35" customFormat="1" hidden="1" x14ac:dyDescent="0.25">
      <c r="H394" s="304"/>
      <c r="K394" s="149"/>
      <c r="L394" s="150"/>
      <c r="M394" s="34"/>
      <c r="N394" s="34"/>
      <c r="O394" s="34"/>
      <c r="T394" s="34"/>
      <c r="U394" s="34"/>
      <c r="V394" s="33"/>
      <c r="AW394" s="34"/>
      <c r="AX394" s="34"/>
    </row>
    <row r="395" spans="8:50" s="35" customFormat="1" hidden="1" x14ac:dyDescent="0.25">
      <c r="H395" s="304"/>
      <c r="K395" s="149"/>
      <c r="L395" s="150"/>
      <c r="M395" s="34"/>
      <c r="N395" s="34"/>
      <c r="O395" s="34"/>
      <c r="T395" s="34"/>
      <c r="U395" s="34"/>
      <c r="V395" s="33"/>
      <c r="AW395" s="34"/>
      <c r="AX395" s="34"/>
    </row>
    <row r="396" spans="8:50" s="35" customFormat="1" hidden="1" x14ac:dyDescent="0.25">
      <c r="H396" s="304"/>
      <c r="K396" s="149"/>
      <c r="L396" s="150"/>
      <c r="M396" s="34"/>
      <c r="N396" s="34"/>
      <c r="O396" s="34"/>
      <c r="T396" s="34"/>
      <c r="U396" s="34"/>
      <c r="V396" s="33"/>
      <c r="AW396" s="34"/>
      <c r="AX396" s="34"/>
    </row>
    <row r="397" spans="8:50" s="35" customFormat="1" hidden="1" x14ac:dyDescent="0.25">
      <c r="H397" s="304"/>
      <c r="K397" s="149"/>
      <c r="L397" s="150"/>
      <c r="M397" s="34"/>
      <c r="N397" s="34"/>
      <c r="O397" s="34"/>
      <c r="T397" s="34"/>
      <c r="U397" s="34"/>
      <c r="V397" s="33"/>
      <c r="AW397" s="34"/>
      <c r="AX397" s="34"/>
    </row>
    <row r="398" spans="8:50" s="35" customFormat="1" hidden="1" x14ac:dyDescent="0.25">
      <c r="H398" s="304"/>
      <c r="K398" s="149"/>
      <c r="L398" s="150"/>
      <c r="M398" s="34"/>
      <c r="N398" s="34"/>
      <c r="O398" s="34"/>
      <c r="T398" s="34"/>
      <c r="U398" s="34"/>
      <c r="V398" s="33"/>
      <c r="AW398" s="34"/>
      <c r="AX398" s="34"/>
    </row>
    <row r="399" spans="8:50" s="35" customFormat="1" hidden="1" x14ac:dyDescent="0.25">
      <c r="H399" s="304"/>
      <c r="K399" s="149"/>
      <c r="L399" s="150"/>
      <c r="M399" s="34"/>
      <c r="N399" s="34"/>
      <c r="O399" s="34"/>
      <c r="T399" s="34"/>
      <c r="U399" s="34"/>
      <c r="V399" s="33"/>
      <c r="AW399" s="34"/>
      <c r="AX399" s="34"/>
    </row>
    <row r="400" spans="8:50" s="35" customFormat="1" hidden="1" x14ac:dyDescent="0.25">
      <c r="H400" s="304"/>
      <c r="K400" s="149"/>
      <c r="L400" s="150"/>
      <c r="M400" s="34"/>
      <c r="N400" s="34"/>
      <c r="O400" s="34"/>
      <c r="T400" s="34"/>
      <c r="U400" s="34"/>
      <c r="V400" s="33"/>
      <c r="AW400" s="34"/>
      <c r="AX400" s="34"/>
    </row>
    <row r="401" spans="8:50" s="35" customFormat="1" hidden="1" x14ac:dyDescent="0.25">
      <c r="H401" s="304"/>
      <c r="K401" s="149"/>
      <c r="L401" s="150"/>
      <c r="M401" s="34"/>
      <c r="N401" s="34"/>
      <c r="O401" s="34"/>
      <c r="T401" s="34"/>
      <c r="U401" s="34"/>
      <c r="V401" s="33"/>
      <c r="AW401" s="34"/>
      <c r="AX401" s="34"/>
    </row>
    <row r="402" spans="8:50" s="35" customFormat="1" hidden="1" x14ac:dyDescent="0.25">
      <c r="H402" s="304"/>
      <c r="K402" s="149"/>
      <c r="L402" s="150"/>
      <c r="M402" s="34"/>
      <c r="N402" s="34"/>
      <c r="O402" s="34"/>
      <c r="T402" s="34"/>
      <c r="U402" s="34"/>
      <c r="V402" s="33"/>
      <c r="AW402" s="34"/>
      <c r="AX402" s="34"/>
    </row>
    <row r="403" spans="8:50" s="35" customFormat="1" hidden="1" x14ac:dyDescent="0.25">
      <c r="H403" s="304"/>
      <c r="K403" s="149"/>
      <c r="L403" s="150"/>
      <c r="M403" s="34"/>
      <c r="N403" s="34"/>
      <c r="O403" s="34"/>
      <c r="T403" s="34"/>
      <c r="U403" s="34"/>
      <c r="V403" s="33"/>
      <c r="AW403" s="34"/>
      <c r="AX403" s="34"/>
    </row>
    <row r="404" spans="8:50" s="35" customFormat="1" hidden="1" x14ac:dyDescent="0.25">
      <c r="H404" s="304"/>
      <c r="K404" s="149"/>
      <c r="L404" s="150"/>
      <c r="M404" s="34"/>
      <c r="N404" s="34"/>
      <c r="O404" s="34"/>
      <c r="T404" s="34"/>
      <c r="U404" s="34"/>
      <c r="V404" s="33"/>
      <c r="AW404" s="34"/>
      <c r="AX404" s="34"/>
    </row>
    <row r="405" spans="8:50" s="35" customFormat="1" hidden="1" x14ac:dyDescent="0.25">
      <c r="H405" s="304"/>
      <c r="K405" s="149"/>
      <c r="L405" s="150"/>
      <c r="M405" s="34"/>
      <c r="N405" s="34"/>
      <c r="O405" s="34"/>
      <c r="T405" s="34"/>
      <c r="U405" s="34"/>
      <c r="V405" s="33"/>
      <c r="AW405" s="34"/>
      <c r="AX405" s="34"/>
    </row>
    <row r="406" spans="8:50" s="35" customFormat="1" hidden="1" x14ac:dyDescent="0.25">
      <c r="H406" s="304"/>
      <c r="K406" s="149"/>
      <c r="L406" s="150"/>
      <c r="M406" s="34"/>
      <c r="N406" s="34"/>
      <c r="O406" s="34"/>
      <c r="T406" s="34"/>
      <c r="U406" s="34"/>
      <c r="V406" s="33"/>
      <c r="AW406" s="34"/>
      <c r="AX406" s="34"/>
    </row>
    <row r="407" spans="8:50" s="35" customFormat="1" hidden="1" x14ac:dyDescent="0.25">
      <c r="H407" s="304"/>
      <c r="K407" s="149"/>
      <c r="L407" s="150"/>
      <c r="M407" s="34"/>
      <c r="N407" s="34"/>
      <c r="O407" s="34"/>
      <c r="T407" s="34"/>
      <c r="U407" s="34"/>
      <c r="V407" s="33"/>
      <c r="AW407" s="34"/>
      <c r="AX407" s="34"/>
    </row>
    <row r="408" spans="8:50" s="35" customFormat="1" hidden="1" x14ac:dyDescent="0.25">
      <c r="H408" s="304"/>
      <c r="K408" s="149"/>
      <c r="L408" s="150"/>
      <c r="M408" s="34"/>
      <c r="N408" s="34"/>
      <c r="O408" s="34"/>
      <c r="T408" s="34"/>
      <c r="U408" s="34"/>
      <c r="V408" s="33"/>
      <c r="AW408" s="34"/>
      <c r="AX408" s="34"/>
    </row>
    <row r="409" spans="8:50" s="35" customFormat="1" hidden="1" x14ac:dyDescent="0.25">
      <c r="H409" s="304"/>
      <c r="K409" s="149"/>
      <c r="L409" s="150"/>
      <c r="M409" s="34"/>
      <c r="N409" s="34"/>
      <c r="O409" s="34"/>
      <c r="T409" s="34"/>
      <c r="U409" s="34"/>
      <c r="V409" s="33"/>
      <c r="AW409" s="34"/>
      <c r="AX409" s="34"/>
    </row>
    <row r="410" spans="8:50" s="35" customFormat="1" hidden="1" x14ac:dyDescent="0.25">
      <c r="H410" s="304"/>
      <c r="K410" s="149"/>
      <c r="L410" s="150"/>
      <c r="M410" s="34"/>
      <c r="N410" s="34"/>
      <c r="O410" s="34"/>
      <c r="T410" s="34"/>
      <c r="U410" s="34"/>
      <c r="V410" s="33"/>
      <c r="AW410" s="34"/>
      <c r="AX410" s="34"/>
    </row>
    <row r="411" spans="8:50" s="35" customFormat="1" hidden="1" x14ac:dyDescent="0.25">
      <c r="H411" s="304"/>
      <c r="K411" s="149"/>
      <c r="L411" s="150"/>
      <c r="M411" s="34"/>
      <c r="N411" s="34"/>
      <c r="O411" s="34"/>
      <c r="T411" s="34"/>
      <c r="U411" s="34"/>
      <c r="V411" s="33"/>
      <c r="AW411" s="34"/>
      <c r="AX411" s="34"/>
    </row>
    <row r="412" spans="8:50" s="35" customFormat="1" hidden="1" x14ac:dyDescent="0.25">
      <c r="H412" s="304"/>
      <c r="K412" s="149"/>
      <c r="L412" s="150"/>
      <c r="M412" s="34"/>
      <c r="N412" s="34"/>
      <c r="O412" s="34"/>
      <c r="T412" s="34"/>
      <c r="U412" s="34"/>
      <c r="V412" s="33"/>
      <c r="AW412" s="34"/>
      <c r="AX412" s="34"/>
    </row>
    <row r="413" spans="8:50" s="35" customFormat="1" hidden="1" x14ac:dyDescent="0.25">
      <c r="H413" s="304"/>
      <c r="K413" s="149"/>
      <c r="L413" s="150"/>
      <c r="M413" s="34"/>
      <c r="N413" s="34"/>
      <c r="O413" s="34"/>
      <c r="T413" s="34"/>
      <c r="U413" s="34"/>
      <c r="V413" s="33"/>
      <c r="AW413" s="34"/>
      <c r="AX413" s="34"/>
    </row>
    <row r="414" spans="8:50" s="35" customFormat="1" hidden="1" x14ac:dyDescent="0.25">
      <c r="H414" s="304"/>
      <c r="K414" s="149"/>
      <c r="L414" s="150"/>
      <c r="M414" s="34"/>
      <c r="N414" s="34"/>
      <c r="O414" s="34"/>
      <c r="T414" s="34"/>
      <c r="U414" s="34"/>
      <c r="V414" s="33"/>
      <c r="AW414" s="34"/>
      <c r="AX414" s="34"/>
    </row>
    <row r="415" spans="8:50" s="35" customFormat="1" hidden="1" x14ac:dyDescent="0.25">
      <c r="H415" s="304"/>
      <c r="K415" s="149"/>
      <c r="L415" s="150"/>
      <c r="M415" s="34"/>
      <c r="N415" s="34"/>
      <c r="O415" s="34"/>
      <c r="T415" s="34"/>
      <c r="U415" s="34"/>
      <c r="V415" s="33"/>
      <c r="AW415" s="34"/>
      <c r="AX415" s="34"/>
    </row>
    <row r="416" spans="8:50" s="35" customFormat="1" hidden="1" x14ac:dyDescent="0.25">
      <c r="H416" s="304"/>
      <c r="K416" s="149"/>
      <c r="L416" s="150"/>
      <c r="M416" s="34"/>
      <c r="N416" s="34"/>
      <c r="O416" s="34"/>
      <c r="T416" s="34"/>
      <c r="U416" s="34"/>
      <c r="V416" s="33"/>
      <c r="AW416" s="34"/>
      <c r="AX416" s="34"/>
    </row>
    <row r="417" spans="8:50" s="35" customFormat="1" hidden="1" x14ac:dyDescent="0.25">
      <c r="H417" s="304"/>
      <c r="K417" s="149"/>
      <c r="L417" s="150"/>
      <c r="M417" s="34"/>
      <c r="N417" s="34"/>
      <c r="O417" s="34"/>
      <c r="T417" s="34"/>
      <c r="U417" s="34"/>
      <c r="V417" s="33"/>
      <c r="AW417" s="34"/>
      <c r="AX417" s="34"/>
    </row>
    <row r="418" spans="8:50" s="35" customFormat="1" hidden="1" x14ac:dyDescent="0.25">
      <c r="H418" s="304"/>
      <c r="K418" s="149"/>
      <c r="L418" s="150"/>
      <c r="M418" s="34"/>
      <c r="N418" s="34"/>
      <c r="O418" s="34"/>
      <c r="T418" s="34"/>
      <c r="U418" s="34"/>
      <c r="V418" s="33"/>
      <c r="AW418" s="34"/>
      <c r="AX418" s="34"/>
    </row>
    <row r="419" spans="8:50" s="35" customFormat="1" hidden="1" x14ac:dyDescent="0.25">
      <c r="H419" s="304"/>
      <c r="K419" s="149"/>
      <c r="L419" s="150"/>
      <c r="M419" s="34"/>
      <c r="N419" s="34"/>
      <c r="O419" s="34"/>
      <c r="T419" s="34"/>
      <c r="U419" s="34"/>
      <c r="V419" s="33"/>
      <c r="AW419" s="34"/>
      <c r="AX419" s="34"/>
    </row>
    <row r="420" spans="8:50" s="35" customFormat="1" hidden="1" x14ac:dyDescent="0.25">
      <c r="H420" s="304"/>
      <c r="K420" s="149"/>
      <c r="L420" s="150"/>
      <c r="M420" s="34"/>
      <c r="N420" s="34"/>
      <c r="O420" s="34"/>
      <c r="T420" s="34"/>
      <c r="U420" s="34"/>
      <c r="V420" s="33"/>
      <c r="AW420" s="34"/>
      <c r="AX420" s="34"/>
    </row>
    <row r="421" spans="8:50" s="35" customFormat="1" hidden="1" x14ac:dyDescent="0.25">
      <c r="H421" s="304"/>
      <c r="K421" s="149"/>
      <c r="L421" s="150"/>
      <c r="M421" s="34"/>
      <c r="N421" s="34"/>
      <c r="O421" s="34"/>
      <c r="T421" s="34"/>
      <c r="U421" s="34"/>
      <c r="V421" s="33"/>
      <c r="AW421" s="34"/>
      <c r="AX421" s="34"/>
    </row>
    <row r="422" spans="8:50" s="35" customFormat="1" hidden="1" x14ac:dyDescent="0.25">
      <c r="H422" s="304"/>
      <c r="K422" s="149"/>
      <c r="L422" s="150"/>
      <c r="M422" s="34"/>
      <c r="N422" s="34"/>
      <c r="O422" s="34"/>
      <c r="T422" s="34"/>
      <c r="U422" s="34"/>
      <c r="V422" s="33"/>
      <c r="AW422" s="34"/>
      <c r="AX422" s="34"/>
    </row>
    <row r="423" spans="8:50" s="35" customFormat="1" hidden="1" x14ac:dyDescent="0.25">
      <c r="H423" s="304"/>
      <c r="K423" s="149"/>
      <c r="L423" s="150"/>
      <c r="M423" s="34"/>
      <c r="N423" s="34"/>
      <c r="O423" s="34"/>
      <c r="T423" s="34"/>
      <c r="U423" s="34"/>
      <c r="V423" s="33"/>
      <c r="AW423" s="34"/>
      <c r="AX423" s="34"/>
    </row>
    <row r="424" spans="8:50" s="35" customFormat="1" hidden="1" x14ac:dyDescent="0.25">
      <c r="H424" s="304"/>
      <c r="K424" s="149"/>
      <c r="L424" s="150"/>
      <c r="M424" s="34"/>
      <c r="N424" s="34"/>
      <c r="O424" s="34"/>
      <c r="T424" s="34"/>
      <c r="U424" s="34"/>
      <c r="V424" s="33"/>
      <c r="AW424" s="34"/>
      <c r="AX424" s="34"/>
    </row>
    <row r="425" spans="8:50" s="35" customFormat="1" hidden="1" x14ac:dyDescent="0.25">
      <c r="H425" s="304"/>
      <c r="K425" s="149"/>
      <c r="L425" s="150"/>
      <c r="M425" s="34"/>
      <c r="N425" s="34"/>
      <c r="O425" s="34"/>
      <c r="T425" s="34"/>
      <c r="U425" s="34"/>
      <c r="V425" s="33"/>
      <c r="AW425" s="34"/>
      <c r="AX425" s="34"/>
    </row>
    <row r="426" spans="8:50" s="35" customFormat="1" hidden="1" x14ac:dyDescent="0.25">
      <c r="H426" s="304"/>
      <c r="K426" s="149"/>
      <c r="L426" s="150"/>
      <c r="M426" s="34"/>
      <c r="N426" s="34"/>
      <c r="O426" s="34"/>
      <c r="T426" s="34"/>
      <c r="U426" s="34"/>
      <c r="V426" s="33"/>
      <c r="AW426" s="34"/>
      <c r="AX426" s="34"/>
    </row>
    <row r="427" spans="8:50" s="35" customFormat="1" hidden="1" x14ac:dyDescent="0.25">
      <c r="H427" s="304"/>
      <c r="K427" s="149"/>
      <c r="L427" s="150"/>
      <c r="M427" s="34"/>
      <c r="N427" s="34"/>
      <c r="O427" s="34"/>
      <c r="T427" s="34"/>
      <c r="U427" s="34"/>
      <c r="V427" s="33"/>
      <c r="AW427" s="34"/>
      <c r="AX427" s="34"/>
    </row>
    <row r="428" spans="8:50" s="35" customFormat="1" hidden="1" x14ac:dyDescent="0.25">
      <c r="H428" s="304"/>
      <c r="K428" s="149"/>
      <c r="L428" s="150"/>
      <c r="M428" s="34"/>
      <c r="N428" s="34"/>
      <c r="O428" s="34"/>
      <c r="T428" s="34"/>
      <c r="U428" s="34"/>
      <c r="V428" s="33"/>
      <c r="AW428" s="34"/>
      <c r="AX428" s="34"/>
    </row>
    <row r="429" spans="8:50" s="35" customFormat="1" hidden="1" x14ac:dyDescent="0.25">
      <c r="H429" s="304"/>
      <c r="K429" s="149"/>
      <c r="L429" s="150"/>
      <c r="M429" s="34"/>
      <c r="N429" s="34"/>
      <c r="O429" s="34"/>
      <c r="T429" s="34"/>
      <c r="U429" s="34"/>
      <c r="V429" s="33"/>
      <c r="AW429" s="34"/>
      <c r="AX429" s="34"/>
    </row>
    <row r="430" spans="8:50" s="35" customFormat="1" hidden="1" x14ac:dyDescent="0.25">
      <c r="H430" s="304"/>
      <c r="K430" s="149"/>
      <c r="L430" s="150"/>
      <c r="M430" s="34"/>
      <c r="N430" s="34"/>
      <c r="O430" s="34"/>
      <c r="T430" s="34"/>
      <c r="U430" s="34"/>
      <c r="V430" s="33"/>
      <c r="AW430" s="34"/>
      <c r="AX430" s="34"/>
    </row>
    <row r="431" spans="8:50" s="35" customFormat="1" hidden="1" x14ac:dyDescent="0.25">
      <c r="H431" s="304"/>
      <c r="K431" s="149"/>
      <c r="L431" s="150"/>
      <c r="M431" s="34"/>
      <c r="N431" s="34"/>
      <c r="O431" s="34"/>
      <c r="T431" s="34"/>
      <c r="U431" s="34"/>
      <c r="V431" s="33"/>
      <c r="AW431" s="34"/>
      <c r="AX431" s="34"/>
    </row>
    <row r="432" spans="8:50" s="35" customFormat="1" hidden="1" x14ac:dyDescent="0.25">
      <c r="H432" s="304"/>
      <c r="K432" s="149"/>
      <c r="L432" s="150"/>
      <c r="M432" s="34"/>
      <c r="N432" s="34"/>
      <c r="O432" s="34"/>
      <c r="T432" s="34"/>
      <c r="U432" s="34"/>
      <c r="V432" s="33"/>
      <c r="AW432" s="34"/>
      <c r="AX432" s="34"/>
    </row>
    <row r="433" spans="8:50" s="35" customFormat="1" hidden="1" x14ac:dyDescent="0.25">
      <c r="H433" s="304"/>
      <c r="K433" s="149"/>
      <c r="L433" s="150"/>
      <c r="M433" s="34"/>
      <c r="N433" s="34"/>
      <c r="O433" s="34"/>
      <c r="T433" s="34"/>
      <c r="U433" s="34"/>
      <c r="V433" s="33"/>
      <c r="AW433" s="34"/>
      <c r="AX433" s="34"/>
    </row>
    <row r="434" spans="8:50" s="35" customFormat="1" hidden="1" x14ac:dyDescent="0.25">
      <c r="H434" s="304"/>
      <c r="K434" s="149"/>
      <c r="L434" s="150"/>
      <c r="M434" s="34"/>
      <c r="N434" s="34"/>
      <c r="O434" s="34"/>
      <c r="T434" s="34"/>
      <c r="U434" s="34"/>
      <c r="V434" s="33"/>
      <c r="AW434" s="34"/>
      <c r="AX434" s="34"/>
    </row>
    <row r="435" spans="8:50" s="35" customFormat="1" hidden="1" x14ac:dyDescent="0.25">
      <c r="H435" s="304"/>
      <c r="K435" s="149"/>
      <c r="L435" s="150"/>
      <c r="M435" s="34"/>
      <c r="N435" s="34"/>
      <c r="O435" s="34"/>
      <c r="T435" s="34"/>
      <c r="U435" s="34"/>
      <c r="V435" s="33"/>
      <c r="AW435" s="34"/>
      <c r="AX435" s="34"/>
    </row>
    <row r="436" spans="8:50" s="35" customFormat="1" hidden="1" x14ac:dyDescent="0.25">
      <c r="H436" s="304"/>
      <c r="K436" s="149"/>
      <c r="L436" s="150"/>
      <c r="M436" s="34"/>
      <c r="N436" s="34"/>
      <c r="O436" s="34"/>
      <c r="T436" s="34"/>
      <c r="U436" s="34"/>
      <c r="V436" s="33"/>
      <c r="AW436" s="34"/>
      <c r="AX436" s="34"/>
    </row>
    <row r="437" spans="8:50" s="35" customFormat="1" hidden="1" x14ac:dyDescent="0.25">
      <c r="H437" s="304"/>
      <c r="K437" s="149"/>
      <c r="L437" s="150"/>
      <c r="M437" s="34"/>
      <c r="N437" s="34"/>
      <c r="O437" s="34"/>
      <c r="T437" s="34"/>
      <c r="U437" s="34"/>
      <c r="V437" s="33"/>
      <c r="AW437" s="34"/>
      <c r="AX437" s="34"/>
    </row>
    <row r="438" spans="8:50" s="35" customFormat="1" hidden="1" x14ac:dyDescent="0.25">
      <c r="H438" s="304"/>
      <c r="K438" s="149"/>
      <c r="L438" s="150"/>
      <c r="M438" s="34"/>
      <c r="N438" s="34"/>
      <c r="O438" s="34"/>
      <c r="T438" s="34"/>
      <c r="U438" s="34"/>
      <c r="V438" s="33"/>
      <c r="AW438" s="34"/>
      <c r="AX438" s="34"/>
    </row>
    <row r="439" spans="8:50" s="35" customFormat="1" hidden="1" x14ac:dyDescent="0.25">
      <c r="H439" s="304"/>
      <c r="K439" s="149"/>
      <c r="L439" s="150"/>
      <c r="M439" s="34"/>
      <c r="N439" s="34"/>
      <c r="O439" s="34"/>
      <c r="T439" s="34"/>
      <c r="U439" s="34"/>
      <c r="V439" s="33"/>
      <c r="AW439" s="34"/>
      <c r="AX439" s="34"/>
    </row>
    <row r="440" spans="8:50" s="35" customFormat="1" hidden="1" x14ac:dyDescent="0.25">
      <c r="H440" s="304"/>
      <c r="K440" s="149"/>
      <c r="L440" s="150"/>
      <c r="M440" s="34"/>
      <c r="N440" s="34"/>
      <c r="O440" s="34"/>
      <c r="T440" s="34"/>
      <c r="U440" s="34"/>
      <c r="V440" s="33"/>
      <c r="AW440" s="34"/>
      <c r="AX440" s="34"/>
    </row>
    <row r="441" spans="8:50" s="35" customFormat="1" hidden="1" x14ac:dyDescent="0.25">
      <c r="H441" s="304"/>
      <c r="K441" s="149"/>
      <c r="L441" s="150"/>
      <c r="M441" s="34"/>
      <c r="N441" s="34"/>
      <c r="O441" s="34"/>
      <c r="T441" s="34"/>
      <c r="U441" s="34"/>
      <c r="V441" s="33"/>
      <c r="AW441" s="34"/>
      <c r="AX441" s="34"/>
    </row>
    <row r="442" spans="8:50" s="35" customFormat="1" hidden="1" x14ac:dyDescent="0.25">
      <c r="H442" s="304"/>
      <c r="K442" s="149"/>
      <c r="L442" s="150"/>
      <c r="M442" s="34"/>
      <c r="N442" s="34"/>
      <c r="O442" s="34"/>
      <c r="T442" s="34"/>
      <c r="U442" s="34"/>
      <c r="V442" s="33"/>
      <c r="AW442" s="34"/>
      <c r="AX442" s="34"/>
    </row>
    <row r="443" spans="8:50" s="35" customFormat="1" hidden="1" x14ac:dyDescent="0.25">
      <c r="H443" s="304"/>
      <c r="K443" s="149"/>
      <c r="L443" s="150"/>
      <c r="M443" s="34"/>
      <c r="N443" s="34"/>
      <c r="O443" s="34"/>
      <c r="T443" s="34"/>
      <c r="U443" s="34"/>
      <c r="V443" s="33"/>
      <c r="AW443" s="34"/>
      <c r="AX443" s="34"/>
    </row>
    <row r="444" spans="8:50" s="35" customFormat="1" hidden="1" x14ac:dyDescent="0.25">
      <c r="H444" s="304"/>
      <c r="K444" s="149"/>
      <c r="L444" s="150"/>
      <c r="M444" s="34"/>
      <c r="N444" s="34"/>
      <c r="O444" s="34"/>
      <c r="T444" s="34"/>
      <c r="U444" s="34"/>
      <c r="V444" s="33"/>
      <c r="AW444" s="34"/>
      <c r="AX444" s="34"/>
    </row>
    <row r="445" spans="8:50" s="35" customFormat="1" hidden="1" x14ac:dyDescent="0.25">
      <c r="H445" s="304"/>
      <c r="K445" s="149"/>
      <c r="L445" s="150"/>
      <c r="M445" s="34"/>
      <c r="N445" s="34"/>
      <c r="O445" s="34"/>
      <c r="T445" s="34"/>
      <c r="U445" s="34"/>
      <c r="V445" s="33"/>
      <c r="AW445" s="34"/>
      <c r="AX445" s="34"/>
    </row>
    <row r="446" spans="8:50" s="35" customFormat="1" hidden="1" x14ac:dyDescent="0.25">
      <c r="H446" s="304"/>
      <c r="K446" s="149"/>
      <c r="L446" s="150"/>
      <c r="M446" s="34"/>
      <c r="N446" s="34"/>
      <c r="O446" s="34"/>
      <c r="T446" s="34"/>
      <c r="U446" s="34"/>
      <c r="V446" s="33"/>
      <c r="AW446" s="34"/>
      <c r="AX446" s="34"/>
    </row>
    <row r="447" spans="8:50" s="35" customFormat="1" hidden="1" x14ac:dyDescent="0.25">
      <c r="H447" s="304"/>
      <c r="K447" s="149"/>
      <c r="L447" s="150"/>
      <c r="M447" s="34"/>
      <c r="N447" s="34"/>
      <c r="O447" s="34"/>
      <c r="T447" s="34"/>
      <c r="U447" s="34"/>
      <c r="V447" s="33"/>
      <c r="AW447" s="34"/>
      <c r="AX447" s="34"/>
    </row>
    <row r="448" spans="8:50" s="35" customFormat="1" hidden="1" x14ac:dyDescent="0.25">
      <c r="H448" s="304"/>
      <c r="K448" s="149"/>
      <c r="L448" s="150"/>
      <c r="M448" s="34"/>
      <c r="N448" s="34"/>
      <c r="O448" s="34"/>
      <c r="T448" s="34"/>
      <c r="U448" s="34"/>
      <c r="V448" s="33"/>
      <c r="AW448" s="34"/>
      <c r="AX448" s="34"/>
    </row>
    <row r="449" spans="8:50" s="35" customFormat="1" hidden="1" x14ac:dyDescent="0.25">
      <c r="H449" s="304"/>
      <c r="K449" s="149"/>
      <c r="L449" s="150"/>
      <c r="M449" s="34"/>
      <c r="N449" s="34"/>
      <c r="O449" s="34"/>
      <c r="T449" s="34"/>
      <c r="U449" s="34"/>
      <c r="V449" s="33"/>
      <c r="AW449" s="34"/>
      <c r="AX449" s="34"/>
    </row>
    <row r="450" spans="8:50" s="35" customFormat="1" hidden="1" x14ac:dyDescent="0.25">
      <c r="H450" s="304"/>
      <c r="K450" s="149"/>
      <c r="L450" s="150"/>
      <c r="M450" s="34"/>
      <c r="N450" s="34"/>
      <c r="O450" s="34"/>
      <c r="T450" s="34"/>
      <c r="U450" s="34"/>
      <c r="V450" s="33"/>
      <c r="AW450" s="34"/>
      <c r="AX450" s="34"/>
    </row>
    <row r="451" spans="8:50" s="35" customFormat="1" hidden="1" x14ac:dyDescent="0.25">
      <c r="H451" s="304"/>
      <c r="K451" s="149"/>
      <c r="L451" s="150"/>
      <c r="M451" s="34"/>
      <c r="N451" s="34"/>
      <c r="O451" s="34"/>
      <c r="T451" s="34"/>
      <c r="U451" s="34"/>
      <c r="V451" s="33"/>
      <c r="AW451" s="34"/>
      <c r="AX451" s="34"/>
    </row>
    <row r="452" spans="8:50" s="35" customFormat="1" hidden="1" x14ac:dyDescent="0.25">
      <c r="H452" s="304"/>
      <c r="K452" s="149"/>
      <c r="L452" s="150"/>
      <c r="M452" s="34"/>
      <c r="N452" s="34"/>
      <c r="O452" s="34"/>
      <c r="T452" s="34"/>
      <c r="U452" s="34"/>
      <c r="V452" s="33"/>
      <c r="AW452" s="34"/>
      <c r="AX452" s="34"/>
    </row>
    <row r="453" spans="8:50" s="35" customFormat="1" hidden="1" x14ac:dyDescent="0.25">
      <c r="H453" s="304"/>
      <c r="K453" s="149"/>
      <c r="L453" s="150"/>
      <c r="M453" s="34"/>
      <c r="N453" s="34"/>
      <c r="O453" s="34"/>
      <c r="T453" s="34"/>
      <c r="U453" s="34"/>
      <c r="V453" s="33"/>
      <c r="AW453" s="34"/>
      <c r="AX453" s="34"/>
    </row>
    <row r="454" spans="8:50" s="35" customFormat="1" hidden="1" x14ac:dyDescent="0.25">
      <c r="H454" s="304"/>
      <c r="K454" s="149"/>
      <c r="L454" s="150"/>
      <c r="M454" s="34"/>
      <c r="N454" s="34"/>
      <c r="O454" s="34"/>
      <c r="T454" s="34"/>
      <c r="U454" s="34"/>
      <c r="V454" s="33"/>
      <c r="AW454" s="34"/>
      <c r="AX454" s="34"/>
    </row>
    <row r="455" spans="8:50" s="35" customFormat="1" hidden="1" x14ac:dyDescent="0.25">
      <c r="H455" s="304"/>
      <c r="K455" s="149"/>
      <c r="L455" s="150"/>
      <c r="M455" s="34"/>
      <c r="N455" s="34"/>
      <c r="O455" s="34"/>
      <c r="T455" s="34"/>
      <c r="U455" s="34"/>
      <c r="V455" s="33"/>
      <c r="AW455" s="34"/>
      <c r="AX455" s="34"/>
    </row>
    <row r="456" spans="8:50" s="35" customFormat="1" hidden="1" x14ac:dyDescent="0.25">
      <c r="H456" s="304"/>
      <c r="K456" s="149"/>
      <c r="L456" s="150"/>
      <c r="M456" s="34"/>
      <c r="N456" s="34"/>
      <c r="O456" s="34"/>
      <c r="T456" s="34"/>
      <c r="U456" s="34"/>
      <c r="V456" s="33"/>
      <c r="AW456" s="34"/>
      <c r="AX456" s="34"/>
    </row>
    <row r="457" spans="8:50" s="35" customFormat="1" hidden="1" x14ac:dyDescent="0.25">
      <c r="H457" s="304"/>
      <c r="K457" s="149"/>
      <c r="L457" s="150"/>
      <c r="M457" s="34"/>
      <c r="N457" s="34"/>
      <c r="O457" s="34"/>
      <c r="T457" s="34"/>
      <c r="U457" s="34"/>
      <c r="V457" s="33"/>
      <c r="AW457" s="34"/>
      <c r="AX457" s="34"/>
    </row>
    <row r="458" spans="8:50" s="35" customFormat="1" hidden="1" x14ac:dyDescent="0.25">
      <c r="H458" s="304"/>
      <c r="K458" s="149"/>
      <c r="L458" s="150"/>
      <c r="M458" s="34"/>
      <c r="N458" s="34"/>
      <c r="O458" s="34"/>
      <c r="T458" s="34"/>
      <c r="U458" s="34"/>
      <c r="V458" s="33"/>
      <c r="AW458" s="34"/>
      <c r="AX458" s="34"/>
    </row>
    <row r="459" spans="8:50" s="35" customFormat="1" hidden="1" x14ac:dyDescent="0.25">
      <c r="H459" s="304"/>
      <c r="K459" s="149"/>
      <c r="L459" s="150"/>
      <c r="M459" s="34"/>
      <c r="N459" s="34"/>
      <c r="O459" s="34"/>
      <c r="T459" s="34"/>
      <c r="U459" s="34"/>
      <c r="V459" s="33"/>
      <c r="AW459" s="34"/>
      <c r="AX459" s="34"/>
    </row>
    <row r="460" spans="8:50" s="35" customFormat="1" hidden="1" x14ac:dyDescent="0.25">
      <c r="H460" s="304"/>
      <c r="K460" s="149"/>
      <c r="L460" s="150"/>
      <c r="M460" s="34"/>
      <c r="N460" s="34"/>
      <c r="O460" s="34"/>
      <c r="T460" s="34"/>
      <c r="U460" s="34"/>
      <c r="V460" s="33"/>
      <c r="AW460" s="34"/>
      <c r="AX460" s="34"/>
    </row>
    <row r="461" spans="8:50" s="35" customFormat="1" hidden="1" x14ac:dyDescent="0.25">
      <c r="H461" s="304"/>
      <c r="K461" s="149"/>
      <c r="L461" s="150"/>
      <c r="M461" s="34"/>
      <c r="N461" s="34"/>
      <c r="O461" s="34"/>
      <c r="T461" s="34"/>
      <c r="U461" s="34"/>
      <c r="V461" s="33"/>
      <c r="AW461" s="34"/>
      <c r="AX461" s="34"/>
    </row>
    <row r="462" spans="8:50" s="35" customFormat="1" hidden="1" x14ac:dyDescent="0.25">
      <c r="H462" s="304"/>
      <c r="K462" s="149"/>
      <c r="L462" s="150"/>
      <c r="M462" s="34"/>
      <c r="N462" s="34"/>
      <c r="O462" s="34"/>
      <c r="T462" s="34"/>
      <c r="U462" s="34"/>
      <c r="V462" s="33"/>
      <c r="AW462" s="34"/>
      <c r="AX462" s="34"/>
    </row>
    <row r="463" spans="8:50" s="35" customFormat="1" hidden="1" x14ac:dyDescent="0.25">
      <c r="H463" s="304"/>
      <c r="K463" s="149"/>
      <c r="L463" s="150"/>
      <c r="M463" s="34"/>
      <c r="N463" s="34"/>
      <c r="O463" s="34"/>
      <c r="T463" s="34"/>
      <c r="U463" s="34"/>
      <c r="V463" s="33"/>
      <c r="AW463" s="34"/>
      <c r="AX463" s="34"/>
    </row>
    <row r="464" spans="8:50" s="35" customFormat="1" hidden="1" x14ac:dyDescent="0.25">
      <c r="H464" s="304"/>
      <c r="K464" s="149"/>
      <c r="L464" s="150"/>
      <c r="M464" s="34"/>
      <c r="N464" s="34"/>
      <c r="O464" s="34"/>
      <c r="T464" s="34"/>
      <c r="U464" s="34"/>
      <c r="V464" s="33"/>
      <c r="AW464" s="34"/>
      <c r="AX464" s="34"/>
    </row>
    <row r="465" spans="8:50" s="35" customFormat="1" hidden="1" x14ac:dyDescent="0.25">
      <c r="H465" s="304"/>
      <c r="K465" s="149"/>
      <c r="L465" s="150"/>
      <c r="M465" s="34"/>
      <c r="N465" s="34"/>
      <c r="O465" s="34"/>
      <c r="T465" s="34"/>
      <c r="U465" s="34"/>
      <c r="V465" s="33"/>
      <c r="AW465" s="34"/>
      <c r="AX465" s="34"/>
    </row>
    <row r="466" spans="8:50" s="35" customFormat="1" hidden="1" x14ac:dyDescent="0.25">
      <c r="H466" s="304"/>
      <c r="K466" s="149"/>
      <c r="L466" s="150"/>
      <c r="M466" s="34"/>
      <c r="N466" s="34"/>
      <c r="O466" s="34"/>
      <c r="T466" s="34"/>
      <c r="U466" s="34"/>
      <c r="V466" s="33"/>
      <c r="AW466" s="34"/>
      <c r="AX466" s="34"/>
    </row>
    <row r="467" spans="8:50" s="35" customFormat="1" hidden="1" x14ac:dyDescent="0.25">
      <c r="H467" s="304"/>
      <c r="K467" s="149"/>
      <c r="L467" s="150"/>
      <c r="M467" s="34"/>
      <c r="N467" s="34"/>
      <c r="O467" s="34"/>
      <c r="T467" s="34"/>
      <c r="U467" s="34"/>
      <c r="V467" s="33"/>
      <c r="AW467" s="34"/>
      <c r="AX467" s="34"/>
    </row>
    <row r="468" spans="8:50" s="35" customFormat="1" hidden="1" x14ac:dyDescent="0.25">
      <c r="H468" s="304"/>
      <c r="K468" s="149"/>
      <c r="L468" s="150"/>
      <c r="M468" s="34"/>
      <c r="N468" s="34"/>
      <c r="O468" s="34"/>
      <c r="T468" s="34"/>
      <c r="U468" s="34"/>
      <c r="V468" s="33"/>
      <c r="AW468" s="34"/>
      <c r="AX468" s="34"/>
    </row>
    <row r="469" spans="8:50" s="35" customFormat="1" hidden="1" x14ac:dyDescent="0.25">
      <c r="H469" s="304"/>
      <c r="K469" s="149"/>
      <c r="L469" s="150"/>
      <c r="M469" s="34"/>
      <c r="N469" s="34"/>
      <c r="O469" s="34"/>
      <c r="T469" s="34"/>
      <c r="U469" s="34"/>
      <c r="V469" s="33"/>
      <c r="AW469" s="34"/>
      <c r="AX469" s="34"/>
    </row>
    <row r="470" spans="8:50" s="35" customFormat="1" hidden="1" x14ac:dyDescent="0.25">
      <c r="H470" s="304"/>
      <c r="K470" s="149"/>
      <c r="L470" s="150"/>
      <c r="M470" s="34"/>
      <c r="N470" s="34"/>
      <c r="O470" s="34"/>
      <c r="T470" s="34"/>
      <c r="U470" s="34"/>
      <c r="V470" s="33"/>
      <c r="AW470" s="34"/>
      <c r="AX470" s="34"/>
    </row>
    <row r="471" spans="8:50" s="35" customFormat="1" hidden="1" x14ac:dyDescent="0.25">
      <c r="H471" s="304"/>
      <c r="K471" s="149"/>
      <c r="L471" s="150"/>
      <c r="M471" s="34"/>
      <c r="N471" s="34"/>
      <c r="O471" s="34"/>
      <c r="T471" s="34"/>
      <c r="U471" s="34"/>
      <c r="V471" s="33"/>
      <c r="AW471" s="34"/>
      <c r="AX471" s="34"/>
    </row>
    <row r="472" spans="8:50" s="35" customFormat="1" hidden="1" x14ac:dyDescent="0.25">
      <c r="H472" s="304"/>
      <c r="K472" s="149"/>
      <c r="L472" s="150"/>
      <c r="M472" s="34"/>
      <c r="N472" s="34"/>
      <c r="O472" s="34"/>
      <c r="T472" s="34"/>
      <c r="U472" s="34"/>
      <c r="V472" s="33"/>
      <c r="AW472" s="34"/>
      <c r="AX472" s="34"/>
    </row>
    <row r="473" spans="8:50" s="35" customFormat="1" hidden="1" x14ac:dyDescent="0.25">
      <c r="H473" s="304"/>
      <c r="K473" s="149"/>
      <c r="L473" s="150"/>
      <c r="M473" s="34"/>
      <c r="N473" s="34"/>
      <c r="O473" s="34"/>
      <c r="T473" s="34"/>
      <c r="U473" s="34"/>
      <c r="V473" s="33"/>
      <c r="AW473" s="34"/>
      <c r="AX473" s="34"/>
    </row>
    <row r="474" spans="8:50" s="35" customFormat="1" hidden="1" x14ac:dyDescent="0.25">
      <c r="H474" s="304"/>
      <c r="K474" s="149"/>
      <c r="L474" s="150"/>
      <c r="M474" s="34"/>
      <c r="N474" s="34"/>
      <c r="O474" s="34"/>
      <c r="T474" s="34"/>
      <c r="U474" s="34"/>
      <c r="V474" s="33"/>
      <c r="AW474" s="34"/>
      <c r="AX474" s="34"/>
    </row>
    <row r="475" spans="8:50" s="35" customFormat="1" hidden="1" x14ac:dyDescent="0.25">
      <c r="H475" s="304"/>
      <c r="K475" s="149"/>
      <c r="L475" s="150"/>
      <c r="M475" s="34"/>
      <c r="N475" s="34"/>
      <c r="O475" s="34"/>
      <c r="T475" s="34"/>
      <c r="U475" s="34"/>
      <c r="V475" s="33"/>
      <c r="AW475" s="34"/>
      <c r="AX475" s="34"/>
    </row>
    <row r="476" spans="8:50" s="35" customFormat="1" hidden="1" x14ac:dyDescent="0.25">
      <c r="H476" s="304"/>
      <c r="K476" s="149"/>
      <c r="L476" s="150"/>
      <c r="M476" s="34"/>
      <c r="N476" s="34"/>
      <c r="O476" s="34"/>
      <c r="T476" s="34"/>
      <c r="U476" s="34"/>
      <c r="V476" s="33"/>
      <c r="AW476" s="34"/>
      <c r="AX476" s="34"/>
    </row>
    <row r="477" spans="8:50" s="35" customFormat="1" hidden="1" x14ac:dyDescent="0.25">
      <c r="H477" s="304"/>
      <c r="K477" s="149"/>
      <c r="L477" s="150"/>
      <c r="M477" s="34"/>
      <c r="N477" s="34"/>
      <c r="O477" s="34"/>
      <c r="T477" s="34"/>
      <c r="U477" s="34"/>
      <c r="V477" s="33"/>
      <c r="AW477" s="34"/>
      <c r="AX477" s="34"/>
    </row>
    <row r="478" spans="8:50" s="35" customFormat="1" hidden="1" x14ac:dyDescent="0.25">
      <c r="H478" s="304"/>
      <c r="K478" s="149"/>
      <c r="L478" s="150"/>
      <c r="M478" s="34"/>
      <c r="N478" s="34"/>
      <c r="O478" s="34"/>
      <c r="T478" s="34"/>
      <c r="U478" s="34"/>
      <c r="V478" s="33"/>
      <c r="AW478" s="34"/>
      <c r="AX478" s="34"/>
    </row>
    <row r="479" spans="8:50" s="35" customFormat="1" hidden="1" x14ac:dyDescent="0.25">
      <c r="H479" s="304"/>
      <c r="K479" s="149"/>
      <c r="L479" s="150"/>
      <c r="M479" s="34"/>
      <c r="N479" s="34"/>
      <c r="O479" s="34"/>
      <c r="T479" s="34"/>
      <c r="U479" s="34"/>
      <c r="V479" s="33"/>
      <c r="AW479" s="34"/>
      <c r="AX479" s="34"/>
    </row>
    <row r="480" spans="8:50" s="35" customFormat="1" hidden="1" x14ac:dyDescent="0.25">
      <c r="H480" s="304"/>
      <c r="K480" s="149"/>
      <c r="L480" s="150"/>
      <c r="M480" s="34"/>
      <c r="N480" s="34"/>
      <c r="O480" s="34"/>
      <c r="T480" s="34"/>
      <c r="U480" s="34"/>
      <c r="V480" s="33"/>
      <c r="AW480" s="34"/>
      <c r="AX480" s="34"/>
    </row>
    <row r="481" spans="8:50" s="35" customFormat="1" hidden="1" x14ac:dyDescent="0.25">
      <c r="H481" s="304"/>
      <c r="K481" s="149"/>
      <c r="L481" s="150"/>
      <c r="M481" s="34"/>
      <c r="N481" s="34"/>
      <c r="O481" s="34"/>
      <c r="T481" s="34"/>
      <c r="U481" s="34"/>
      <c r="V481" s="33"/>
      <c r="AW481" s="34"/>
      <c r="AX481" s="34"/>
    </row>
    <row r="482" spans="8:50" s="35" customFormat="1" hidden="1" x14ac:dyDescent="0.25">
      <c r="H482" s="304"/>
      <c r="K482" s="149"/>
      <c r="L482" s="150"/>
      <c r="M482" s="34"/>
      <c r="N482" s="34"/>
      <c r="O482" s="34"/>
      <c r="T482" s="34"/>
      <c r="U482" s="34"/>
      <c r="V482" s="33"/>
      <c r="AW482" s="34"/>
      <c r="AX482" s="34"/>
    </row>
    <row r="483" spans="8:50" s="35" customFormat="1" hidden="1" x14ac:dyDescent="0.25">
      <c r="H483" s="304"/>
      <c r="K483" s="149"/>
      <c r="L483" s="150"/>
      <c r="M483" s="34"/>
      <c r="N483" s="34"/>
      <c r="O483" s="34"/>
      <c r="T483" s="34"/>
      <c r="U483" s="34"/>
      <c r="V483" s="33"/>
      <c r="AW483" s="34"/>
      <c r="AX483" s="34"/>
    </row>
    <row r="484" spans="8:50" s="35" customFormat="1" hidden="1" x14ac:dyDescent="0.25">
      <c r="H484" s="304"/>
      <c r="K484" s="149"/>
      <c r="L484" s="150"/>
      <c r="M484" s="34"/>
      <c r="N484" s="34"/>
      <c r="O484" s="34"/>
      <c r="T484" s="34"/>
      <c r="U484" s="34"/>
      <c r="V484" s="33"/>
      <c r="AW484" s="34"/>
      <c r="AX484" s="34"/>
    </row>
    <row r="485" spans="8:50" s="35" customFormat="1" hidden="1" x14ac:dyDescent="0.25">
      <c r="H485" s="304"/>
      <c r="K485" s="149"/>
      <c r="L485" s="150"/>
      <c r="M485" s="34"/>
      <c r="N485" s="34"/>
      <c r="O485" s="34"/>
      <c r="T485" s="34"/>
      <c r="U485" s="34"/>
      <c r="V485" s="33"/>
      <c r="AW485" s="34"/>
      <c r="AX485" s="34"/>
    </row>
    <row r="486" spans="8:50" s="35" customFormat="1" hidden="1" x14ac:dyDescent="0.25">
      <c r="H486" s="304"/>
      <c r="K486" s="149"/>
      <c r="L486" s="150"/>
      <c r="M486" s="34"/>
      <c r="N486" s="34"/>
      <c r="O486" s="34"/>
      <c r="T486" s="34"/>
      <c r="U486" s="34"/>
      <c r="V486" s="33"/>
      <c r="AW486" s="34"/>
      <c r="AX486" s="34"/>
    </row>
    <row r="487" spans="8:50" s="35" customFormat="1" hidden="1" x14ac:dyDescent="0.25">
      <c r="H487" s="304"/>
      <c r="K487" s="149"/>
      <c r="L487" s="150"/>
      <c r="M487" s="34"/>
      <c r="N487" s="34"/>
      <c r="O487" s="34"/>
      <c r="T487" s="34"/>
      <c r="U487" s="34"/>
      <c r="V487" s="33"/>
      <c r="AW487" s="34"/>
      <c r="AX487" s="34"/>
    </row>
    <row r="488" spans="8:50" s="35" customFormat="1" hidden="1" x14ac:dyDescent="0.25">
      <c r="H488" s="304"/>
      <c r="K488" s="149"/>
      <c r="L488" s="150"/>
      <c r="M488" s="34"/>
      <c r="N488" s="34"/>
      <c r="O488" s="34"/>
      <c r="T488" s="34"/>
      <c r="U488" s="34"/>
      <c r="V488" s="33"/>
      <c r="AW488" s="34"/>
      <c r="AX488" s="34"/>
    </row>
    <row r="489" spans="8:50" s="35" customFormat="1" hidden="1" x14ac:dyDescent="0.25">
      <c r="H489" s="304"/>
      <c r="K489" s="149"/>
      <c r="L489" s="150"/>
      <c r="M489" s="34"/>
      <c r="N489" s="34"/>
      <c r="O489" s="34"/>
      <c r="T489" s="34"/>
      <c r="U489" s="34"/>
      <c r="V489" s="33"/>
      <c r="AW489" s="34"/>
      <c r="AX489" s="34"/>
    </row>
    <row r="490" spans="8:50" s="35" customFormat="1" hidden="1" x14ac:dyDescent="0.25">
      <c r="H490" s="304"/>
      <c r="K490" s="149"/>
      <c r="L490" s="150"/>
      <c r="M490" s="34"/>
      <c r="N490" s="34"/>
      <c r="O490" s="34"/>
      <c r="T490" s="34"/>
      <c r="U490" s="34"/>
      <c r="V490" s="33"/>
      <c r="AW490" s="34"/>
      <c r="AX490" s="34"/>
    </row>
    <row r="491" spans="8:50" s="35" customFormat="1" hidden="1" x14ac:dyDescent="0.25">
      <c r="H491" s="304"/>
      <c r="K491" s="149"/>
      <c r="L491" s="150"/>
      <c r="M491" s="34"/>
      <c r="N491" s="34"/>
      <c r="O491" s="34"/>
      <c r="T491" s="34"/>
      <c r="U491" s="34"/>
      <c r="V491" s="33"/>
      <c r="AW491" s="34"/>
      <c r="AX491" s="34"/>
    </row>
    <row r="492" spans="8:50" s="35" customFormat="1" hidden="1" x14ac:dyDescent="0.25">
      <c r="H492" s="304"/>
      <c r="K492" s="149"/>
      <c r="L492" s="150"/>
      <c r="M492" s="34"/>
      <c r="N492" s="34"/>
      <c r="O492" s="34"/>
      <c r="T492" s="34"/>
      <c r="U492" s="34"/>
      <c r="V492" s="33"/>
      <c r="AW492" s="34"/>
      <c r="AX492" s="34"/>
    </row>
    <row r="493" spans="8:50" s="35" customFormat="1" hidden="1" x14ac:dyDescent="0.25">
      <c r="H493" s="304"/>
      <c r="K493" s="149"/>
      <c r="L493" s="150"/>
      <c r="M493" s="34"/>
      <c r="N493" s="34"/>
      <c r="O493" s="34"/>
      <c r="T493" s="34"/>
      <c r="U493" s="34"/>
      <c r="V493" s="33"/>
      <c r="AW493" s="34"/>
      <c r="AX493" s="34"/>
    </row>
    <row r="494" spans="8:50" s="35" customFormat="1" hidden="1" x14ac:dyDescent="0.25">
      <c r="H494" s="304"/>
      <c r="K494" s="149"/>
      <c r="L494" s="150"/>
      <c r="M494" s="34"/>
      <c r="N494" s="34"/>
      <c r="O494" s="34"/>
      <c r="T494" s="34"/>
      <c r="U494" s="34"/>
      <c r="V494" s="33"/>
      <c r="AW494" s="34"/>
      <c r="AX494" s="34"/>
    </row>
    <row r="495" spans="8:50" s="35" customFormat="1" hidden="1" x14ac:dyDescent="0.25">
      <c r="H495" s="304"/>
      <c r="K495" s="149"/>
      <c r="L495" s="150"/>
      <c r="M495" s="34"/>
      <c r="N495" s="34"/>
      <c r="O495" s="34"/>
      <c r="T495" s="34"/>
      <c r="U495" s="34"/>
      <c r="V495" s="33"/>
      <c r="AW495" s="34"/>
      <c r="AX495" s="34"/>
    </row>
    <row r="496" spans="8:50" s="35" customFormat="1" hidden="1" x14ac:dyDescent="0.25">
      <c r="H496" s="304"/>
      <c r="K496" s="149"/>
      <c r="L496" s="150"/>
      <c r="M496" s="34"/>
      <c r="N496" s="34"/>
      <c r="O496" s="34"/>
      <c r="T496" s="34"/>
      <c r="U496" s="34"/>
      <c r="V496" s="33"/>
      <c r="AW496" s="34"/>
      <c r="AX496" s="34"/>
    </row>
    <row r="497" spans="8:50" s="35" customFormat="1" hidden="1" x14ac:dyDescent="0.25">
      <c r="H497" s="304"/>
      <c r="K497" s="149"/>
      <c r="L497" s="150"/>
      <c r="M497" s="34"/>
      <c r="N497" s="34"/>
      <c r="O497" s="34"/>
      <c r="T497" s="34"/>
      <c r="U497" s="34"/>
      <c r="V497" s="33"/>
      <c r="AW497" s="34"/>
      <c r="AX497" s="34"/>
    </row>
    <row r="498" spans="8:50" s="35" customFormat="1" hidden="1" x14ac:dyDescent="0.25">
      <c r="H498" s="304"/>
      <c r="K498" s="149"/>
      <c r="L498" s="150"/>
      <c r="M498" s="34"/>
      <c r="N498" s="34"/>
      <c r="O498" s="34"/>
      <c r="T498" s="34"/>
      <c r="U498" s="34"/>
      <c r="V498" s="33"/>
      <c r="AW498" s="34"/>
      <c r="AX498" s="34"/>
    </row>
    <row r="499" spans="8:50" s="35" customFormat="1" hidden="1" x14ac:dyDescent="0.25">
      <c r="H499" s="304"/>
      <c r="K499" s="149"/>
      <c r="L499" s="150"/>
      <c r="M499" s="34"/>
      <c r="N499" s="34"/>
      <c r="O499" s="34"/>
      <c r="T499" s="34"/>
      <c r="U499" s="34"/>
      <c r="V499" s="33"/>
      <c r="AW499" s="34"/>
      <c r="AX499" s="34"/>
    </row>
    <row r="500" spans="8:50" s="35" customFormat="1" hidden="1" x14ac:dyDescent="0.25">
      <c r="H500" s="304"/>
      <c r="K500" s="149"/>
      <c r="L500" s="150"/>
      <c r="M500" s="34"/>
      <c r="N500" s="34"/>
      <c r="O500" s="34"/>
      <c r="T500" s="34"/>
      <c r="U500" s="34"/>
      <c r="V500" s="33"/>
      <c r="AW500" s="34"/>
      <c r="AX500" s="34"/>
    </row>
    <row r="501" spans="8:50" s="35" customFormat="1" hidden="1" x14ac:dyDescent="0.25">
      <c r="H501" s="304"/>
      <c r="K501" s="149"/>
      <c r="L501" s="150"/>
      <c r="M501" s="34"/>
      <c r="N501" s="34"/>
      <c r="O501" s="34"/>
      <c r="T501" s="34"/>
      <c r="U501" s="34"/>
      <c r="V501" s="33"/>
      <c r="AW501" s="34"/>
      <c r="AX501" s="34"/>
    </row>
    <row r="502" spans="8:50" s="35" customFormat="1" hidden="1" x14ac:dyDescent="0.25">
      <c r="H502" s="304"/>
      <c r="K502" s="149"/>
      <c r="L502" s="150"/>
      <c r="M502" s="34"/>
      <c r="N502" s="34"/>
      <c r="O502" s="34"/>
      <c r="T502" s="34"/>
      <c r="U502" s="34"/>
      <c r="V502" s="33"/>
      <c r="AW502" s="34"/>
      <c r="AX502" s="34"/>
    </row>
    <row r="503" spans="8:50" s="35" customFormat="1" hidden="1" x14ac:dyDescent="0.25">
      <c r="H503" s="304"/>
      <c r="K503" s="149"/>
      <c r="L503" s="150"/>
      <c r="M503" s="34"/>
      <c r="N503" s="34"/>
      <c r="O503" s="34"/>
      <c r="T503" s="34"/>
      <c r="U503" s="34"/>
      <c r="V503" s="33"/>
      <c r="AW503" s="34"/>
      <c r="AX503" s="34"/>
    </row>
    <row r="504" spans="8:50" s="35" customFormat="1" hidden="1" x14ac:dyDescent="0.25">
      <c r="H504" s="304"/>
      <c r="K504" s="149"/>
      <c r="L504" s="150"/>
      <c r="M504" s="34"/>
      <c r="N504" s="34"/>
      <c r="O504" s="34"/>
      <c r="T504" s="34"/>
      <c r="U504" s="34"/>
      <c r="V504" s="33"/>
      <c r="AW504" s="34"/>
      <c r="AX504" s="34"/>
    </row>
    <row r="505" spans="8:50" s="35" customFormat="1" hidden="1" x14ac:dyDescent="0.25">
      <c r="H505" s="304"/>
      <c r="K505" s="149"/>
      <c r="L505" s="150"/>
      <c r="M505" s="34"/>
      <c r="N505" s="34"/>
      <c r="O505" s="34"/>
      <c r="T505" s="34"/>
      <c r="U505" s="34"/>
      <c r="V505" s="33"/>
      <c r="AW505" s="34"/>
      <c r="AX505" s="34"/>
    </row>
    <row r="506" spans="8:50" s="35" customFormat="1" hidden="1" x14ac:dyDescent="0.25">
      <c r="H506" s="304"/>
      <c r="K506" s="149"/>
      <c r="L506" s="150"/>
      <c r="M506" s="34"/>
      <c r="N506" s="34"/>
      <c r="O506" s="34"/>
      <c r="T506" s="34"/>
      <c r="U506" s="34"/>
      <c r="V506" s="33"/>
      <c r="AW506" s="34"/>
      <c r="AX506" s="34"/>
    </row>
    <row r="507" spans="8:50" s="35" customFormat="1" hidden="1" x14ac:dyDescent="0.25">
      <c r="H507" s="304"/>
      <c r="K507" s="149"/>
      <c r="L507" s="150"/>
      <c r="M507" s="34"/>
      <c r="N507" s="34"/>
      <c r="O507" s="34"/>
      <c r="T507" s="34"/>
      <c r="U507" s="34"/>
      <c r="V507" s="33"/>
      <c r="AW507" s="34"/>
      <c r="AX507" s="34"/>
    </row>
    <row r="508" spans="8:50" s="35" customFormat="1" hidden="1" x14ac:dyDescent="0.25">
      <c r="H508" s="304"/>
      <c r="K508" s="149"/>
      <c r="L508" s="150"/>
      <c r="M508" s="34"/>
      <c r="N508" s="34"/>
      <c r="O508" s="34"/>
      <c r="T508" s="34"/>
      <c r="U508" s="34"/>
      <c r="V508" s="33"/>
      <c r="AW508" s="34"/>
      <c r="AX508" s="34"/>
    </row>
    <row r="509" spans="8:50" s="35" customFormat="1" hidden="1" x14ac:dyDescent="0.25">
      <c r="H509" s="304"/>
      <c r="K509" s="149"/>
      <c r="L509" s="150"/>
      <c r="M509" s="34"/>
      <c r="N509" s="34"/>
      <c r="O509" s="34"/>
      <c r="T509" s="34"/>
      <c r="U509" s="34"/>
      <c r="V509" s="33"/>
      <c r="AW509" s="34"/>
      <c r="AX509" s="34"/>
    </row>
    <row r="510" spans="8:50" s="35" customFormat="1" hidden="1" x14ac:dyDescent="0.25">
      <c r="H510" s="304"/>
      <c r="K510" s="149"/>
      <c r="L510" s="150"/>
      <c r="M510" s="34"/>
      <c r="N510" s="34"/>
      <c r="O510" s="34"/>
      <c r="T510" s="34"/>
      <c r="U510" s="34"/>
      <c r="V510" s="33"/>
      <c r="AW510" s="34"/>
      <c r="AX510" s="34"/>
    </row>
    <row r="511" spans="8:50" s="35" customFormat="1" hidden="1" x14ac:dyDescent="0.25">
      <c r="H511" s="304"/>
      <c r="K511" s="149"/>
      <c r="L511" s="150"/>
      <c r="M511" s="34"/>
      <c r="N511" s="34"/>
      <c r="O511" s="34"/>
      <c r="T511" s="34"/>
      <c r="U511" s="34"/>
      <c r="V511" s="33"/>
      <c r="AW511" s="34"/>
      <c r="AX511" s="34"/>
    </row>
    <row r="512" spans="8:50" s="35" customFormat="1" hidden="1" x14ac:dyDescent="0.25">
      <c r="H512" s="304"/>
      <c r="K512" s="149"/>
      <c r="L512" s="150"/>
      <c r="M512" s="34"/>
      <c r="N512" s="34"/>
      <c r="O512" s="34"/>
      <c r="T512" s="34"/>
      <c r="U512" s="34"/>
      <c r="V512" s="33"/>
      <c r="AW512" s="34"/>
      <c r="AX512" s="34"/>
    </row>
    <row r="513" spans="8:50" s="35" customFormat="1" hidden="1" x14ac:dyDescent="0.25">
      <c r="H513" s="304"/>
      <c r="K513" s="149"/>
      <c r="L513" s="150"/>
      <c r="M513" s="34"/>
      <c r="N513" s="34"/>
      <c r="O513" s="34"/>
      <c r="T513" s="34"/>
      <c r="U513" s="34"/>
      <c r="V513" s="33"/>
      <c r="AW513" s="34"/>
      <c r="AX513" s="34"/>
    </row>
    <row r="514" spans="8:50" s="35" customFormat="1" hidden="1" x14ac:dyDescent="0.25">
      <c r="H514" s="304"/>
      <c r="K514" s="149"/>
      <c r="L514" s="150"/>
      <c r="M514" s="34"/>
      <c r="N514" s="34"/>
      <c r="O514" s="34"/>
      <c r="T514" s="34"/>
      <c r="U514" s="34"/>
      <c r="V514" s="33"/>
      <c r="AW514" s="34"/>
      <c r="AX514" s="34"/>
    </row>
    <row r="515" spans="8:50" s="35" customFormat="1" hidden="1" x14ac:dyDescent="0.25">
      <c r="H515" s="304"/>
      <c r="K515" s="149"/>
      <c r="L515" s="150"/>
      <c r="M515" s="34"/>
      <c r="N515" s="34"/>
      <c r="O515" s="34"/>
      <c r="T515" s="34"/>
      <c r="U515" s="34"/>
      <c r="V515" s="33"/>
      <c r="AW515" s="34"/>
      <c r="AX515" s="34"/>
    </row>
    <row r="516" spans="8:50" s="35" customFormat="1" hidden="1" x14ac:dyDescent="0.25">
      <c r="H516" s="304"/>
      <c r="K516" s="149"/>
      <c r="L516" s="150"/>
      <c r="M516" s="34"/>
      <c r="N516" s="34"/>
      <c r="O516" s="34"/>
      <c r="T516" s="34"/>
      <c r="U516" s="34"/>
      <c r="V516" s="33"/>
      <c r="AW516" s="34"/>
      <c r="AX516" s="34"/>
    </row>
    <row r="517" spans="8:50" s="35" customFormat="1" hidden="1" x14ac:dyDescent="0.25">
      <c r="H517" s="304"/>
      <c r="K517" s="149"/>
      <c r="L517" s="150"/>
      <c r="M517" s="34"/>
      <c r="N517" s="34"/>
      <c r="O517" s="34"/>
      <c r="T517" s="34"/>
      <c r="U517" s="34"/>
      <c r="V517" s="33"/>
      <c r="AW517" s="34"/>
      <c r="AX517" s="34"/>
    </row>
    <row r="518" spans="8:50" s="35" customFormat="1" hidden="1" x14ac:dyDescent="0.25">
      <c r="H518" s="304"/>
      <c r="K518" s="149"/>
      <c r="L518" s="150"/>
      <c r="M518" s="34"/>
      <c r="N518" s="34"/>
      <c r="O518" s="34"/>
      <c r="T518" s="34"/>
      <c r="U518" s="34"/>
      <c r="V518" s="33"/>
      <c r="AW518" s="34"/>
      <c r="AX518" s="34"/>
    </row>
    <row r="519" spans="8:50" s="35" customFormat="1" hidden="1" x14ac:dyDescent="0.25">
      <c r="H519" s="304"/>
      <c r="K519" s="149"/>
      <c r="L519" s="150"/>
      <c r="M519" s="34"/>
      <c r="N519" s="34"/>
      <c r="O519" s="34"/>
      <c r="T519" s="34"/>
      <c r="U519" s="34"/>
      <c r="V519" s="33"/>
      <c r="AW519" s="34"/>
      <c r="AX519" s="34"/>
    </row>
    <row r="520" spans="8:50" s="35" customFormat="1" hidden="1" x14ac:dyDescent="0.25">
      <c r="H520" s="304"/>
      <c r="K520" s="149"/>
      <c r="L520" s="150"/>
      <c r="M520" s="34"/>
      <c r="N520" s="34"/>
      <c r="O520" s="34"/>
      <c r="T520" s="34"/>
      <c r="U520" s="34"/>
      <c r="V520" s="33"/>
      <c r="AW520" s="34"/>
      <c r="AX520" s="34"/>
    </row>
    <row r="521" spans="8:50" s="35" customFormat="1" hidden="1" x14ac:dyDescent="0.25">
      <c r="H521" s="304"/>
      <c r="K521" s="149"/>
      <c r="L521" s="150"/>
      <c r="M521" s="34"/>
      <c r="N521" s="34"/>
      <c r="O521" s="34"/>
      <c r="T521" s="34"/>
      <c r="U521" s="34"/>
      <c r="V521" s="33"/>
      <c r="AW521" s="34"/>
      <c r="AX521" s="34"/>
    </row>
    <row r="522" spans="8:50" s="35" customFormat="1" hidden="1" x14ac:dyDescent="0.25">
      <c r="H522" s="304"/>
      <c r="K522" s="149"/>
      <c r="L522" s="150"/>
      <c r="M522" s="34"/>
      <c r="N522" s="34"/>
      <c r="O522" s="34"/>
      <c r="T522" s="34"/>
      <c r="U522" s="34"/>
      <c r="V522" s="33"/>
      <c r="AW522" s="34"/>
      <c r="AX522" s="34"/>
    </row>
    <row r="523" spans="8:50" s="35" customFormat="1" hidden="1" x14ac:dyDescent="0.25">
      <c r="H523" s="304"/>
      <c r="K523" s="149"/>
      <c r="L523" s="150"/>
      <c r="M523" s="34"/>
      <c r="N523" s="34"/>
      <c r="O523" s="34"/>
      <c r="T523" s="34"/>
      <c r="U523" s="34"/>
      <c r="V523" s="33"/>
      <c r="AW523" s="34"/>
      <c r="AX523" s="34"/>
    </row>
    <row r="524" spans="8:50" s="35" customFormat="1" hidden="1" x14ac:dyDescent="0.25">
      <c r="H524" s="304"/>
      <c r="K524" s="149"/>
      <c r="L524" s="150"/>
      <c r="M524" s="34"/>
      <c r="N524" s="34"/>
      <c r="O524" s="34"/>
      <c r="T524" s="34"/>
      <c r="U524" s="34"/>
      <c r="V524" s="33"/>
      <c r="AW524" s="34"/>
      <c r="AX524" s="34"/>
    </row>
    <row r="525" spans="8:50" s="35" customFormat="1" hidden="1" x14ac:dyDescent="0.25">
      <c r="H525" s="304"/>
      <c r="K525" s="149"/>
      <c r="L525" s="150"/>
      <c r="M525" s="34"/>
      <c r="N525" s="34"/>
      <c r="O525" s="34"/>
      <c r="T525" s="34"/>
      <c r="U525" s="34"/>
      <c r="V525" s="33"/>
      <c r="AW525" s="34"/>
      <c r="AX525" s="34"/>
    </row>
    <row r="526" spans="8:50" s="35" customFormat="1" hidden="1" x14ac:dyDescent="0.25">
      <c r="H526" s="304"/>
      <c r="K526" s="149"/>
      <c r="L526" s="150"/>
      <c r="M526" s="34"/>
      <c r="N526" s="34"/>
      <c r="O526" s="34"/>
      <c r="T526" s="34"/>
      <c r="U526" s="34"/>
      <c r="V526" s="33"/>
      <c r="AW526" s="34"/>
      <c r="AX526" s="34"/>
    </row>
    <row r="527" spans="8:50" s="35" customFormat="1" hidden="1" x14ac:dyDescent="0.25">
      <c r="H527" s="304"/>
      <c r="K527" s="149"/>
      <c r="L527" s="150"/>
      <c r="M527" s="34"/>
      <c r="N527" s="34"/>
      <c r="O527" s="34"/>
      <c r="T527" s="34"/>
      <c r="U527" s="34"/>
      <c r="V527" s="33"/>
      <c r="AW527" s="34"/>
      <c r="AX527" s="34"/>
    </row>
    <row r="528" spans="8:50" s="35" customFormat="1" hidden="1" x14ac:dyDescent="0.25">
      <c r="H528" s="304"/>
      <c r="K528" s="149"/>
      <c r="L528" s="150"/>
      <c r="M528" s="34"/>
      <c r="N528" s="34"/>
      <c r="O528" s="34"/>
      <c r="T528" s="34"/>
      <c r="U528" s="34"/>
      <c r="V528" s="33"/>
      <c r="AW528" s="34"/>
      <c r="AX528" s="34"/>
    </row>
    <row r="529" spans="8:50" s="35" customFormat="1" hidden="1" x14ac:dyDescent="0.25">
      <c r="H529" s="304"/>
      <c r="K529" s="149"/>
      <c r="L529" s="150"/>
      <c r="M529" s="34"/>
      <c r="N529" s="34"/>
      <c r="O529" s="34"/>
      <c r="T529" s="34"/>
      <c r="U529" s="34"/>
      <c r="V529" s="33"/>
      <c r="AW529" s="34"/>
      <c r="AX529" s="34"/>
    </row>
    <row r="530" spans="8:50" s="35" customFormat="1" hidden="1" x14ac:dyDescent="0.25">
      <c r="H530" s="304"/>
      <c r="K530" s="149"/>
      <c r="L530" s="150"/>
      <c r="M530" s="34"/>
      <c r="N530" s="34"/>
      <c r="O530" s="34"/>
      <c r="T530" s="34"/>
      <c r="U530" s="34"/>
      <c r="V530" s="33"/>
      <c r="AW530" s="34"/>
      <c r="AX530" s="34"/>
    </row>
    <row r="531" spans="8:50" s="35" customFormat="1" hidden="1" x14ac:dyDescent="0.25">
      <c r="H531" s="304"/>
      <c r="K531" s="149"/>
      <c r="L531" s="150"/>
      <c r="M531" s="34"/>
      <c r="N531" s="34"/>
      <c r="O531" s="34"/>
      <c r="T531" s="34"/>
      <c r="U531" s="34"/>
      <c r="V531" s="33"/>
      <c r="AW531" s="34"/>
      <c r="AX531" s="34"/>
    </row>
    <row r="532" spans="8:50" s="35" customFormat="1" hidden="1" x14ac:dyDescent="0.25">
      <c r="H532" s="304"/>
      <c r="K532" s="149"/>
      <c r="L532" s="150"/>
      <c r="M532" s="34"/>
      <c r="N532" s="34"/>
      <c r="O532" s="34"/>
      <c r="T532" s="34"/>
      <c r="U532" s="34"/>
      <c r="V532" s="33"/>
      <c r="AW532" s="34"/>
      <c r="AX532" s="34"/>
    </row>
    <row r="533" spans="8:50" s="35" customFormat="1" hidden="1" x14ac:dyDescent="0.25">
      <c r="H533" s="304"/>
      <c r="K533" s="149"/>
      <c r="L533" s="150"/>
      <c r="M533" s="34"/>
      <c r="N533" s="34"/>
      <c r="O533" s="34"/>
      <c r="T533" s="34"/>
      <c r="U533" s="34"/>
      <c r="V533" s="33"/>
      <c r="AW533" s="34"/>
      <c r="AX533" s="34"/>
    </row>
    <row r="534" spans="8:50" s="35" customFormat="1" hidden="1" x14ac:dyDescent="0.25">
      <c r="H534" s="304"/>
      <c r="K534" s="149"/>
      <c r="L534" s="150"/>
      <c r="M534" s="34"/>
      <c r="N534" s="34"/>
      <c r="O534" s="34"/>
      <c r="T534" s="34"/>
      <c r="U534" s="34"/>
      <c r="V534" s="33"/>
      <c r="AW534" s="34"/>
      <c r="AX534" s="34"/>
    </row>
    <row r="535" spans="8:50" s="35" customFormat="1" hidden="1" x14ac:dyDescent="0.25">
      <c r="H535" s="304"/>
      <c r="K535" s="149"/>
      <c r="L535" s="150"/>
      <c r="M535" s="34"/>
      <c r="N535" s="34"/>
      <c r="O535" s="34"/>
      <c r="T535" s="34"/>
      <c r="U535" s="34"/>
      <c r="V535" s="33"/>
      <c r="AW535" s="34"/>
      <c r="AX535" s="34"/>
    </row>
    <row r="536" spans="8:50" s="35" customFormat="1" hidden="1" x14ac:dyDescent="0.25">
      <c r="H536" s="304"/>
      <c r="K536" s="149"/>
      <c r="L536" s="150"/>
      <c r="M536" s="34"/>
      <c r="N536" s="34"/>
      <c r="O536" s="34"/>
      <c r="T536" s="34"/>
      <c r="U536" s="34"/>
      <c r="V536" s="33"/>
      <c r="AW536" s="34"/>
      <c r="AX536" s="34"/>
    </row>
    <row r="537" spans="8:50" s="35" customFormat="1" hidden="1" x14ac:dyDescent="0.25">
      <c r="H537" s="304"/>
      <c r="K537" s="149"/>
      <c r="L537" s="150"/>
      <c r="M537" s="34"/>
      <c r="N537" s="34"/>
      <c r="O537" s="34"/>
      <c r="T537" s="34"/>
      <c r="U537" s="34"/>
      <c r="V537" s="33"/>
      <c r="AW537" s="34"/>
      <c r="AX537" s="34"/>
    </row>
    <row r="538" spans="8:50" s="35" customFormat="1" hidden="1" x14ac:dyDescent="0.25">
      <c r="H538" s="304"/>
      <c r="K538" s="149"/>
      <c r="L538" s="150"/>
      <c r="M538" s="34"/>
      <c r="N538" s="34"/>
      <c r="O538" s="34"/>
      <c r="T538" s="34"/>
      <c r="U538" s="34"/>
      <c r="V538" s="33"/>
      <c r="AW538" s="34"/>
      <c r="AX538" s="34"/>
    </row>
    <row r="539" spans="8:50" s="35" customFormat="1" hidden="1" x14ac:dyDescent="0.25">
      <c r="H539" s="304"/>
      <c r="K539" s="149"/>
      <c r="L539" s="150"/>
      <c r="M539" s="34"/>
      <c r="N539" s="34"/>
      <c r="O539" s="34"/>
      <c r="T539" s="34"/>
      <c r="U539" s="34"/>
      <c r="V539" s="33"/>
      <c r="AW539" s="34"/>
      <c r="AX539" s="34"/>
    </row>
    <row r="540" spans="8:50" s="35" customFormat="1" hidden="1" x14ac:dyDescent="0.25">
      <c r="H540" s="304"/>
      <c r="K540" s="149"/>
      <c r="L540" s="150"/>
      <c r="M540" s="34"/>
      <c r="N540" s="34"/>
      <c r="O540" s="34"/>
      <c r="T540" s="34"/>
      <c r="U540" s="34"/>
      <c r="V540" s="33"/>
      <c r="AW540" s="34"/>
      <c r="AX540" s="34"/>
    </row>
    <row r="541" spans="8:50" s="35" customFormat="1" hidden="1" x14ac:dyDescent="0.25">
      <c r="H541" s="304"/>
      <c r="K541" s="149"/>
      <c r="L541" s="150"/>
      <c r="M541" s="34"/>
      <c r="N541" s="34"/>
      <c r="O541" s="34"/>
      <c r="T541" s="34"/>
      <c r="U541" s="34"/>
      <c r="V541" s="33"/>
      <c r="AW541" s="34"/>
      <c r="AX541" s="34"/>
    </row>
    <row r="542" spans="8:50" s="35" customFormat="1" hidden="1" x14ac:dyDescent="0.25">
      <c r="H542" s="304"/>
      <c r="K542" s="149"/>
      <c r="L542" s="150"/>
      <c r="M542" s="34"/>
      <c r="N542" s="34"/>
      <c r="O542" s="34"/>
      <c r="T542" s="34"/>
      <c r="U542" s="34"/>
      <c r="V542" s="33"/>
      <c r="AW542" s="34"/>
      <c r="AX542" s="34"/>
    </row>
    <row r="543" spans="8:50" s="35" customFormat="1" hidden="1" x14ac:dyDescent="0.25">
      <c r="H543" s="304"/>
      <c r="K543" s="149"/>
      <c r="L543" s="150"/>
      <c r="M543" s="34"/>
      <c r="N543" s="34"/>
      <c r="O543" s="34"/>
      <c r="T543" s="34"/>
      <c r="U543" s="34"/>
      <c r="V543" s="33"/>
      <c r="AW543" s="34"/>
      <c r="AX543" s="34"/>
    </row>
    <row r="544" spans="8:50" s="35" customFormat="1" hidden="1" x14ac:dyDescent="0.25">
      <c r="H544" s="304"/>
      <c r="K544" s="149"/>
      <c r="L544" s="150"/>
      <c r="M544" s="34"/>
      <c r="N544" s="34"/>
      <c r="O544" s="34"/>
      <c r="T544" s="34"/>
      <c r="U544" s="34"/>
      <c r="V544" s="33"/>
      <c r="AW544" s="34"/>
      <c r="AX544" s="34"/>
    </row>
    <row r="545" spans="8:50" s="35" customFormat="1" hidden="1" x14ac:dyDescent="0.25">
      <c r="H545" s="304"/>
      <c r="K545" s="149"/>
      <c r="L545" s="150"/>
      <c r="M545" s="34"/>
      <c r="N545" s="34"/>
      <c r="O545" s="34"/>
      <c r="T545" s="34"/>
      <c r="U545" s="34"/>
      <c r="V545" s="33"/>
      <c r="AW545" s="34"/>
      <c r="AX545" s="34"/>
    </row>
    <row r="546" spans="8:50" s="35" customFormat="1" hidden="1" x14ac:dyDescent="0.25">
      <c r="H546" s="304"/>
      <c r="K546" s="149"/>
      <c r="L546" s="150"/>
      <c r="M546" s="34"/>
      <c r="N546" s="34"/>
      <c r="O546" s="34"/>
      <c r="T546" s="34"/>
      <c r="U546" s="34"/>
      <c r="V546" s="33"/>
      <c r="AW546" s="34"/>
      <c r="AX546" s="34"/>
    </row>
    <row r="547" spans="8:50" s="35" customFormat="1" hidden="1" x14ac:dyDescent="0.25">
      <c r="H547" s="304"/>
      <c r="K547" s="149"/>
      <c r="L547" s="150"/>
      <c r="M547" s="34"/>
      <c r="N547" s="34"/>
      <c r="O547" s="34"/>
      <c r="T547" s="34"/>
      <c r="U547" s="34"/>
      <c r="V547" s="33"/>
      <c r="AW547" s="34"/>
      <c r="AX547" s="34"/>
    </row>
    <row r="548" spans="8:50" s="35" customFormat="1" hidden="1" x14ac:dyDescent="0.25">
      <c r="H548" s="304"/>
      <c r="K548" s="149"/>
      <c r="L548" s="150"/>
      <c r="M548" s="34"/>
      <c r="N548" s="34"/>
      <c r="O548" s="34"/>
      <c r="T548" s="34"/>
      <c r="U548" s="34"/>
      <c r="V548" s="33"/>
      <c r="AW548" s="34"/>
      <c r="AX548" s="34"/>
    </row>
    <row r="549" spans="8:50" s="35" customFormat="1" hidden="1" x14ac:dyDescent="0.25">
      <c r="H549" s="304"/>
      <c r="K549" s="149"/>
      <c r="L549" s="150"/>
      <c r="M549" s="34"/>
      <c r="N549" s="34"/>
      <c r="O549" s="34"/>
      <c r="T549" s="34"/>
      <c r="U549" s="34"/>
      <c r="V549" s="33"/>
      <c r="AW549" s="34"/>
      <c r="AX549" s="34"/>
    </row>
    <row r="550" spans="8:50" s="35" customFormat="1" hidden="1" x14ac:dyDescent="0.25">
      <c r="H550" s="304"/>
      <c r="K550" s="149"/>
      <c r="L550" s="150"/>
      <c r="M550" s="34"/>
      <c r="N550" s="34"/>
      <c r="O550" s="34"/>
      <c r="T550" s="34"/>
      <c r="U550" s="34"/>
      <c r="V550" s="33"/>
      <c r="AW550" s="34"/>
      <c r="AX550" s="34"/>
    </row>
    <row r="551" spans="8:50" s="35" customFormat="1" hidden="1" x14ac:dyDescent="0.25">
      <c r="H551" s="304"/>
      <c r="K551" s="149"/>
      <c r="L551" s="150"/>
      <c r="M551" s="34"/>
      <c r="N551" s="34"/>
      <c r="O551" s="34"/>
      <c r="T551" s="34"/>
      <c r="U551" s="34"/>
      <c r="V551" s="33"/>
      <c r="AW551" s="34"/>
      <c r="AX551" s="34"/>
    </row>
    <row r="552" spans="8:50" s="35" customFormat="1" hidden="1" x14ac:dyDescent="0.25">
      <c r="H552" s="304"/>
      <c r="K552" s="149"/>
      <c r="L552" s="150"/>
      <c r="M552" s="34"/>
      <c r="N552" s="34"/>
      <c r="O552" s="34"/>
      <c r="T552" s="34"/>
      <c r="U552" s="34"/>
      <c r="V552" s="33"/>
      <c r="AW552" s="34"/>
      <c r="AX552" s="34"/>
    </row>
    <row r="553" spans="8:50" s="35" customFormat="1" hidden="1" x14ac:dyDescent="0.25">
      <c r="H553" s="304"/>
      <c r="K553" s="149"/>
      <c r="L553" s="150"/>
      <c r="M553" s="34"/>
      <c r="N553" s="34"/>
      <c r="O553" s="34"/>
      <c r="T553" s="34"/>
      <c r="U553" s="34"/>
      <c r="V553" s="33"/>
      <c r="AW553" s="34"/>
      <c r="AX553" s="34"/>
    </row>
    <row r="554" spans="8:50" s="35" customFormat="1" hidden="1" x14ac:dyDescent="0.25">
      <c r="H554" s="304"/>
      <c r="K554" s="149"/>
      <c r="L554" s="150"/>
      <c r="M554" s="34"/>
      <c r="N554" s="34"/>
      <c r="O554" s="34"/>
      <c r="T554" s="34"/>
      <c r="U554" s="34"/>
      <c r="V554" s="33"/>
      <c r="AW554" s="34"/>
      <c r="AX554" s="34"/>
    </row>
    <row r="555" spans="8:50" s="35" customFormat="1" hidden="1" x14ac:dyDescent="0.25">
      <c r="H555" s="304"/>
      <c r="K555" s="149"/>
      <c r="L555" s="150"/>
      <c r="M555" s="34"/>
      <c r="N555" s="34"/>
      <c r="O555" s="34"/>
      <c r="T555" s="34"/>
      <c r="U555" s="34"/>
      <c r="V555" s="33"/>
      <c r="AW555" s="34"/>
      <c r="AX555" s="34"/>
    </row>
    <row r="556" spans="8:50" s="35" customFormat="1" hidden="1" x14ac:dyDescent="0.25">
      <c r="H556" s="304"/>
      <c r="K556" s="149"/>
      <c r="L556" s="150"/>
      <c r="M556" s="34"/>
      <c r="N556" s="34"/>
      <c r="O556" s="34"/>
      <c r="T556" s="34"/>
      <c r="U556" s="34"/>
      <c r="V556" s="33"/>
      <c r="AW556" s="34"/>
      <c r="AX556" s="34"/>
    </row>
    <row r="557" spans="8:50" s="35" customFormat="1" hidden="1" x14ac:dyDescent="0.25">
      <c r="H557" s="304"/>
      <c r="K557" s="149"/>
      <c r="L557" s="150"/>
      <c r="M557" s="34"/>
      <c r="N557" s="34"/>
      <c r="O557" s="34"/>
      <c r="T557" s="34"/>
      <c r="U557" s="34"/>
      <c r="V557" s="33"/>
      <c r="AW557" s="34"/>
      <c r="AX557" s="34"/>
    </row>
    <row r="558" spans="8:50" s="35" customFormat="1" hidden="1" x14ac:dyDescent="0.25">
      <c r="H558" s="304"/>
      <c r="K558" s="149"/>
      <c r="L558" s="150"/>
      <c r="M558" s="34"/>
      <c r="N558" s="34"/>
      <c r="O558" s="34"/>
      <c r="T558" s="34"/>
      <c r="U558" s="34"/>
      <c r="V558" s="33"/>
      <c r="AW558" s="34"/>
      <c r="AX558" s="34"/>
    </row>
    <row r="559" spans="8:50" s="35" customFormat="1" hidden="1" x14ac:dyDescent="0.25">
      <c r="H559" s="304"/>
      <c r="K559" s="149"/>
      <c r="L559" s="150"/>
      <c r="M559" s="34"/>
      <c r="N559" s="34"/>
      <c r="O559" s="34"/>
      <c r="T559" s="34"/>
      <c r="U559" s="34"/>
      <c r="V559" s="33"/>
      <c r="AW559" s="34"/>
      <c r="AX559" s="34"/>
    </row>
    <row r="560" spans="8:50" s="35" customFormat="1" hidden="1" x14ac:dyDescent="0.25">
      <c r="H560" s="304"/>
      <c r="K560" s="149"/>
      <c r="L560" s="150"/>
      <c r="M560" s="34"/>
      <c r="N560" s="34"/>
      <c r="O560" s="34"/>
      <c r="T560" s="34"/>
      <c r="U560" s="34"/>
      <c r="V560" s="33"/>
      <c r="AW560" s="34"/>
      <c r="AX560" s="34"/>
    </row>
    <row r="561" spans="8:50" s="35" customFormat="1" hidden="1" x14ac:dyDescent="0.25">
      <c r="H561" s="304"/>
      <c r="K561" s="149"/>
      <c r="L561" s="150"/>
      <c r="M561" s="34"/>
      <c r="N561" s="34"/>
      <c r="O561" s="34"/>
      <c r="T561" s="34"/>
      <c r="U561" s="34"/>
      <c r="V561" s="33"/>
      <c r="AW561" s="34"/>
      <c r="AX561" s="34"/>
    </row>
    <row r="562" spans="8:50" s="35" customFormat="1" hidden="1" x14ac:dyDescent="0.25">
      <c r="H562" s="304"/>
      <c r="K562" s="149"/>
      <c r="L562" s="150"/>
      <c r="M562" s="34"/>
      <c r="N562" s="34"/>
      <c r="O562" s="34"/>
      <c r="T562" s="34"/>
      <c r="U562" s="34"/>
      <c r="V562" s="33"/>
      <c r="AW562" s="34"/>
      <c r="AX562" s="34"/>
    </row>
    <row r="563" spans="8:50" s="35" customFormat="1" hidden="1" x14ac:dyDescent="0.25">
      <c r="H563" s="304"/>
      <c r="K563" s="149"/>
      <c r="L563" s="150"/>
      <c r="M563" s="34"/>
      <c r="N563" s="34"/>
      <c r="O563" s="34"/>
      <c r="T563" s="34"/>
      <c r="U563" s="34"/>
      <c r="V563" s="33"/>
      <c r="AW563" s="34"/>
      <c r="AX563" s="34"/>
    </row>
    <row r="564" spans="8:50" s="35" customFormat="1" hidden="1" x14ac:dyDescent="0.25">
      <c r="H564" s="304"/>
      <c r="K564" s="149"/>
      <c r="L564" s="150"/>
      <c r="M564" s="34"/>
      <c r="N564" s="34"/>
      <c r="O564" s="34"/>
      <c r="T564" s="34"/>
      <c r="U564" s="34"/>
      <c r="V564" s="33"/>
      <c r="AW564" s="34"/>
      <c r="AX564" s="34"/>
    </row>
    <row r="565" spans="8:50" s="35" customFormat="1" hidden="1" x14ac:dyDescent="0.25">
      <c r="H565" s="304"/>
      <c r="K565" s="149"/>
      <c r="L565" s="150"/>
      <c r="M565" s="34"/>
      <c r="N565" s="34"/>
      <c r="O565" s="34"/>
      <c r="T565" s="34"/>
      <c r="U565" s="34"/>
      <c r="V565" s="33"/>
      <c r="AW565" s="34"/>
      <c r="AX565" s="34"/>
    </row>
    <row r="566" spans="8:50" s="35" customFormat="1" hidden="1" x14ac:dyDescent="0.25">
      <c r="H566" s="304"/>
      <c r="K566" s="149"/>
      <c r="L566" s="150"/>
      <c r="M566" s="34"/>
      <c r="N566" s="34"/>
      <c r="O566" s="34"/>
      <c r="T566" s="34"/>
      <c r="U566" s="34"/>
      <c r="V566" s="33"/>
      <c r="AW566" s="34"/>
      <c r="AX566" s="34"/>
    </row>
    <row r="567" spans="8:50" s="35" customFormat="1" hidden="1" x14ac:dyDescent="0.25">
      <c r="H567" s="304"/>
      <c r="K567" s="149"/>
      <c r="L567" s="150"/>
      <c r="M567" s="34"/>
      <c r="N567" s="34"/>
      <c r="O567" s="34"/>
      <c r="T567" s="34"/>
      <c r="U567" s="34"/>
      <c r="V567" s="33"/>
      <c r="AW567" s="34"/>
      <c r="AX567" s="34"/>
    </row>
    <row r="568" spans="8:50" s="35" customFormat="1" hidden="1" x14ac:dyDescent="0.25">
      <c r="H568" s="304"/>
      <c r="K568" s="149"/>
      <c r="L568" s="150"/>
      <c r="M568" s="34"/>
      <c r="N568" s="34"/>
      <c r="O568" s="34"/>
      <c r="T568" s="34"/>
      <c r="U568" s="34"/>
      <c r="V568" s="33"/>
      <c r="AW568" s="34"/>
      <c r="AX568" s="34"/>
    </row>
    <row r="569" spans="8:50" s="35" customFormat="1" hidden="1" x14ac:dyDescent="0.25">
      <c r="H569" s="304"/>
      <c r="K569" s="149"/>
      <c r="L569" s="150"/>
      <c r="M569" s="34"/>
      <c r="N569" s="34"/>
      <c r="O569" s="34"/>
      <c r="T569" s="34"/>
      <c r="U569" s="34"/>
      <c r="V569" s="33"/>
      <c r="AW569" s="34"/>
      <c r="AX569" s="34"/>
    </row>
    <row r="570" spans="8:50" s="35" customFormat="1" hidden="1" x14ac:dyDescent="0.25">
      <c r="H570" s="304"/>
      <c r="K570" s="149"/>
      <c r="L570" s="150"/>
      <c r="M570" s="34"/>
      <c r="N570" s="34"/>
      <c r="O570" s="34"/>
      <c r="T570" s="34"/>
      <c r="U570" s="34"/>
      <c r="V570" s="33"/>
      <c r="AW570" s="34"/>
      <c r="AX570" s="34"/>
    </row>
    <row r="571" spans="8:50" s="35" customFormat="1" hidden="1" x14ac:dyDescent="0.25">
      <c r="H571" s="304"/>
      <c r="K571" s="149"/>
      <c r="L571" s="150"/>
      <c r="M571" s="34"/>
      <c r="N571" s="34"/>
      <c r="O571" s="34"/>
      <c r="T571" s="34"/>
      <c r="U571" s="34"/>
      <c r="V571" s="33"/>
      <c r="AW571" s="34"/>
      <c r="AX571" s="34"/>
    </row>
    <row r="572" spans="8:50" s="35" customFormat="1" hidden="1" x14ac:dyDescent="0.25">
      <c r="H572" s="304"/>
      <c r="K572" s="149"/>
      <c r="L572" s="150"/>
      <c r="M572" s="34"/>
      <c r="N572" s="34"/>
      <c r="O572" s="34"/>
      <c r="T572" s="34"/>
      <c r="U572" s="34"/>
      <c r="V572" s="33"/>
      <c r="AW572" s="34"/>
      <c r="AX572" s="34"/>
    </row>
    <row r="573" spans="8:50" s="35" customFormat="1" hidden="1" x14ac:dyDescent="0.25">
      <c r="H573" s="304"/>
      <c r="K573" s="149"/>
      <c r="L573" s="150"/>
      <c r="M573" s="34"/>
      <c r="N573" s="34"/>
      <c r="O573" s="34"/>
      <c r="T573" s="34"/>
      <c r="U573" s="34"/>
      <c r="V573" s="33"/>
      <c r="AW573" s="34"/>
      <c r="AX573" s="34"/>
    </row>
    <row r="574" spans="8:50" s="35" customFormat="1" hidden="1" x14ac:dyDescent="0.25">
      <c r="H574" s="304"/>
      <c r="K574" s="149"/>
      <c r="L574" s="150"/>
      <c r="M574" s="34"/>
      <c r="N574" s="34"/>
      <c r="O574" s="34"/>
      <c r="T574" s="34"/>
      <c r="U574" s="34"/>
      <c r="V574" s="33"/>
      <c r="AW574" s="34"/>
      <c r="AX574" s="34"/>
    </row>
    <row r="575" spans="8:50" s="35" customFormat="1" hidden="1" x14ac:dyDescent="0.25">
      <c r="H575" s="304"/>
      <c r="K575" s="149"/>
      <c r="L575" s="150"/>
      <c r="M575" s="34"/>
      <c r="N575" s="34"/>
      <c r="O575" s="34"/>
      <c r="T575" s="34"/>
      <c r="U575" s="34"/>
      <c r="V575" s="33"/>
      <c r="AW575" s="34"/>
      <c r="AX575" s="34"/>
    </row>
    <row r="576" spans="8:50" s="35" customFormat="1" hidden="1" x14ac:dyDescent="0.25">
      <c r="H576" s="304"/>
      <c r="K576" s="149"/>
      <c r="L576" s="150"/>
      <c r="M576" s="34"/>
      <c r="N576" s="34"/>
      <c r="O576" s="34"/>
      <c r="T576" s="34"/>
      <c r="U576" s="34"/>
      <c r="V576" s="33"/>
      <c r="AW576" s="34"/>
      <c r="AX576" s="34"/>
    </row>
    <row r="577" spans="8:50" s="35" customFormat="1" hidden="1" x14ac:dyDescent="0.25">
      <c r="H577" s="304"/>
      <c r="K577" s="149"/>
      <c r="L577" s="150"/>
      <c r="M577" s="34"/>
      <c r="N577" s="34"/>
      <c r="O577" s="34"/>
      <c r="T577" s="34"/>
      <c r="U577" s="34"/>
      <c r="V577" s="33"/>
      <c r="AW577" s="34"/>
      <c r="AX577" s="34"/>
    </row>
    <row r="578" spans="8:50" s="35" customFormat="1" hidden="1" x14ac:dyDescent="0.25">
      <c r="H578" s="304"/>
      <c r="K578" s="149"/>
      <c r="L578" s="150"/>
      <c r="M578" s="34"/>
      <c r="N578" s="34"/>
      <c r="O578" s="34"/>
      <c r="T578" s="34"/>
      <c r="U578" s="34"/>
      <c r="V578" s="33"/>
      <c r="AW578" s="34"/>
      <c r="AX578" s="34"/>
    </row>
    <row r="579" spans="8:50" s="35" customFormat="1" hidden="1" x14ac:dyDescent="0.25">
      <c r="H579" s="304"/>
      <c r="K579" s="149"/>
      <c r="L579" s="150"/>
      <c r="M579" s="34"/>
      <c r="N579" s="34"/>
      <c r="O579" s="34"/>
      <c r="T579" s="34"/>
      <c r="U579" s="34"/>
      <c r="V579" s="33"/>
      <c r="AW579" s="34"/>
      <c r="AX579" s="34"/>
    </row>
    <row r="580" spans="8:50" s="35" customFormat="1" hidden="1" x14ac:dyDescent="0.25">
      <c r="H580" s="304"/>
      <c r="K580" s="149"/>
      <c r="L580" s="150"/>
      <c r="M580" s="34"/>
      <c r="N580" s="34"/>
      <c r="O580" s="34"/>
      <c r="T580" s="34"/>
      <c r="U580" s="34"/>
      <c r="V580" s="33"/>
      <c r="AW580" s="34"/>
      <c r="AX580" s="34"/>
    </row>
    <row r="581" spans="8:50" s="35" customFormat="1" hidden="1" x14ac:dyDescent="0.25">
      <c r="H581" s="304"/>
      <c r="K581" s="149"/>
      <c r="L581" s="150"/>
      <c r="M581" s="34"/>
      <c r="N581" s="34"/>
      <c r="O581" s="34"/>
      <c r="T581" s="34"/>
      <c r="U581" s="34"/>
      <c r="V581" s="33"/>
      <c r="AW581" s="34"/>
      <c r="AX581" s="34"/>
    </row>
    <row r="582" spans="8:50" s="35" customFormat="1" hidden="1" x14ac:dyDescent="0.25">
      <c r="H582" s="304"/>
      <c r="K582" s="149"/>
      <c r="L582" s="150"/>
      <c r="M582" s="34"/>
      <c r="N582" s="34"/>
      <c r="O582" s="34"/>
      <c r="T582" s="34"/>
      <c r="U582" s="34"/>
      <c r="V582" s="33"/>
      <c r="AW582" s="34"/>
      <c r="AX582" s="34"/>
    </row>
    <row r="583" spans="8:50" s="35" customFormat="1" hidden="1" x14ac:dyDescent="0.25">
      <c r="H583" s="304"/>
      <c r="K583" s="149"/>
      <c r="L583" s="150"/>
      <c r="M583" s="34"/>
      <c r="N583" s="34"/>
      <c r="O583" s="34"/>
      <c r="T583" s="34"/>
      <c r="U583" s="34"/>
      <c r="V583" s="33"/>
      <c r="AW583" s="34"/>
      <c r="AX583" s="34"/>
    </row>
    <row r="584" spans="8:50" s="35" customFormat="1" hidden="1" x14ac:dyDescent="0.25">
      <c r="H584" s="304"/>
      <c r="K584" s="149"/>
      <c r="L584" s="150"/>
      <c r="M584" s="34"/>
      <c r="N584" s="34"/>
      <c r="O584" s="34"/>
      <c r="T584" s="34"/>
      <c r="U584" s="34"/>
      <c r="V584" s="33"/>
      <c r="AW584" s="34"/>
      <c r="AX584" s="34"/>
    </row>
    <row r="585" spans="8:50" s="35" customFormat="1" hidden="1" x14ac:dyDescent="0.25">
      <c r="H585" s="304"/>
      <c r="K585" s="149"/>
      <c r="L585" s="150"/>
      <c r="M585" s="34"/>
      <c r="N585" s="34"/>
      <c r="O585" s="34"/>
      <c r="T585" s="34"/>
      <c r="U585" s="34"/>
      <c r="V585" s="33"/>
      <c r="AW585" s="34"/>
      <c r="AX585" s="34"/>
    </row>
    <row r="586" spans="8:50" s="35" customFormat="1" hidden="1" x14ac:dyDescent="0.25">
      <c r="H586" s="304"/>
      <c r="K586" s="149"/>
      <c r="L586" s="150"/>
      <c r="M586" s="34"/>
      <c r="N586" s="34"/>
      <c r="O586" s="34"/>
      <c r="T586" s="34"/>
      <c r="U586" s="34"/>
      <c r="V586" s="33"/>
      <c r="AW586" s="34"/>
      <c r="AX586" s="34"/>
    </row>
    <row r="587" spans="8:50" s="35" customFormat="1" hidden="1" x14ac:dyDescent="0.25">
      <c r="H587" s="304"/>
      <c r="K587" s="149"/>
      <c r="L587" s="150"/>
      <c r="M587" s="34"/>
      <c r="N587" s="34"/>
      <c r="O587" s="34"/>
      <c r="T587" s="34"/>
      <c r="U587" s="34"/>
      <c r="V587" s="33"/>
      <c r="AW587" s="34"/>
      <c r="AX587" s="34"/>
    </row>
    <row r="588" spans="8:50" s="35" customFormat="1" hidden="1" x14ac:dyDescent="0.25">
      <c r="H588" s="304"/>
      <c r="K588" s="149"/>
      <c r="L588" s="150"/>
      <c r="M588" s="34"/>
      <c r="N588" s="34"/>
      <c r="O588" s="34"/>
      <c r="T588" s="34"/>
      <c r="U588" s="34"/>
      <c r="V588" s="33"/>
      <c r="AW588" s="34"/>
      <c r="AX588" s="34"/>
    </row>
    <row r="589" spans="8:50" s="35" customFormat="1" hidden="1" x14ac:dyDescent="0.25">
      <c r="H589" s="304"/>
      <c r="K589" s="149"/>
      <c r="L589" s="150"/>
      <c r="M589" s="34"/>
      <c r="N589" s="34"/>
      <c r="O589" s="34"/>
      <c r="T589" s="34"/>
      <c r="U589" s="34"/>
      <c r="V589" s="33"/>
      <c r="AW589" s="34"/>
      <c r="AX589" s="34"/>
    </row>
    <row r="590" spans="8:50" s="35" customFormat="1" hidden="1" x14ac:dyDescent="0.25">
      <c r="H590" s="304"/>
      <c r="K590" s="149"/>
      <c r="L590" s="150"/>
      <c r="M590" s="34"/>
      <c r="N590" s="34"/>
      <c r="O590" s="34"/>
      <c r="T590" s="34"/>
      <c r="U590" s="34"/>
      <c r="V590" s="33"/>
      <c r="AW590" s="34"/>
      <c r="AX590" s="34"/>
    </row>
    <row r="591" spans="8:50" s="35" customFormat="1" hidden="1" x14ac:dyDescent="0.25">
      <c r="H591" s="304"/>
      <c r="K591" s="149"/>
      <c r="L591" s="150"/>
      <c r="M591" s="34"/>
      <c r="N591" s="34"/>
      <c r="O591" s="34"/>
      <c r="T591" s="34"/>
      <c r="U591" s="34"/>
      <c r="V591" s="33"/>
      <c r="AW591" s="34"/>
      <c r="AX591" s="34"/>
    </row>
    <row r="592" spans="8:50" s="35" customFormat="1" hidden="1" x14ac:dyDescent="0.25">
      <c r="H592" s="304"/>
      <c r="K592" s="149"/>
      <c r="L592" s="150"/>
      <c r="M592" s="34"/>
      <c r="N592" s="34"/>
      <c r="O592" s="34"/>
      <c r="T592" s="34"/>
      <c r="U592" s="34"/>
      <c r="V592" s="33"/>
      <c r="AW592" s="34"/>
      <c r="AX592" s="34"/>
    </row>
    <row r="593" spans="8:50" s="35" customFormat="1" hidden="1" x14ac:dyDescent="0.25">
      <c r="H593" s="304"/>
      <c r="K593" s="149"/>
      <c r="L593" s="150"/>
      <c r="M593" s="34"/>
      <c r="N593" s="34"/>
      <c r="O593" s="34"/>
      <c r="T593" s="34"/>
      <c r="U593" s="34"/>
      <c r="V593" s="33"/>
      <c r="AW593" s="34"/>
      <c r="AX593" s="34"/>
    </row>
    <row r="594" spans="8:50" s="35" customFormat="1" hidden="1" x14ac:dyDescent="0.25">
      <c r="H594" s="304"/>
      <c r="K594" s="149"/>
      <c r="L594" s="150"/>
      <c r="M594" s="34"/>
      <c r="N594" s="34"/>
      <c r="O594" s="34"/>
      <c r="T594" s="34"/>
      <c r="U594" s="34"/>
      <c r="V594" s="33"/>
      <c r="AW594" s="34"/>
      <c r="AX594" s="34"/>
    </row>
    <row r="595" spans="8:50" s="35" customFormat="1" hidden="1" x14ac:dyDescent="0.25">
      <c r="H595" s="304"/>
      <c r="K595" s="149"/>
      <c r="L595" s="150"/>
      <c r="M595" s="34"/>
      <c r="N595" s="34"/>
      <c r="O595" s="34"/>
      <c r="T595" s="34"/>
      <c r="U595" s="34"/>
      <c r="V595" s="33"/>
      <c r="AW595" s="34"/>
      <c r="AX595" s="34"/>
    </row>
    <row r="596" spans="8:50" s="35" customFormat="1" hidden="1" x14ac:dyDescent="0.25">
      <c r="H596" s="304"/>
      <c r="K596" s="149"/>
      <c r="L596" s="150"/>
      <c r="M596" s="34"/>
      <c r="N596" s="34"/>
      <c r="O596" s="34"/>
      <c r="T596" s="34"/>
      <c r="U596" s="34"/>
      <c r="V596" s="33"/>
      <c r="AW596" s="34"/>
      <c r="AX596" s="34"/>
    </row>
    <row r="597" spans="8:50" s="35" customFormat="1" hidden="1" x14ac:dyDescent="0.25">
      <c r="H597" s="304"/>
      <c r="K597" s="149"/>
      <c r="L597" s="150"/>
      <c r="M597" s="34"/>
      <c r="N597" s="34"/>
      <c r="O597" s="34"/>
      <c r="T597" s="34"/>
      <c r="U597" s="34"/>
      <c r="V597" s="33"/>
      <c r="AW597" s="34"/>
      <c r="AX597" s="34"/>
    </row>
    <row r="598" spans="8:50" s="35" customFormat="1" hidden="1" x14ac:dyDescent="0.25">
      <c r="H598" s="304"/>
      <c r="K598" s="149"/>
      <c r="L598" s="150"/>
      <c r="M598" s="34"/>
      <c r="N598" s="34"/>
      <c r="O598" s="34"/>
      <c r="T598" s="34"/>
      <c r="U598" s="34"/>
      <c r="V598" s="33"/>
      <c r="AW598" s="34"/>
      <c r="AX598" s="34"/>
    </row>
    <row r="599" spans="8:50" s="35" customFormat="1" hidden="1" x14ac:dyDescent="0.25">
      <c r="H599" s="304"/>
      <c r="K599" s="149"/>
      <c r="L599" s="150"/>
      <c r="M599" s="34"/>
      <c r="N599" s="34"/>
      <c r="O599" s="34"/>
      <c r="T599" s="34"/>
      <c r="U599" s="34"/>
      <c r="V599" s="33"/>
      <c r="AW599" s="34"/>
      <c r="AX599" s="34"/>
    </row>
    <row r="600" spans="8:50" s="35" customFormat="1" hidden="1" x14ac:dyDescent="0.25">
      <c r="H600" s="304"/>
      <c r="K600" s="149"/>
      <c r="L600" s="150"/>
      <c r="M600" s="34"/>
      <c r="N600" s="34"/>
      <c r="O600" s="34"/>
      <c r="T600" s="34"/>
      <c r="U600" s="34"/>
      <c r="V600" s="33"/>
      <c r="AW600" s="34"/>
      <c r="AX600" s="34"/>
    </row>
    <row r="601" spans="8:50" s="35" customFormat="1" hidden="1" x14ac:dyDescent="0.25">
      <c r="H601" s="304"/>
      <c r="K601" s="149"/>
      <c r="L601" s="150"/>
      <c r="M601" s="34"/>
      <c r="N601" s="34"/>
      <c r="O601" s="34"/>
      <c r="T601" s="34"/>
      <c r="U601" s="34"/>
      <c r="V601" s="33"/>
      <c r="AW601" s="34"/>
      <c r="AX601" s="34"/>
    </row>
    <row r="602" spans="8:50" s="35" customFormat="1" hidden="1" x14ac:dyDescent="0.25">
      <c r="H602" s="304"/>
      <c r="K602" s="149"/>
      <c r="L602" s="150"/>
      <c r="M602" s="34"/>
      <c r="N602" s="34"/>
      <c r="O602" s="34"/>
      <c r="T602" s="34"/>
      <c r="U602" s="34"/>
      <c r="V602" s="33"/>
      <c r="AW602" s="34"/>
      <c r="AX602" s="34"/>
    </row>
    <row r="603" spans="8:50" s="35" customFormat="1" hidden="1" x14ac:dyDescent="0.25">
      <c r="H603" s="304"/>
      <c r="K603" s="149"/>
      <c r="L603" s="150"/>
      <c r="M603" s="34"/>
      <c r="N603" s="34"/>
      <c r="O603" s="34"/>
      <c r="T603" s="34"/>
      <c r="U603" s="34"/>
      <c r="V603" s="33"/>
      <c r="AW603" s="34"/>
      <c r="AX603" s="34"/>
    </row>
    <row r="604" spans="8:50" s="35" customFormat="1" hidden="1" x14ac:dyDescent="0.25">
      <c r="H604" s="304"/>
      <c r="K604" s="149"/>
      <c r="L604" s="150"/>
      <c r="M604" s="34"/>
      <c r="N604" s="34"/>
      <c r="O604" s="34"/>
      <c r="T604" s="34"/>
      <c r="U604" s="34"/>
      <c r="V604" s="33"/>
      <c r="AW604" s="34"/>
      <c r="AX604" s="34"/>
    </row>
    <row r="605" spans="8:50" s="35" customFormat="1" hidden="1" x14ac:dyDescent="0.25">
      <c r="H605" s="304"/>
      <c r="K605" s="149"/>
      <c r="L605" s="150"/>
      <c r="M605" s="34"/>
      <c r="N605" s="34"/>
      <c r="O605" s="34"/>
      <c r="T605" s="34"/>
      <c r="U605" s="34"/>
      <c r="V605" s="33"/>
      <c r="AW605" s="34"/>
      <c r="AX605" s="34"/>
    </row>
    <row r="606" spans="8:50" s="35" customFormat="1" hidden="1" x14ac:dyDescent="0.25">
      <c r="H606" s="304"/>
      <c r="K606" s="149"/>
      <c r="L606" s="150"/>
      <c r="M606" s="34"/>
      <c r="N606" s="34"/>
      <c r="O606" s="34"/>
      <c r="T606" s="34"/>
      <c r="U606" s="34"/>
      <c r="V606" s="33"/>
      <c r="AW606" s="34"/>
      <c r="AX606" s="34"/>
    </row>
    <row r="607" spans="8:50" s="35" customFormat="1" hidden="1" x14ac:dyDescent="0.25">
      <c r="H607" s="304"/>
      <c r="K607" s="149"/>
      <c r="L607" s="150"/>
      <c r="M607" s="34"/>
      <c r="N607" s="34"/>
      <c r="O607" s="34"/>
      <c r="T607" s="34"/>
      <c r="U607" s="34"/>
      <c r="V607" s="33"/>
      <c r="AW607" s="34"/>
      <c r="AX607" s="34"/>
    </row>
    <row r="608" spans="8:50" s="35" customFormat="1" hidden="1" x14ac:dyDescent="0.25">
      <c r="H608" s="304"/>
      <c r="K608" s="149"/>
      <c r="L608" s="150"/>
      <c r="M608" s="34"/>
      <c r="N608" s="34"/>
      <c r="O608" s="34"/>
      <c r="T608" s="34"/>
      <c r="U608" s="34"/>
      <c r="V608" s="33"/>
      <c r="AW608" s="34"/>
      <c r="AX608" s="34"/>
    </row>
    <row r="609" spans="8:50" s="35" customFormat="1" hidden="1" x14ac:dyDescent="0.25">
      <c r="H609" s="304"/>
      <c r="K609" s="149"/>
      <c r="L609" s="150"/>
      <c r="M609" s="34"/>
      <c r="N609" s="34"/>
      <c r="O609" s="34"/>
      <c r="T609" s="34"/>
      <c r="U609" s="34"/>
      <c r="V609" s="33"/>
      <c r="AW609" s="34"/>
      <c r="AX609" s="34"/>
    </row>
    <row r="610" spans="8:50" s="35" customFormat="1" hidden="1" x14ac:dyDescent="0.25">
      <c r="H610" s="304"/>
      <c r="K610" s="149"/>
      <c r="L610" s="150"/>
      <c r="M610" s="34"/>
      <c r="N610" s="34"/>
      <c r="O610" s="34"/>
      <c r="T610" s="34"/>
      <c r="U610" s="34"/>
      <c r="V610" s="33"/>
      <c r="AW610" s="34"/>
      <c r="AX610" s="34"/>
    </row>
    <row r="611" spans="8:50" s="35" customFormat="1" hidden="1" x14ac:dyDescent="0.25">
      <c r="H611" s="304"/>
      <c r="K611" s="149"/>
      <c r="L611" s="150"/>
      <c r="M611" s="34"/>
      <c r="N611" s="34"/>
      <c r="O611" s="34"/>
      <c r="T611" s="34"/>
      <c r="U611" s="34"/>
      <c r="V611" s="33"/>
      <c r="AW611" s="34"/>
      <c r="AX611" s="34"/>
    </row>
    <row r="612" spans="8:50" s="35" customFormat="1" hidden="1" x14ac:dyDescent="0.25">
      <c r="H612" s="304"/>
      <c r="K612" s="149"/>
      <c r="L612" s="150"/>
      <c r="M612" s="34"/>
      <c r="N612" s="34"/>
      <c r="O612" s="34"/>
      <c r="T612" s="34"/>
      <c r="U612" s="34"/>
      <c r="V612" s="33"/>
      <c r="AW612" s="34"/>
      <c r="AX612" s="34"/>
    </row>
    <row r="613" spans="8:50" s="35" customFormat="1" hidden="1" x14ac:dyDescent="0.25">
      <c r="H613" s="304"/>
      <c r="K613" s="149"/>
      <c r="L613" s="150"/>
      <c r="M613" s="34"/>
      <c r="N613" s="34"/>
      <c r="O613" s="34"/>
      <c r="T613" s="34"/>
      <c r="U613" s="34"/>
      <c r="V613" s="33"/>
      <c r="AW613" s="34"/>
      <c r="AX613" s="34"/>
    </row>
    <row r="614" spans="8:50" s="35" customFormat="1" hidden="1" x14ac:dyDescent="0.25">
      <c r="H614" s="304"/>
      <c r="K614" s="149"/>
      <c r="L614" s="150"/>
      <c r="M614" s="34"/>
      <c r="N614" s="34"/>
      <c r="O614" s="34"/>
      <c r="T614" s="34"/>
      <c r="U614" s="34"/>
      <c r="V614" s="33"/>
      <c r="AW614" s="34"/>
      <c r="AX614" s="34"/>
    </row>
    <row r="615" spans="8:50" s="35" customFormat="1" hidden="1" x14ac:dyDescent="0.25">
      <c r="H615" s="304"/>
      <c r="K615" s="149"/>
      <c r="L615" s="150"/>
      <c r="M615" s="34"/>
      <c r="N615" s="34"/>
      <c r="O615" s="34"/>
      <c r="T615" s="34"/>
      <c r="U615" s="34"/>
      <c r="V615" s="33"/>
      <c r="AW615" s="34"/>
      <c r="AX615" s="34"/>
    </row>
    <row r="616" spans="8:50" s="35" customFormat="1" hidden="1" x14ac:dyDescent="0.25">
      <c r="H616" s="304"/>
      <c r="K616" s="149"/>
      <c r="L616" s="150"/>
      <c r="M616" s="34"/>
      <c r="N616" s="34"/>
      <c r="O616" s="34"/>
      <c r="T616" s="34"/>
      <c r="U616" s="34"/>
      <c r="V616" s="33"/>
      <c r="AW616" s="34"/>
      <c r="AX616" s="34"/>
    </row>
    <row r="617" spans="8:50" s="35" customFormat="1" hidden="1" x14ac:dyDescent="0.25">
      <c r="H617" s="304"/>
      <c r="K617" s="149"/>
      <c r="L617" s="150"/>
      <c r="M617" s="34"/>
      <c r="N617" s="34"/>
      <c r="O617" s="34"/>
      <c r="T617" s="34"/>
      <c r="U617" s="34"/>
      <c r="V617" s="33"/>
      <c r="AW617" s="34"/>
      <c r="AX617" s="34"/>
    </row>
    <row r="618" spans="8:50" s="35" customFormat="1" hidden="1" x14ac:dyDescent="0.25">
      <c r="H618" s="304"/>
      <c r="K618" s="149"/>
      <c r="L618" s="150"/>
      <c r="M618" s="34"/>
      <c r="N618" s="34"/>
      <c r="O618" s="34"/>
      <c r="T618" s="34"/>
      <c r="U618" s="34"/>
      <c r="V618" s="33"/>
      <c r="AW618" s="34"/>
      <c r="AX618" s="34"/>
    </row>
    <row r="619" spans="8:50" s="35" customFormat="1" hidden="1" x14ac:dyDescent="0.25">
      <c r="H619" s="304"/>
      <c r="K619" s="149"/>
      <c r="L619" s="150"/>
      <c r="M619" s="34"/>
      <c r="N619" s="34"/>
      <c r="O619" s="34"/>
      <c r="T619" s="34"/>
      <c r="U619" s="34"/>
      <c r="V619" s="33"/>
      <c r="AW619" s="34"/>
      <c r="AX619" s="34"/>
    </row>
    <row r="620" spans="8:50" s="35" customFormat="1" hidden="1" x14ac:dyDescent="0.25">
      <c r="H620" s="304"/>
      <c r="K620" s="149"/>
      <c r="L620" s="150"/>
      <c r="M620" s="34"/>
      <c r="N620" s="34"/>
      <c r="O620" s="34"/>
      <c r="T620" s="34"/>
      <c r="U620" s="34"/>
      <c r="V620" s="33"/>
      <c r="AW620" s="34"/>
      <c r="AX620" s="34"/>
    </row>
    <row r="621" spans="8:50" s="35" customFormat="1" hidden="1" x14ac:dyDescent="0.25">
      <c r="H621" s="304"/>
      <c r="K621" s="149"/>
      <c r="L621" s="150"/>
      <c r="M621" s="34"/>
      <c r="N621" s="34"/>
      <c r="O621" s="34"/>
      <c r="T621" s="34"/>
      <c r="U621" s="34"/>
      <c r="V621" s="33"/>
      <c r="AW621" s="34"/>
      <c r="AX621" s="34"/>
    </row>
    <row r="622" spans="8:50" s="35" customFormat="1" hidden="1" x14ac:dyDescent="0.25">
      <c r="H622" s="304"/>
      <c r="K622" s="149"/>
      <c r="L622" s="150"/>
      <c r="M622" s="34"/>
      <c r="N622" s="34"/>
      <c r="O622" s="34"/>
      <c r="T622" s="34"/>
      <c r="U622" s="34"/>
      <c r="V622" s="33"/>
      <c r="AW622" s="34"/>
      <c r="AX622" s="34"/>
    </row>
    <row r="623" spans="8:50" s="35" customFormat="1" hidden="1" x14ac:dyDescent="0.25">
      <c r="H623" s="304"/>
      <c r="K623" s="149"/>
      <c r="L623" s="150"/>
      <c r="M623" s="34"/>
      <c r="N623" s="34"/>
      <c r="O623" s="34"/>
      <c r="T623" s="34"/>
      <c r="U623" s="34"/>
      <c r="V623" s="33"/>
      <c r="AW623" s="34"/>
      <c r="AX623" s="34"/>
    </row>
    <row r="624" spans="8:50" s="35" customFormat="1" hidden="1" x14ac:dyDescent="0.25">
      <c r="H624" s="304"/>
      <c r="K624" s="149"/>
      <c r="L624" s="150"/>
      <c r="M624" s="34"/>
      <c r="N624" s="34"/>
      <c r="O624" s="34"/>
      <c r="T624" s="34"/>
      <c r="U624" s="34"/>
      <c r="V624" s="33"/>
      <c r="AW624" s="34"/>
      <c r="AX624" s="34"/>
    </row>
    <row r="625" spans="8:50" s="35" customFormat="1" hidden="1" x14ac:dyDescent="0.25">
      <c r="H625" s="304"/>
      <c r="K625" s="149"/>
      <c r="L625" s="150"/>
      <c r="M625" s="34"/>
      <c r="N625" s="34"/>
      <c r="O625" s="34"/>
      <c r="T625" s="34"/>
      <c r="U625" s="34"/>
      <c r="V625" s="33"/>
      <c r="AW625" s="34"/>
      <c r="AX625" s="34"/>
    </row>
    <row r="626" spans="8:50" s="35" customFormat="1" hidden="1" x14ac:dyDescent="0.25">
      <c r="H626" s="304"/>
      <c r="K626" s="149"/>
      <c r="L626" s="150"/>
      <c r="M626" s="34"/>
      <c r="N626" s="34"/>
      <c r="O626" s="34"/>
      <c r="T626" s="34"/>
      <c r="U626" s="34"/>
      <c r="V626" s="33"/>
      <c r="AW626" s="34"/>
      <c r="AX626" s="34"/>
    </row>
    <row r="627" spans="8:50" s="35" customFormat="1" hidden="1" x14ac:dyDescent="0.25">
      <c r="H627" s="304"/>
      <c r="K627" s="149"/>
      <c r="L627" s="150"/>
      <c r="M627" s="34"/>
      <c r="N627" s="34"/>
      <c r="O627" s="34"/>
      <c r="T627" s="34"/>
      <c r="U627" s="34"/>
      <c r="V627" s="33"/>
      <c r="AW627" s="34"/>
      <c r="AX627" s="34"/>
    </row>
    <row r="628" spans="8:50" s="35" customFormat="1" hidden="1" x14ac:dyDescent="0.25">
      <c r="H628" s="304"/>
      <c r="K628" s="149"/>
      <c r="L628" s="150"/>
      <c r="M628" s="34"/>
      <c r="N628" s="34"/>
      <c r="O628" s="34"/>
      <c r="T628" s="34"/>
      <c r="U628" s="34"/>
      <c r="V628" s="33"/>
      <c r="AW628" s="34"/>
      <c r="AX628" s="34"/>
    </row>
    <row r="629" spans="8:50" s="35" customFormat="1" hidden="1" x14ac:dyDescent="0.25">
      <c r="H629" s="304"/>
      <c r="K629" s="149"/>
      <c r="L629" s="150"/>
      <c r="M629" s="34"/>
      <c r="N629" s="34"/>
      <c r="O629" s="34"/>
      <c r="T629" s="34"/>
      <c r="U629" s="34"/>
      <c r="V629" s="33"/>
      <c r="AW629" s="34"/>
      <c r="AX629" s="34"/>
    </row>
    <row r="630" spans="8:50" s="35" customFormat="1" hidden="1" x14ac:dyDescent="0.25">
      <c r="H630" s="304"/>
      <c r="K630" s="149"/>
      <c r="L630" s="150"/>
      <c r="M630" s="34"/>
      <c r="N630" s="34"/>
      <c r="O630" s="34"/>
      <c r="T630" s="34"/>
      <c r="U630" s="34"/>
      <c r="V630" s="33"/>
      <c r="AW630" s="34"/>
      <c r="AX630" s="34"/>
    </row>
    <row r="631" spans="8:50" s="35" customFormat="1" hidden="1" x14ac:dyDescent="0.25">
      <c r="H631" s="304"/>
      <c r="K631" s="149"/>
      <c r="L631" s="150"/>
      <c r="M631" s="34"/>
      <c r="N631" s="34"/>
      <c r="O631" s="34"/>
      <c r="T631" s="34"/>
      <c r="U631" s="34"/>
      <c r="V631" s="33"/>
      <c r="AW631" s="34"/>
      <c r="AX631" s="34"/>
    </row>
    <row r="632" spans="8:50" s="35" customFormat="1" hidden="1" x14ac:dyDescent="0.25">
      <c r="H632" s="304"/>
      <c r="K632" s="149"/>
      <c r="L632" s="150"/>
      <c r="M632" s="34"/>
      <c r="N632" s="34"/>
      <c r="O632" s="34"/>
      <c r="T632" s="34"/>
      <c r="U632" s="34"/>
      <c r="V632" s="33"/>
      <c r="AW632" s="34"/>
      <c r="AX632" s="34"/>
    </row>
    <row r="633" spans="8:50" s="35" customFormat="1" hidden="1" x14ac:dyDescent="0.25">
      <c r="H633" s="304"/>
      <c r="K633" s="149"/>
      <c r="L633" s="150"/>
      <c r="M633" s="34"/>
      <c r="N633" s="34"/>
      <c r="O633" s="34"/>
      <c r="T633" s="34"/>
      <c r="U633" s="34"/>
      <c r="V633" s="33"/>
      <c r="AW633" s="34"/>
      <c r="AX633" s="34"/>
    </row>
    <row r="634" spans="8:50" s="35" customFormat="1" hidden="1" x14ac:dyDescent="0.25">
      <c r="H634" s="304"/>
      <c r="K634" s="149"/>
      <c r="L634" s="150"/>
      <c r="M634" s="34"/>
      <c r="N634" s="34"/>
      <c r="O634" s="34"/>
      <c r="T634" s="34"/>
      <c r="U634" s="34"/>
      <c r="V634" s="33"/>
      <c r="AW634" s="34"/>
      <c r="AX634" s="34"/>
    </row>
    <row r="635" spans="8:50" s="35" customFormat="1" hidden="1" x14ac:dyDescent="0.25">
      <c r="H635" s="304"/>
      <c r="K635" s="149"/>
      <c r="L635" s="150"/>
      <c r="M635" s="34"/>
      <c r="N635" s="34"/>
      <c r="O635" s="34"/>
      <c r="T635" s="34"/>
      <c r="U635" s="34"/>
      <c r="V635" s="33"/>
      <c r="AW635" s="34"/>
      <c r="AX635" s="34"/>
    </row>
    <row r="636" spans="8:50" s="35" customFormat="1" hidden="1" x14ac:dyDescent="0.25">
      <c r="H636" s="304"/>
      <c r="K636" s="149"/>
      <c r="L636" s="150"/>
      <c r="M636" s="34"/>
      <c r="N636" s="34"/>
      <c r="O636" s="34"/>
      <c r="T636" s="34"/>
      <c r="U636" s="34"/>
      <c r="V636" s="33"/>
      <c r="AW636" s="34"/>
      <c r="AX636" s="34"/>
    </row>
    <row r="637" spans="8:50" s="35" customFormat="1" hidden="1" x14ac:dyDescent="0.25">
      <c r="H637" s="304"/>
      <c r="K637" s="149"/>
      <c r="L637" s="150"/>
      <c r="M637" s="34"/>
      <c r="N637" s="34"/>
      <c r="O637" s="34"/>
      <c r="T637" s="34"/>
      <c r="U637" s="34"/>
      <c r="V637" s="33"/>
      <c r="AW637" s="34"/>
      <c r="AX637" s="34"/>
    </row>
    <row r="638" spans="8:50" s="35" customFormat="1" hidden="1" x14ac:dyDescent="0.25">
      <c r="H638" s="304"/>
      <c r="K638" s="149"/>
      <c r="L638" s="150"/>
      <c r="M638" s="34"/>
      <c r="N638" s="34"/>
      <c r="O638" s="34"/>
      <c r="T638" s="34"/>
      <c r="U638" s="34"/>
      <c r="V638" s="33"/>
      <c r="AW638" s="34"/>
      <c r="AX638" s="34"/>
    </row>
    <row r="639" spans="8:50" s="35" customFormat="1" hidden="1" x14ac:dyDescent="0.25">
      <c r="H639" s="304"/>
      <c r="K639" s="149"/>
      <c r="L639" s="150"/>
      <c r="M639" s="34"/>
      <c r="N639" s="34"/>
      <c r="O639" s="34"/>
      <c r="T639" s="34"/>
      <c r="U639" s="34"/>
      <c r="V639" s="33"/>
      <c r="AW639" s="34"/>
      <c r="AX639" s="34"/>
    </row>
    <row r="640" spans="8:50" s="35" customFormat="1" hidden="1" x14ac:dyDescent="0.25">
      <c r="H640" s="304"/>
      <c r="K640" s="149"/>
      <c r="L640" s="150"/>
      <c r="M640" s="34"/>
      <c r="N640" s="34"/>
      <c r="O640" s="34"/>
      <c r="T640" s="34"/>
      <c r="U640" s="34"/>
      <c r="V640" s="33"/>
      <c r="AW640" s="34"/>
      <c r="AX640" s="34"/>
    </row>
    <row r="641" spans="8:50" s="35" customFormat="1" hidden="1" x14ac:dyDescent="0.25">
      <c r="H641" s="304"/>
      <c r="K641" s="149"/>
      <c r="L641" s="150"/>
      <c r="M641" s="34"/>
      <c r="N641" s="34"/>
      <c r="O641" s="34"/>
      <c r="T641" s="34"/>
      <c r="U641" s="34"/>
      <c r="V641" s="33"/>
      <c r="AW641" s="34"/>
      <c r="AX641" s="34"/>
    </row>
    <row r="642" spans="8:50" s="35" customFormat="1" hidden="1" x14ac:dyDescent="0.25">
      <c r="H642" s="304"/>
      <c r="K642" s="149"/>
      <c r="L642" s="150"/>
      <c r="M642" s="34"/>
      <c r="N642" s="34"/>
      <c r="O642" s="34"/>
      <c r="T642" s="34"/>
      <c r="U642" s="34"/>
      <c r="V642" s="33"/>
      <c r="AW642" s="34"/>
      <c r="AX642" s="34"/>
    </row>
    <row r="643" spans="8:50" s="35" customFormat="1" hidden="1" x14ac:dyDescent="0.25">
      <c r="H643" s="304"/>
      <c r="K643" s="149"/>
      <c r="L643" s="150"/>
      <c r="M643" s="34"/>
      <c r="N643" s="34"/>
      <c r="O643" s="34"/>
      <c r="T643" s="34"/>
      <c r="U643" s="34"/>
      <c r="V643" s="33"/>
      <c r="AW643" s="34"/>
      <c r="AX643" s="34"/>
    </row>
    <row r="644" spans="8:50" s="35" customFormat="1" hidden="1" x14ac:dyDescent="0.25">
      <c r="H644" s="304"/>
      <c r="K644" s="149"/>
      <c r="L644" s="150"/>
      <c r="M644" s="34"/>
      <c r="N644" s="34"/>
      <c r="O644" s="34"/>
      <c r="T644" s="34"/>
      <c r="U644" s="34"/>
      <c r="V644" s="33"/>
      <c r="AW644" s="34"/>
      <c r="AX644" s="34"/>
    </row>
    <row r="645" spans="8:50" s="35" customFormat="1" hidden="1" x14ac:dyDescent="0.25">
      <c r="H645" s="304"/>
      <c r="K645" s="149"/>
      <c r="L645" s="150"/>
      <c r="M645" s="34"/>
      <c r="N645" s="34"/>
      <c r="O645" s="34"/>
      <c r="T645" s="34"/>
      <c r="U645" s="34"/>
      <c r="V645" s="33"/>
      <c r="AW645" s="34"/>
      <c r="AX645" s="34"/>
    </row>
    <row r="646" spans="8:50" s="35" customFormat="1" hidden="1" x14ac:dyDescent="0.25">
      <c r="H646" s="304"/>
      <c r="K646" s="149"/>
      <c r="L646" s="150"/>
      <c r="M646" s="34"/>
      <c r="N646" s="34"/>
      <c r="O646" s="34"/>
      <c r="T646" s="34"/>
      <c r="U646" s="34"/>
      <c r="V646" s="33"/>
      <c r="AW646" s="34"/>
      <c r="AX646" s="34"/>
    </row>
    <row r="647" spans="8:50" s="35" customFormat="1" hidden="1" x14ac:dyDescent="0.25">
      <c r="H647" s="304"/>
      <c r="K647" s="149"/>
      <c r="L647" s="150"/>
      <c r="M647" s="34"/>
      <c r="N647" s="34"/>
      <c r="O647" s="34"/>
      <c r="T647" s="34"/>
      <c r="U647" s="34"/>
      <c r="V647" s="33"/>
      <c r="AW647" s="34"/>
      <c r="AX647" s="34"/>
    </row>
    <row r="648" spans="8:50" s="35" customFormat="1" hidden="1" x14ac:dyDescent="0.25">
      <c r="H648" s="304"/>
      <c r="K648" s="149"/>
      <c r="L648" s="150"/>
      <c r="M648" s="34"/>
      <c r="N648" s="34"/>
      <c r="O648" s="34"/>
      <c r="T648" s="34"/>
      <c r="U648" s="34"/>
      <c r="V648" s="33"/>
      <c r="AW648" s="34"/>
      <c r="AX648" s="34"/>
    </row>
    <row r="649" spans="8:50" s="35" customFormat="1" hidden="1" x14ac:dyDescent="0.25">
      <c r="H649" s="304"/>
      <c r="K649" s="149"/>
      <c r="L649" s="150"/>
      <c r="M649" s="34"/>
      <c r="N649" s="34"/>
      <c r="O649" s="34"/>
      <c r="T649" s="34"/>
      <c r="U649" s="34"/>
      <c r="V649" s="33"/>
      <c r="AW649" s="34"/>
      <c r="AX649" s="34"/>
    </row>
    <row r="650" spans="8:50" s="35" customFormat="1" hidden="1" x14ac:dyDescent="0.25">
      <c r="H650" s="304"/>
      <c r="K650" s="149"/>
      <c r="L650" s="150"/>
      <c r="M650" s="34"/>
      <c r="N650" s="34"/>
      <c r="O650" s="34"/>
      <c r="T650" s="34"/>
      <c r="U650" s="34"/>
      <c r="V650" s="33"/>
      <c r="AW650" s="34"/>
      <c r="AX650" s="34"/>
    </row>
    <row r="651" spans="8:50" s="35" customFormat="1" hidden="1" x14ac:dyDescent="0.25">
      <c r="H651" s="304"/>
      <c r="K651" s="149"/>
      <c r="L651" s="150"/>
      <c r="M651" s="34"/>
      <c r="N651" s="34"/>
      <c r="O651" s="34"/>
      <c r="T651" s="34"/>
      <c r="U651" s="34"/>
      <c r="V651" s="33"/>
      <c r="AW651" s="34"/>
      <c r="AX651" s="34"/>
    </row>
    <row r="652" spans="8:50" s="35" customFormat="1" hidden="1" x14ac:dyDescent="0.25">
      <c r="H652" s="304"/>
      <c r="K652" s="149"/>
      <c r="L652" s="150"/>
      <c r="M652" s="34"/>
      <c r="N652" s="34"/>
      <c r="O652" s="34"/>
      <c r="T652" s="34"/>
      <c r="U652" s="34"/>
      <c r="V652" s="33"/>
      <c r="AW652" s="34"/>
      <c r="AX652" s="34"/>
    </row>
    <row r="653" spans="8:50" s="35" customFormat="1" hidden="1" x14ac:dyDescent="0.25">
      <c r="H653" s="304"/>
      <c r="K653" s="149"/>
      <c r="L653" s="150"/>
      <c r="M653" s="34"/>
      <c r="N653" s="34"/>
      <c r="O653" s="34"/>
      <c r="T653" s="34"/>
      <c r="U653" s="34"/>
      <c r="V653" s="33"/>
      <c r="AW653" s="34"/>
      <c r="AX653" s="34"/>
    </row>
    <row r="654" spans="8:50" s="35" customFormat="1" hidden="1" x14ac:dyDescent="0.25">
      <c r="H654" s="304"/>
      <c r="K654" s="149"/>
      <c r="L654" s="150"/>
      <c r="M654" s="34"/>
      <c r="N654" s="34"/>
      <c r="O654" s="34"/>
      <c r="T654" s="34"/>
      <c r="U654" s="34"/>
      <c r="V654" s="33"/>
      <c r="AW654" s="34"/>
      <c r="AX654" s="34"/>
    </row>
    <row r="655" spans="8:50" s="35" customFormat="1" hidden="1" x14ac:dyDescent="0.25">
      <c r="H655" s="304"/>
      <c r="K655" s="149"/>
      <c r="L655" s="150"/>
      <c r="M655" s="34"/>
      <c r="N655" s="34"/>
      <c r="O655" s="34"/>
      <c r="T655" s="34"/>
      <c r="U655" s="34"/>
      <c r="V655" s="33"/>
      <c r="AW655" s="34"/>
      <c r="AX655" s="34"/>
    </row>
    <row r="656" spans="8:50" s="35" customFormat="1" hidden="1" x14ac:dyDescent="0.25">
      <c r="H656" s="304"/>
      <c r="K656" s="149"/>
      <c r="L656" s="150"/>
      <c r="M656" s="34"/>
      <c r="N656" s="34"/>
      <c r="O656" s="34"/>
      <c r="T656" s="34"/>
      <c r="U656" s="34"/>
      <c r="V656" s="33"/>
      <c r="AW656" s="34"/>
      <c r="AX656" s="34"/>
    </row>
    <row r="657" spans="8:50" s="35" customFormat="1" hidden="1" x14ac:dyDescent="0.25">
      <c r="H657" s="304"/>
      <c r="K657" s="149"/>
      <c r="L657" s="150"/>
      <c r="M657" s="34"/>
      <c r="N657" s="34"/>
      <c r="O657" s="34"/>
      <c r="T657" s="34"/>
      <c r="U657" s="34"/>
      <c r="V657" s="33"/>
      <c r="AW657" s="34"/>
      <c r="AX657" s="34"/>
    </row>
    <row r="658" spans="8:50" s="35" customFormat="1" hidden="1" x14ac:dyDescent="0.25">
      <c r="H658" s="304"/>
      <c r="K658" s="149"/>
      <c r="L658" s="150"/>
      <c r="M658" s="34"/>
      <c r="N658" s="34"/>
      <c r="O658" s="34"/>
      <c r="T658" s="34"/>
      <c r="U658" s="34"/>
      <c r="V658" s="33"/>
      <c r="AW658" s="34"/>
      <c r="AX658" s="34"/>
    </row>
    <row r="659" spans="8:50" s="35" customFormat="1" hidden="1" x14ac:dyDescent="0.25">
      <c r="H659" s="304"/>
      <c r="K659" s="149"/>
      <c r="L659" s="150"/>
      <c r="M659" s="34"/>
      <c r="N659" s="34"/>
      <c r="O659" s="34"/>
      <c r="T659" s="34"/>
      <c r="U659" s="34"/>
      <c r="V659" s="33"/>
      <c r="AW659" s="34"/>
      <c r="AX659" s="34"/>
    </row>
    <row r="660" spans="8:50" s="35" customFormat="1" hidden="1" x14ac:dyDescent="0.25">
      <c r="H660" s="304"/>
      <c r="K660" s="149"/>
      <c r="L660" s="150"/>
      <c r="M660" s="34"/>
      <c r="N660" s="34"/>
      <c r="O660" s="34"/>
      <c r="T660" s="34"/>
      <c r="U660" s="34"/>
      <c r="V660" s="33"/>
      <c r="AW660" s="34"/>
      <c r="AX660" s="34"/>
    </row>
    <row r="661" spans="8:50" s="35" customFormat="1" hidden="1" x14ac:dyDescent="0.25">
      <c r="H661" s="304"/>
      <c r="K661" s="149"/>
      <c r="L661" s="150"/>
      <c r="M661" s="34"/>
      <c r="N661" s="34"/>
      <c r="O661" s="34"/>
      <c r="T661" s="34"/>
      <c r="U661" s="34"/>
      <c r="V661" s="33"/>
      <c r="AW661" s="34"/>
      <c r="AX661" s="34"/>
    </row>
    <row r="662" spans="8:50" s="35" customFormat="1" hidden="1" x14ac:dyDescent="0.25">
      <c r="H662" s="304"/>
      <c r="K662" s="149"/>
      <c r="L662" s="150"/>
      <c r="M662" s="34"/>
      <c r="N662" s="34"/>
      <c r="O662" s="34"/>
      <c r="T662" s="34"/>
      <c r="U662" s="34"/>
      <c r="V662" s="33"/>
      <c r="AW662" s="34"/>
      <c r="AX662" s="34"/>
    </row>
    <row r="663" spans="8:50" s="35" customFormat="1" hidden="1" x14ac:dyDescent="0.25">
      <c r="H663" s="304"/>
      <c r="K663" s="149"/>
      <c r="L663" s="150"/>
      <c r="M663" s="34"/>
      <c r="N663" s="34"/>
      <c r="O663" s="34"/>
      <c r="T663" s="34"/>
      <c r="U663" s="34"/>
      <c r="V663" s="33"/>
      <c r="AW663" s="34"/>
      <c r="AX663" s="34"/>
    </row>
    <row r="664" spans="8:50" s="35" customFormat="1" hidden="1" x14ac:dyDescent="0.25">
      <c r="H664" s="304"/>
      <c r="K664" s="149"/>
      <c r="L664" s="150"/>
      <c r="M664" s="34"/>
      <c r="N664" s="34"/>
      <c r="O664" s="34"/>
      <c r="T664" s="34"/>
      <c r="U664" s="34"/>
      <c r="V664" s="33"/>
      <c r="AW664" s="34"/>
      <c r="AX664" s="34"/>
    </row>
    <row r="665" spans="8:50" s="35" customFormat="1" hidden="1" x14ac:dyDescent="0.25">
      <c r="H665" s="304"/>
      <c r="K665" s="149"/>
      <c r="L665" s="150"/>
      <c r="M665" s="34"/>
      <c r="N665" s="34"/>
      <c r="O665" s="34"/>
      <c r="T665" s="34"/>
      <c r="U665" s="34"/>
      <c r="V665" s="33"/>
      <c r="AW665" s="34"/>
      <c r="AX665" s="34"/>
    </row>
    <row r="666" spans="8:50" s="35" customFormat="1" hidden="1" x14ac:dyDescent="0.25">
      <c r="H666" s="304"/>
      <c r="K666" s="149"/>
      <c r="L666" s="150"/>
      <c r="M666" s="34"/>
      <c r="N666" s="34"/>
      <c r="O666" s="34"/>
      <c r="T666" s="34"/>
      <c r="U666" s="34"/>
      <c r="V666" s="33"/>
      <c r="AW666" s="34"/>
      <c r="AX666" s="34"/>
    </row>
    <row r="667" spans="8:50" s="35" customFormat="1" hidden="1" x14ac:dyDescent="0.25">
      <c r="H667" s="304"/>
      <c r="K667" s="149"/>
      <c r="L667" s="150"/>
      <c r="M667" s="34"/>
      <c r="N667" s="34"/>
      <c r="O667" s="34"/>
      <c r="T667" s="34"/>
      <c r="U667" s="34"/>
      <c r="V667" s="33"/>
      <c r="AW667" s="34"/>
      <c r="AX667" s="34"/>
    </row>
    <row r="668" spans="8:50" s="35" customFormat="1" hidden="1" x14ac:dyDescent="0.25">
      <c r="H668" s="304"/>
      <c r="K668" s="149"/>
      <c r="L668" s="150"/>
      <c r="M668" s="34"/>
      <c r="N668" s="34"/>
      <c r="O668" s="34"/>
      <c r="T668" s="34"/>
      <c r="U668" s="34"/>
      <c r="V668" s="33"/>
      <c r="AW668" s="34"/>
      <c r="AX668" s="34"/>
    </row>
    <row r="669" spans="8:50" s="35" customFormat="1" hidden="1" x14ac:dyDescent="0.25">
      <c r="H669" s="304"/>
      <c r="K669" s="149"/>
      <c r="L669" s="150"/>
      <c r="M669" s="34"/>
      <c r="N669" s="34"/>
      <c r="O669" s="34"/>
      <c r="T669" s="34"/>
      <c r="U669" s="34"/>
      <c r="V669" s="33"/>
      <c r="AW669" s="34"/>
      <c r="AX669" s="34"/>
    </row>
    <row r="670" spans="8:50" s="35" customFormat="1" hidden="1" x14ac:dyDescent="0.25">
      <c r="H670" s="304"/>
      <c r="K670" s="149"/>
      <c r="L670" s="150"/>
      <c r="M670" s="34"/>
      <c r="N670" s="34"/>
      <c r="O670" s="34"/>
      <c r="T670" s="34"/>
      <c r="U670" s="34"/>
      <c r="V670" s="33"/>
      <c r="AW670" s="34"/>
      <c r="AX670" s="34"/>
    </row>
    <row r="671" spans="8:50" s="35" customFormat="1" hidden="1" x14ac:dyDescent="0.25">
      <c r="H671" s="304"/>
      <c r="K671" s="149"/>
      <c r="L671" s="150"/>
      <c r="M671" s="34"/>
      <c r="N671" s="34"/>
      <c r="O671" s="34"/>
      <c r="T671" s="34"/>
      <c r="U671" s="34"/>
      <c r="V671" s="33"/>
      <c r="AW671" s="34"/>
      <c r="AX671" s="34"/>
    </row>
    <row r="672" spans="8:50" s="35" customFormat="1" hidden="1" x14ac:dyDescent="0.25">
      <c r="H672" s="304"/>
      <c r="K672" s="149"/>
      <c r="L672" s="150"/>
      <c r="M672" s="34"/>
      <c r="N672" s="34"/>
      <c r="O672" s="34"/>
      <c r="T672" s="34"/>
      <c r="U672" s="34"/>
      <c r="V672" s="33"/>
      <c r="AW672" s="34"/>
      <c r="AX672" s="34"/>
    </row>
    <row r="673" spans="8:50" s="35" customFormat="1" hidden="1" x14ac:dyDescent="0.25">
      <c r="H673" s="304"/>
      <c r="K673" s="149"/>
      <c r="L673" s="150"/>
      <c r="M673" s="34"/>
      <c r="N673" s="34"/>
      <c r="O673" s="34"/>
      <c r="T673" s="34"/>
      <c r="U673" s="34"/>
      <c r="V673" s="33"/>
      <c r="AW673" s="34"/>
      <c r="AX673" s="34"/>
    </row>
    <row r="674" spans="8:50" s="35" customFormat="1" hidden="1" x14ac:dyDescent="0.25">
      <c r="H674" s="304"/>
      <c r="K674" s="149"/>
      <c r="L674" s="150"/>
      <c r="M674" s="34"/>
      <c r="N674" s="34"/>
      <c r="O674" s="34"/>
      <c r="T674" s="34"/>
      <c r="U674" s="34"/>
      <c r="V674" s="33"/>
      <c r="AW674" s="34"/>
      <c r="AX674" s="34"/>
    </row>
    <row r="675" spans="8:50" s="35" customFormat="1" hidden="1" x14ac:dyDescent="0.25">
      <c r="H675" s="304"/>
      <c r="K675" s="149"/>
      <c r="L675" s="150"/>
      <c r="M675" s="34"/>
      <c r="N675" s="34"/>
      <c r="O675" s="34"/>
      <c r="T675" s="34"/>
      <c r="U675" s="34"/>
      <c r="V675" s="33"/>
      <c r="AW675" s="34"/>
      <c r="AX675" s="34"/>
    </row>
    <row r="676" spans="8:50" s="35" customFormat="1" hidden="1" x14ac:dyDescent="0.25">
      <c r="H676" s="304"/>
      <c r="K676" s="149"/>
      <c r="L676" s="150"/>
      <c r="M676" s="34"/>
      <c r="N676" s="34"/>
      <c r="O676" s="34"/>
      <c r="T676" s="34"/>
      <c r="U676" s="34"/>
      <c r="V676" s="33"/>
      <c r="AW676" s="34"/>
      <c r="AX676" s="34"/>
    </row>
    <row r="677" spans="8:50" s="35" customFormat="1" hidden="1" x14ac:dyDescent="0.25">
      <c r="H677" s="304"/>
      <c r="K677" s="149"/>
      <c r="L677" s="150"/>
      <c r="M677" s="34"/>
      <c r="N677" s="34"/>
      <c r="O677" s="34"/>
      <c r="T677" s="34"/>
      <c r="U677" s="34"/>
      <c r="V677" s="33"/>
      <c r="AW677" s="34"/>
      <c r="AX677" s="34"/>
    </row>
    <row r="678" spans="8:50" s="35" customFormat="1" hidden="1" x14ac:dyDescent="0.25">
      <c r="H678" s="304"/>
      <c r="K678" s="149"/>
      <c r="L678" s="150"/>
      <c r="M678" s="34"/>
      <c r="N678" s="34"/>
      <c r="O678" s="34"/>
      <c r="T678" s="34"/>
      <c r="U678" s="34"/>
      <c r="V678" s="33"/>
      <c r="AW678" s="34"/>
      <c r="AX678" s="34"/>
    </row>
    <row r="679" spans="8:50" s="35" customFormat="1" hidden="1" x14ac:dyDescent="0.25">
      <c r="H679" s="304"/>
      <c r="K679" s="149"/>
      <c r="L679" s="150"/>
      <c r="M679" s="34"/>
      <c r="N679" s="34"/>
      <c r="O679" s="34"/>
      <c r="T679" s="34"/>
      <c r="U679" s="34"/>
      <c r="V679" s="33"/>
      <c r="AW679" s="34"/>
      <c r="AX679" s="34"/>
    </row>
    <row r="680" spans="8:50" s="35" customFormat="1" hidden="1" x14ac:dyDescent="0.25">
      <c r="H680" s="304"/>
      <c r="K680" s="149"/>
      <c r="L680" s="150"/>
      <c r="M680" s="34"/>
      <c r="N680" s="34"/>
      <c r="O680" s="34"/>
      <c r="T680" s="34"/>
      <c r="U680" s="34"/>
      <c r="V680" s="33"/>
      <c r="AW680" s="34"/>
      <c r="AX680" s="34"/>
    </row>
    <row r="681" spans="8:50" s="35" customFormat="1" hidden="1" x14ac:dyDescent="0.25">
      <c r="H681" s="304"/>
      <c r="K681" s="149"/>
      <c r="L681" s="150"/>
      <c r="M681" s="34"/>
      <c r="N681" s="34"/>
      <c r="O681" s="34"/>
      <c r="T681" s="34"/>
      <c r="U681" s="34"/>
      <c r="V681" s="33"/>
      <c r="AW681" s="34"/>
      <c r="AX681" s="34"/>
    </row>
    <row r="682" spans="8:50" s="35" customFormat="1" hidden="1" x14ac:dyDescent="0.25">
      <c r="H682" s="304"/>
      <c r="K682" s="149"/>
      <c r="L682" s="150"/>
      <c r="M682" s="34"/>
      <c r="N682" s="34"/>
      <c r="O682" s="34"/>
      <c r="T682" s="34"/>
      <c r="U682" s="34"/>
      <c r="V682" s="33"/>
      <c r="AW682" s="34"/>
      <c r="AX682" s="34"/>
    </row>
    <row r="683" spans="8:50" s="35" customFormat="1" hidden="1" x14ac:dyDescent="0.25">
      <c r="H683" s="304"/>
      <c r="K683" s="149"/>
      <c r="L683" s="150"/>
      <c r="M683" s="34"/>
      <c r="N683" s="34"/>
      <c r="O683" s="34"/>
      <c r="T683" s="34"/>
      <c r="U683" s="34"/>
      <c r="V683" s="33"/>
      <c r="AW683" s="34"/>
      <c r="AX683" s="34"/>
    </row>
    <row r="684" spans="8:50" s="35" customFormat="1" hidden="1" x14ac:dyDescent="0.25">
      <c r="H684" s="304"/>
      <c r="K684" s="149"/>
      <c r="L684" s="150"/>
      <c r="M684" s="34"/>
      <c r="N684" s="34"/>
      <c r="O684" s="34"/>
      <c r="T684" s="34"/>
      <c r="U684" s="34"/>
      <c r="V684" s="33"/>
      <c r="AW684" s="34"/>
      <c r="AX684" s="34"/>
    </row>
    <row r="685" spans="8:50" s="35" customFormat="1" hidden="1" x14ac:dyDescent="0.25">
      <c r="H685" s="304"/>
      <c r="K685" s="149"/>
      <c r="L685" s="150"/>
      <c r="M685" s="34"/>
      <c r="N685" s="34"/>
      <c r="O685" s="34"/>
      <c r="T685" s="34"/>
      <c r="U685" s="34"/>
      <c r="V685" s="33"/>
      <c r="AW685" s="34"/>
      <c r="AX685" s="34"/>
    </row>
    <row r="686" spans="8:50" s="35" customFormat="1" hidden="1" x14ac:dyDescent="0.25">
      <c r="H686" s="304"/>
      <c r="K686" s="149"/>
      <c r="L686" s="150"/>
      <c r="M686" s="34"/>
      <c r="N686" s="34"/>
      <c r="O686" s="34"/>
      <c r="T686" s="34"/>
      <c r="U686" s="34"/>
      <c r="V686" s="33"/>
      <c r="AW686" s="34"/>
      <c r="AX686" s="34"/>
    </row>
    <row r="687" spans="8:50" s="35" customFormat="1" hidden="1" x14ac:dyDescent="0.25">
      <c r="H687" s="304"/>
      <c r="K687" s="149"/>
      <c r="L687" s="150"/>
      <c r="M687" s="34"/>
      <c r="N687" s="34"/>
      <c r="O687" s="34"/>
      <c r="T687" s="34"/>
      <c r="U687" s="34"/>
      <c r="V687" s="33"/>
      <c r="AW687" s="34"/>
      <c r="AX687" s="34"/>
    </row>
    <row r="688" spans="8:50" s="35" customFormat="1" hidden="1" x14ac:dyDescent="0.25">
      <c r="H688" s="304"/>
      <c r="K688" s="149"/>
      <c r="L688" s="150"/>
      <c r="M688" s="34"/>
      <c r="N688" s="34"/>
      <c r="O688" s="34"/>
      <c r="T688" s="34"/>
      <c r="U688" s="34"/>
      <c r="V688" s="33"/>
      <c r="AW688" s="34"/>
      <c r="AX688" s="34"/>
    </row>
    <row r="689" spans="8:50" s="35" customFormat="1" hidden="1" x14ac:dyDescent="0.25">
      <c r="H689" s="304"/>
      <c r="K689" s="149"/>
      <c r="L689" s="150"/>
      <c r="M689" s="34"/>
      <c r="N689" s="34"/>
      <c r="O689" s="34"/>
      <c r="T689" s="34"/>
      <c r="U689" s="34"/>
      <c r="V689" s="33"/>
      <c r="AW689" s="34"/>
      <c r="AX689" s="34"/>
    </row>
    <row r="690" spans="8:50" s="35" customFormat="1" hidden="1" x14ac:dyDescent="0.25">
      <c r="H690" s="304"/>
      <c r="K690" s="149"/>
      <c r="L690" s="150"/>
      <c r="M690" s="34"/>
      <c r="N690" s="34"/>
      <c r="O690" s="34"/>
      <c r="T690" s="34"/>
      <c r="U690" s="34"/>
      <c r="V690" s="33"/>
      <c r="AW690" s="34"/>
      <c r="AX690" s="34"/>
    </row>
    <row r="691" spans="8:50" s="35" customFormat="1" hidden="1" x14ac:dyDescent="0.25">
      <c r="H691" s="304"/>
      <c r="K691" s="149"/>
      <c r="L691" s="150"/>
      <c r="M691" s="34"/>
      <c r="N691" s="34"/>
      <c r="O691" s="34"/>
      <c r="T691" s="34"/>
      <c r="U691" s="34"/>
      <c r="V691" s="33"/>
      <c r="AW691" s="34"/>
      <c r="AX691" s="34"/>
    </row>
    <row r="692" spans="8:50" s="35" customFormat="1" hidden="1" x14ac:dyDescent="0.25">
      <c r="H692" s="304"/>
      <c r="K692" s="149"/>
      <c r="L692" s="150"/>
      <c r="M692" s="34"/>
      <c r="N692" s="34"/>
      <c r="O692" s="34"/>
      <c r="T692" s="34"/>
      <c r="U692" s="34"/>
      <c r="V692" s="33"/>
      <c r="AW692" s="34"/>
      <c r="AX692" s="34"/>
    </row>
    <row r="693" spans="8:50" s="35" customFormat="1" hidden="1" x14ac:dyDescent="0.25">
      <c r="H693" s="304"/>
      <c r="K693" s="149"/>
      <c r="L693" s="150"/>
      <c r="M693" s="34"/>
      <c r="N693" s="34"/>
      <c r="O693" s="34"/>
      <c r="T693" s="34"/>
      <c r="U693" s="34"/>
      <c r="V693" s="33"/>
      <c r="AW693" s="34"/>
      <c r="AX693" s="34"/>
    </row>
    <row r="694" spans="8:50" s="35" customFormat="1" hidden="1" x14ac:dyDescent="0.25">
      <c r="H694" s="304"/>
      <c r="K694" s="149"/>
      <c r="L694" s="150"/>
      <c r="M694" s="34"/>
      <c r="N694" s="34"/>
      <c r="O694" s="34"/>
      <c r="T694" s="34"/>
      <c r="U694" s="34"/>
      <c r="V694" s="33"/>
      <c r="AW694" s="34"/>
      <c r="AX694" s="34"/>
    </row>
    <row r="695" spans="8:50" s="35" customFormat="1" hidden="1" x14ac:dyDescent="0.25">
      <c r="H695" s="304"/>
      <c r="K695" s="149"/>
      <c r="L695" s="150"/>
      <c r="M695" s="34"/>
      <c r="N695" s="34"/>
      <c r="O695" s="34"/>
      <c r="T695" s="34"/>
      <c r="U695" s="34"/>
      <c r="V695" s="33"/>
      <c r="AW695" s="34"/>
      <c r="AX695" s="34"/>
    </row>
    <row r="696" spans="8:50" s="35" customFormat="1" hidden="1" x14ac:dyDescent="0.25">
      <c r="H696" s="304"/>
      <c r="K696" s="149"/>
      <c r="L696" s="150"/>
      <c r="M696" s="34"/>
      <c r="N696" s="34"/>
      <c r="O696" s="34"/>
      <c r="T696" s="34"/>
      <c r="U696" s="34"/>
      <c r="V696" s="33"/>
      <c r="AW696" s="34"/>
      <c r="AX696" s="34"/>
    </row>
    <row r="697" spans="8:50" s="35" customFormat="1" hidden="1" x14ac:dyDescent="0.25">
      <c r="H697" s="304"/>
      <c r="K697" s="149"/>
      <c r="L697" s="150"/>
      <c r="M697" s="34"/>
      <c r="N697" s="34"/>
      <c r="O697" s="34"/>
      <c r="T697" s="34"/>
      <c r="U697" s="34"/>
      <c r="V697" s="33"/>
      <c r="AW697" s="34"/>
      <c r="AX697" s="34"/>
    </row>
    <row r="698" spans="8:50" s="35" customFormat="1" hidden="1" x14ac:dyDescent="0.25">
      <c r="H698" s="304"/>
      <c r="K698" s="149"/>
      <c r="L698" s="150"/>
      <c r="M698" s="34"/>
      <c r="N698" s="34"/>
      <c r="O698" s="34"/>
      <c r="T698" s="34"/>
      <c r="U698" s="34"/>
      <c r="V698" s="33"/>
      <c r="AW698" s="34"/>
      <c r="AX698" s="34"/>
    </row>
    <row r="699" spans="8:50" s="35" customFormat="1" hidden="1" x14ac:dyDescent="0.25">
      <c r="H699" s="304"/>
      <c r="K699" s="149"/>
      <c r="L699" s="150"/>
      <c r="M699" s="34"/>
      <c r="N699" s="34"/>
      <c r="O699" s="34"/>
      <c r="T699" s="34"/>
      <c r="U699" s="34"/>
      <c r="V699" s="33"/>
      <c r="AW699" s="34"/>
      <c r="AX699" s="34"/>
    </row>
    <row r="700" spans="8:50" s="35" customFormat="1" hidden="1" x14ac:dyDescent="0.25">
      <c r="H700" s="304"/>
      <c r="K700" s="149"/>
      <c r="L700" s="150"/>
      <c r="M700" s="34"/>
      <c r="N700" s="34"/>
      <c r="O700" s="34"/>
      <c r="T700" s="34"/>
      <c r="U700" s="34"/>
      <c r="V700" s="33"/>
      <c r="AW700" s="34"/>
      <c r="AX700" s="34"/>
    </row>
    <row r="701" spans="8:50" s="35" customFormat="1" hidden="1" x14ac:dyDescent="0.25">
      <c r="H701" s="304"/>
      <c r="K701" s="149"/>
      <c r="L701" s="150"/>
      <c r="M701" s="34"/>
      <c r="N701" s="34"/>
      <c r="O701" s="34"/>
      <c r="T701" s="34"/>
      <c r="U701" s="34"/>
      <c r="V701" s="33"/>
      <c r="AW701" s="34"/>
      <c r="AX701" s="34"/>
    </row>
    <row r="702" spans="8:50" s="35" customFormat="1" hidden="1" x14ac:dyDescent="0.25">
      <c r="H702" s="304"/>
      <c r="K702" s="149"/>
      <c r="L702" s="150"/>
      <c r="M702" s="34"/>
      <c r="N702" s="34"/>
      <c r="O702" s="34"/>
      <c r="T702" s="34"/>
      <c r="U702" s="34"/>
      <c r="V702" s="33"/>
      <c r="AW702" s="34"/>
      <c r="AX702" s="34"/>
    </row>
    <row r="703" spans="8:50" s="35" customFormat="1" hidden="1" x14ac:dyDescent="0.25">
      <c r="H703" s="304"/>
      <c r="K703" s="149"/>
      <c r="L703" s="150"/>
      <c r="M703" s="34"/>
      <c r="N703" s="34"/>
      <c r="O703" s="34"/>
      <c r="T703" s="34"/>
      <c r="U703" s="34"/>
      <c r="V703" s="33"/>
      <c r="AW703" s="34"/>
      <c r="AX703" s="34"/>
    </row>
    <row r="704" spans="8:50" s="35" customFormat="1" hidden="1" x14ac:dyDescent="0.25">
      <c r="H704" s="304"/>
      <c r="K704" s="149"/>
      <c r="L704" s="150"/>
      <c r="M704" s="34"/>
      <c r="N704" s="34"/>
      <c r="O704" s="34"/>
      <c r="T704" s="34"/>
      <c r="U704" s="34"/>
      <c r="V704" s="33"/>
      <c r="AW704" s="34"/>
      <c r="AX704" s="34"/>
    </row>
    <row r="705" spans="8:50" s="35" customFormat="1" hidden="1" x14ac:dyDescent="0.25">
      <c r="H705" s="304"/>
      <c r="K705" s="149"/>
      <c r="L705" s="150"/>
      <c r="M705" s="34"/>
      <c r="N705" s="34"/>
      <c r="O705" s="34"/>
      <c r="T705" s="34"/>
      <c r="U705" s="34"/>
      <c r="V705" s="33"/>
      <c r="AW705" s="34"/>
      <c r="AX705" s="34"/>
    </row>
    <row r="706" spans="8:50" s="35" customFormat="1" hidden="1" x14ac:dyDescent="0.25">
      <c r="H706" s="304"/>
      <c r="K706" s="149"/>
      <c r="L706" s="150"/>
      <c r="M706" s="34"/>
      <c r="N706" s="34"/>
      <c r="O706" s="34"/>
      <c r="T706" s="34"/>
      <c r="U706" s="34"/>
      <c r="V706" s="33"/>
      <c r="AW706" s="34"/>
      <c r="AX706" s="34"/>
    </row>
    <row r="707" spans="8:50" s="35" customFormat="1" hidden="1" x14ac:dyDescent="0.25">
      <c r="H707" s="304"/>
      <c r="K707" s="149"/>
      <c r="L707" s="150"/>
      <c r="M707" s="34"/>
      <c r="N707" s="34"/>
      <c r="O707" s="34"/>
      <c r="T707" s="34"/>
      <c r="U707" s="34"/>
      <c r="V707" s="33"/>
      <c r="AW707" s="34"/>
      <c r="AX707" s="34"/>
    </row>
    <row r="708" spans="8:50" s="35" customFormat="1" hidden="1" x14ac:dyDescent="0.25">
      <c r="H708" s="304"/>
      <c r="K708" s="149"/>
      <c r="L708" s="150"/>
      <c r="M708" s="34"/>
      <c r="N708" s="34"/>
      <c r="O708" s="34"/>
      <c r="T708" s="34"/>
      <c r="U708" s="34"/>
      <c r="V708" s="33"/>
      <c r="AW708" s="34"/>
      <c r="AX708" s="34"/>
    </row>
    <row r="709" spans="8:50" s="35" customFormat="1" hidden="1" x14ac:dyDescent="0.25">
      <c r="H709" s="304"/>
      <c r="K709" s="149"/>
      <c r="L709" s="150"/>
      <c r="M709" s="34"/>
      <c r="N709" s="34"/>
      <c r="O709" s="34"/>
      <c r="T709" s="34"/>
      <c r="U709" s="34"/>
      <c r="V709" s="33"/>
      <c r="AW709" s="34"/>
      <c r="AX709" s="34"/>
    </row>
    <row r="710" spans="8:50" s="35" customFormat="1" hidden="1" x14ac:dyDescent="0.25">
      <c r="H710" s="304"/>
      <c r="K710" s="149"/>
      <c r="L710" s="150"/>
      <c r="M710" s="34"/>
      <c r="N710" s="34"/>
      <c r="O710" s="34"/>
      <c r="T710" s="34"/>
      <c r="U710" s="34"/>
      <c r="V710" s="33"/>
      <c r="AW710" s="34"/>
      <c r="AX710" s="34"/>
    </row>
    <row r="711" spans="8:50" s="35" customFormat="1" hidden="1" x14ac:dyDescent="0.25">
      <c r="H711" s="304"/>
      <c r="K711" s="149"/>
      <c r="L711" s="150"/>
      <c r="M711" s="34"/>
      <c r="N711" s="34"/>
      <c r="O711" s="34"/>
      <c r="T711" s="34"/>
      <c r="U711" s="34"/>
      <c r="V711" s="33"/>
      <c r="AW711" s="34"/>
      <c r="AX711" s="34"/>
    </row>
    <row r="712" spans="8:50" s="35" customFormat="1" hidden="1" x14ac:dyDescent="0.25">
      <c r="H712" s="304"/>
      <c r="K712" s="149"/>
      <c r="L712" s="150"/>
      <c r="M712" s="34"/>
      <c r="N712" s="34"/>
      <c r="O712" s="34"/>
      <c r="T712" s="34"/>
      <c r="U712" s="34"/>
      <c r="V712" s="33"/>
      <c r="AW712" s="34"/>
      <c r="AX712" s="34"/>
    </row>
    <row r="713" spans="8:50" s="35" customFormat="1" hidden="1" x14ac:dyDescent="0.25">
      <c r="H713" s="304"/>
      <c r="K713" s="149"/>
      <c r="L713" s="150"/>
      <c r="M713" s="34"/>
      <c r="N713" s="34"/>
      <c r="O713" s="34"/>
      <c r="T713" s="34"/>
      <c r="U713" s="34"/>
      <c r="V713" s="33"/>
      <c r="AW713" s="34"/>
      <c r="AX713" s="34"/>
    </row>
    <row r="714" spans="8:50" s="35" customFormat="1" hidden="1" x14ac:dyDescent="0.25">
      <c r="H714" s="304"/>
      <c r="K714" s="149"/>
      <c r="L714" s="150"/>
      <c r="M714" s="34"/>
      <c r="N714" s="34"/>
      <c r="O714" s="34"/>
      <c r="T714" s="34"/>
      <c r="U714" s="34"/>
      <c r="V714" s="33"/>
      <c r="AW714" s="34"/>
      <c r="AX714" s="34"/>
    </row>
    <row r="715" spans="8:50" s="35" customFormat="1" hidden="1" x14ac:dyDescent="0.25">
      <c r="H715" s="304"/>
      <c r="K715" s="149"/>
      <c r="L715" s="150"/>
      <c r="M715" s="34"/>
      <c r="N715" s="34"/>
      <c r="O715" s="34"/>
      <c r="T715" s="34"/>
      <c r="U715" s="34"/>
      <c r="V715" s="33"/>
      <c r="AW715" s="34"/>
      <c r="AX715" s="34"/>
    </row>
    <row r="716" spans="8:50" s="35" customFormat="1" hidden="1" x14ac:dyDescent="0.25">
      <c r="H716" s="304"/>
      <c r="K716" s="149"/>
      <c r="L716" s="150"/>
      <c r="M716" s="34"/>
      <c r="N716" s="34"/>
      <c r="O716" s="34"/>
      <c r="T716" s="34"/>
      <c r="U716" s="34"/>
      <c r="V716" s="33"/>
      <c r="AW716" s="34"/>
      <c r="AX716" s="34"/>
    </row>
    <row r="717" spans="8:50" s="35" customFormat="1" hidden="1" x14ac:dyDescent="0.25">
      <c r="H717" s="304"/>
      <c r="K717" s="149"/>
      <c r="L717" s="150"/>
      <c r="M717" s="34"/>
      <c r="N717" s="34"/>
      <c r="O717" s="34"/>
      <c r="T717" s="34"/>
      <c r="U717" s="34"/>
      <c r="V717" s="33"/>
      <c r="AW717" s="34"/>
      <c r="AX717" s="34"/>
    </row>
    <row r="718" spans="8:50" s="35" customFormat="1" hidden="1" x14ac:dyDescent="0.25">
      <c r="H718" s="304"/>
      <c r="K718" s="149"/>
      <c r="L718" s="150"/>
      <c r="M718" s="34"/>
      <c r="N718" s="34"/>
      <c r="O718" s="34"/>
      <c r="T718" s="34"/>
      <c r="U718" s="34"/>
      <c r="V718" s="33"/>
      <c r="AW718" s="34"/>
      <c r="AX718" s="34"/>
    </row>
    <row r="719" spans="8:50" s="35" customFormat="1" hidden="1" x14ac:dyDescent="0.25">
      <c r="H719" s="304"/>
      <c r="K719" s="149"/>
      <c r="L719" s="150"/>
      <c r="M719" s="34"/>
      <c r="N719" s="34"/>
      <c r="O719" s="34"/>
      <c r="T719" s="34"/>
      <c r="U719" s="34"/>
      <c r="V719" s="33"/>
      <c r="AW719" s="34"/>
      <c r="AX719" s="34"/>
    </row>
    <row r="720" spans="8:50" s="35" customFormat="1" hidden="1" x14ac:dyDescent="0.25">
      <c r="H720" s="304"/>
      <c r="K720" s="149"/>
      <c r="L720" s="150"/>
      <c r="M720" s="34"/>
      <c r="N720" s="34"/>
      <c r="O720" s="34"/>
      <c r="T720" s="34"/>
      <c r="U720" s="34"/>
      <c r="V720" s="33"/>
      <c r="AW720" s="34"/>
      <c r="AX720" s="34"/>
    </row>
    <row r="721" spans="8:50" s="35" customFormat="1" hidden="1" x14ac:dyDescent="0.25">
      <c r="H721" s="304"/>
      <c r="K721" s="149"/>
      <c r="L721" s="150"/>
      <c r="M721" s="34"/>
      <c r="N721" s="34"/>
      <c r="O721" s="34"/>
      <c r="T721" s="34"/>
      <c r="U721" s="34"/>
      <c r="V721" s="33"/>
      <c r="AW721" s="34"/>
      <c r="AX721" s="34"/>
    </row>
    <row r="722" spans="8:50" s="35" customFormat="1" hidden="1" x14ac:dyDescent="0.25">
      <c r="H722" s="304"/>
      <c r="K722" s="149"/>
      <c r="L722" s="150"/>
      <c r="M722" s="34"/>
      <c r="N722" s="34"/>
      <c r="O722" s="34"/>
      <c r="T722" s="34"/>
      <c r="U722" s="34"/>
      <c r="V722" s="33"/>
      <c r="AW722" s="34"/>
      <c r="AX722" s="34"/>
    </row>
    <row r="723" spans="8:50" s="35" customFormat="1" hidden="1" x14ac:dyDescent="0.25">
      <c r="H723" s="304"/>
      <c r="K723" s="149"/>
      <c r="L723" s="150"/>
      <c r="M723" s="34"/>
      <c r="N723" s="34"/>
      <c r="O723" s="34"/>
      <c r="T723" s="34"/>
      <c r="U723" s="34"/>
      <c r="V723" s="33"/>
      <c r="AW723" s="34"/>
      <c r="AX723" s="34"/>
    </row>
    <row r="724" spans="8:50" s="35" customFormat="1" hidden="1" x14ac:dyDescent="0.25">
      <c r="H724" s="304"/>
      <c r="K724" s="149"/>
      <c r="L724" s="150"/>
      <c r="M724" s="34"/>
      <c r="N724" s="34"/>
      <c r="O724" s="34"/>
      <c r="T724" s="34"/>
      <c r="U724" s="34"/>
      <c r="V724" s="33"/>
      <c r="AW724" s="34"/>
      <c r="AX724" s="34"/>
    </row>
    <row r="725" spans="8:50" s="35" customFormat="1" hidden="1" x14ac:dyDescent="0.25">
      <c r="H725" s="304"/>
      <c r="K725" s="149"/>
      <c r="L725" s="150"/>
      <c r="M725" s="34"/>
      <c r="N725" s="34"/>
      <c r="O725" s="34"/>
      <c r="T725" s="34"/>
      <c r="U725" s="34"/>
      <c r="V725" s="33"/>
      <c r="AW725" s="34"/>
      <c r="AX725" s="34"/>
    </row>
    <row r="726" spans="8:50" s="35" customFormat="1" hidden="1" x14ac:dyDescent="0.25">
      <c r="H726" s="304"/>
      <c r="K726" s="149"/>
      <c r="L726" s="150"/>
      <c r="M726" s="34"/>
      <c r="N726" s="34"/>
      <c r="O726" s="34"/>
      <c r="T726" s="34"/>
      <c r="U726" s="34"/>
      <c r="V726" s="33"/>
      <c r="AW726" s="34"/>
      <c r="AX726" s="34"/>
    </row>
    <row r="727" spans="8:50" s="35" customFormat="1" hidden="1" x14ac:dyDescent="0.25">
      <c r="H727" s="304"/>
      <c r="K727" s="149"/>
      <c r="L727" s="150"/>
      <c r="M727" s="34"/>
      <c r="N727" s="34"/>
      <c r="O727" s="34"/>
      <c r="T727" s="34"/>
      <c r="U727" s="34"/>
      <c r="V727" s="33"/>
      <c r="AW727" s="34"/>
      <c r="AX727" s="34"/>
    </row>
    <row r="728" spans="8:50" s="35" customFormat="1" hidden="1" x14ac:dyDescent="0.25">
      <c r="H728" s="304"/>
      <c r="K728" s="149"/>
      <c r="L728" s="150"/>
      <c r="M728" s="34"/>
      <c r="N728" s="34"/>
      <c r="O728" s="34"/>
      <c r="T728" s="34"/>
      <c r="U728" s="34"/>
      <c r="V728" s="33"/>
      <c r="AW728" s="34"/>
      <c r="AX728" s="34"/>
    </row>
    <row r="729" spans="8:50" s="35" customFormat="1" hidden="1" x14ac:dyDescent="0.25">
      <c r="H729" s="304"/>
      <c r="K729" s="149"/>
      <c r="L729" s="150"/>
      <c r="M729" s="34"/>
      <c r="N729" s="34"/>
      <c r="O729" s="34"/>
      <c r="T729" s="34"/>
      <c r="U729" s="34"/>
      <c r="V729" s="33"/>
      <c r="AW729" s="34"/>
      <c r="AX729" s="34"/>
    </row>
    <row r="730" spans="8:50" s="35" customFormat="1" hidden="1" x14ac:dyDescent="0.25">
      <c r="H730" s="304"/>
      <c r="K730" s="149"/>
      <c r="L730" s="150"/>
      <c r="M730" s="34"/>
      <c r="N730" s="34"/>
      <c r="O730" s="34"/>
      <c r="T730" s="34"/>
      <c r="U730" s="34"/>
      <c r="V730" s="33"/>
      <c r="AW730" s="34"/>
      <c r="AX730" s="34"/>
    </row>
    <row r="731" spans="8:50" s="35" customFormat="1" hidden="1" x14ac:dyDescent="0.25">
      <c r="H731" s="304"/>
      <c r="K731" s="149"/>
      <c r="L731" s="150"/>
      <c r="M731" s="34"/>
      <c r="N731" s="34"/>
      <c r="O731" s="34"/>
      <c r="T731" s="34"/>
      <c r="U731" s="34"/>
      <c r="V731" s="33"/>
      <c r="AW731" s="34"/>
      <c r="AX731" s="34"/>
    </row>
    <row r="732" spans="8:50" s="35" customFormat="1" hidden="1" x14ac:dyDescent="0.25">
      <c r="H732" s="304"/>
      <c r="K732" s="149"/>
      <c r="L732" s="150"/>
      <c r="M732" s="34"/>
      <c r="N732" s="34"/>
      <c r="O732" s="34"/>
      <c r="T732" s="34"/>
      <c r="U732" s="34"/>
      <c r="V732" s="33"/>
      <c r="AW732" s="34"/>
      <c r="AX732" s="34"/>
    </row>
    <row r="733" spans="8:50" s="35" customFormat="1" hidden="1" x14ac:dyDescent="0.25">
      <c r="H733" s="304"/>
      <c r="K733" s="149"/>
      <c r="L733" s="150"/>
      <c r="M733" s="34"/>
      <c r="N733" s="34"/>
      <c r="O733" s="34"/>
      <c r="T733" s="34"/>
      <c r="U733" s="34"/>
      <c r="V733" s="33"/>
      <c r="AW733" s="34"/>
      <c r="AX733" s="34"/>
    </row>
    <row r="734" spans="8:50" s="35" customFormat="1" hidden="1" x14ac:dyDescent="0.25">
      <c r="H734" s="304"/>
      <c r="K734" s="149"/>
      <c r="L734" s="150"/>
      <c r="M734" s="34"/>
      <c r="N734" s="34"/>
      <c r="O734" s="34"/>
      <c r="T734" s="34"/>
      <c r="U734" s="34"/>
      <c r="V734" s="33"/>
      <c r="AW734" s="34"/>
      <c r="AX734" s="34"/>
    </row>
    <row r="735" spans="8:50" s="35" customFormat="1" hidden="1" x14ac:dyDescent="0.25">
      <c r="H735" s="304"/>
      <c r="K735" s="149"/>
      <c r="L735" s="150"/>
      <c r="M735" s="34"/>
      <c r="N735" s="34"/>
      <c r="O735" s="34"/>
      <c r="T735" s="34"/>
      <c r="U735" s="34"/>
      <c r="V735" s="33"/>
      <c r="AW735" s="34"/>
      <c r="AX735" s="34"/>
    </row>
    <row r="736" spans="8:50" s="35" customFormat="1" hidden="1" x14ac:dyDescent="0.25">
      <c r="H736" s="304"/>
      <c r="K736" s="149"/>
      <c r="L736" s="150"/>
      <c r="M736" s="34"/>
      <c r="N736" s="34"/>
      <c r="O736" s="34"/>
      <c r="T736" s="34"/>
      <c r="U736" s="34"/>
      <c r="V736" s="33"/>
      <c r="AW736" s="34"/>
      <c r="AX736" s="34"/>
    </row>
    <row r="737" spans="8:50" s="35" customFormat="1" hidden="1" x14ac:dyDescent="0.25">
      <c r="H737" s="304"/>
      <c r="K737" s="149"/>
      <c r="L737" s="150"/>
      <c r="M737" s="34"/>
      <c r="N737" s="34"/>
      <c r="O737" s="34"/>
      <c r="T737" s="34"/>
      <c r="U737" s="34"/>
      <c r="V737" s="33"/>
      <c r="AW737" s="34"/>
      <c r="AX737" s="34"/>
    </row>
    <row r="738" spans="8:50" s="35" customFormat="1" hidden="1" x14ac:dyDescent="0.25">
      <c r="H738" s="304"/>
      <c r="K738" s="149"/>
      <c r="L738" s="150"/>
      <c r="M738" s="34"/>
      <c r="N738" s="34"/>
      <c r="O738" s="34"/>
      <c r="T738" s="34"/>
      <c r="U738" s="34"/>
      <c r="V738" s="33"/>
      <c r="AW738" s="34"/>
      <c r="AX738" s="34"/>
    </row>
    <row r="739" spans="8:50" s="35" customFormat="1" hidden="1" x14ac:dyDescent="0.25">
      <c r="H739" s="304"/>
      <c r="K739" s="149"/>
      <c r="L739" s="150"/>
      <c r="M739" s="34"/>
      <c r="N739" s="34"/>
      <c r="O739" s="34"/>
      <c r="T739" s="34"/>
      <c r="U739" s="34"/>
      <c r="V739" s="33"/>
      <c r="AW739" s="34"/>
      <c r="AX739" s="34"/>
    </row>
    <row r="740" spans="8:50" s="35" customFormat="1" hidden="1" x14ac:dyDescent="0.25">
      <c r="H740" s="304"/>
      <c r="K740" s="149"/>
      <c r="L740" s="150"/>
      <c r="M740" s="34"/>
      <c r="N740" s="34"/>
      <c r="O740" s="34"/>
      <c r="T740" s="34"/>
      <c r="U740" s="34"/>
      <c r="V740" s="33"/>
      <c r="AW740" s="34"/>
      <c r="AX740" s="34"/>
    </row>
    <row r="741" spans="8:50" s="35" customFormat="1" hidden="1" x14ac:dyDescent="0.25">
      <c r="H741" s="304"/>
      <c r="K741" s="149"/>
      <c r="L741" s="150"/>
      <c r="M741" s="34"/>
      <c r="N741" s="34"/>
      <c r="O741" s="34"/>
      <c r="T741" s="34"/>
      <c r="U741" s="34"/>
      <c r="V741" s="33"/>
      <c r="AW741" s="34"/>
      <c r="AX741" s="34"/>
    </row>
    <row r="742" spans="8:50" s="35" customFormat="1" hidden="1" x14ac:dyDescent="0.25">
      <c r="H742" s="304"/>
      <c r="K742" s="149"/>
      <c r="L742" s="150"/>
      <c r="M742" s="34"/>
      <c r="N742" s="34"/>
      <c r="O742" s="34"/>
      <c r="T742" s="34"/>
      <c r="U742" s="34"/>
      <c r="V742" s="33"/>
      <c r="AW742" s="34"/>
      <c r="AX742" s="34"/>
    </row>
    <row r="743" spans="8:50" s="35" customFormat="1" hidden="1" x14ac:dyDescent="0.25">
      <c r="H743" s="304"/>
      <c r="K743" s="149"/>
      <c r="L743" s="150"/>
      <c r="M743" s="34"/>
      <c r="N743" s="34"/>
      <c r="O743" s="34"/>
      <c r="T743" s="34"/>
      <c r="U743" s="34"/>
      <c r="V743" s="33"/>
      <c r="AW743" s="34"/>
      <c r="AX743" s="34"/>
    </row>
    <row r="744" spans="8:50" s="35" customFormat="1" hidden="1" x14ac:dyDescent="0.25">
      <c r="H744" s="304"/>
      <c r="K744" s="149"/>
      <c r="L744" s="150"/>
      <c r="M744" s="34"/>
      <c r="N744" s="34"/>
      <c r="O744" s="34"/>
      <c r="T744" s="34"/>
      <c r="U744" s="34"/>
      <c r="V744" s="33"/>
      <c r="AW744" s="34"/>
      <c r="AX744" s="34"/>
    </row>
    <row r="745" spans="8:50" s="35" customFormat="1" hidden="1" x14ac:dyDescent="0.25">
      <c r="H745" s="304"/>
      <c r="K745" s="149"/>
      <c r="L745" s="150"/>
      <c r="M745" s="34"/>
      <c r="N745" s="34"/>
      <c r="O745" s="34"/>
      <c r="T745" s="34"/>
      <c r="U745" s="34"/>
      <c r="V745" s="33"/>
      <c r="AW745" s="34"/>
      <c r="AX745" s="34"/>
    </row>
    <row r="746" spans="8:50" s="35" customFormat="1" hidden="1" x14ac:dyDescent="0.25">
      <c r="H746" s="304"/>
      <c r="K746" s="149"/>
      <c r="L746" s="150"/>
      <c r="M746" s="34"/>
      <c r="N746" s="34"/>
      <c r="O746" s="34"/>
      <c r="T746" s="34"/>
      <c r="U746" s="34"/>
      <c r="V746" s="33"/>
      <c r="AW746" s="34"/>
      <c r="AX746" s="34"/>
    </row>
    <row r="747" spans="8:50" s="35" customFormat="1" hidden="1" x14ac:dyDescent="0.25">
      <c r="H747" s="304"/>
      <c r="K747" s="149"/>
      <c r="L747" s="150"/>
      <c r="M747" s="34"/>
      <c r="N747" s="34"/>
      <c r="O747" s="34"/>
      <c r="T747" s="34"/>
      <c r="U747" s="34"/>
      <c r="V747" s="33"/>
      <c r="AW747" s="34"/>
      <c r="AX747" s="34"/>
    </row>
    <row r="748" spans="8:50" s="35" customFormat="1" hidden="1" x14ac:dyDescent="0.25">
      <c r="H748" s="304"/>
      <c r="K748" s="149"/>
      <c r="L748" s="150"/>
      <c r="M748" s="34"/>
      <c r="N748" s="34"/>
      <c r="O748" s="34"/>
      <c r="T748" s="34"/>
      <c r="U748" s="34"/>
      <c r="V748" s="33"/>
      <c r="AW748" s="34"/>
      <c r="AX748" s="34"/>
    </row>
    <row r="749" spans="8:50" s="35" customFormat="1" hidden="1" x14ac:dyDescent="0.25">
      <c r="H749" s="304"/>
      <c r="K749" s="149"/>
      <c r="L749" s="150"/>
      <c r="M749" s="34"/>
      <c r="N749" s="34"/>
      <c r="O749" s="34"/>
      <c r="T749" s="34"/>
      <c r="U749" s="34"/>
      <c r="V749" s="33"/>
      <c r="AW749" s="34"/>
      <c r="AX749" s="34"/>
    </row>
    <row r="750" spans="8:50" s="35" customFormat="1" hidden="1" x14ac:dyDescent="0.25">
      <c r="H750" s="304"/>
      <c r="K750" s="149"/>
      <c r="L750" s="150"/>
      <c r="M750" s="34"/>
      <c r="N750" s="34"/>
      <c r="O750" s="34"/>
      <c r="T750" s="34"/>
      <c r="U750" s="34"/>
      <c r="V750" s="33"/>
      <c r="AW750" s="34"/>
      <c r="AX750" s="34"/>
    </row>
    <row r="751" spans="8:50" s="35" customFormat="1" hidden="1" x14ac:dyDescent="0.25">
      <c r="H751" s="304"/>
      <c r="K751" s="149"/>
      <c r="L751" s="150"/>
      <c r="M751" s="34"/>
      <c r="N751" s="34"/>
      <c r="O751" s="34"/>
      <c r="T751" s="34"/>
      <c r="U751" s="34"/>
      <c r="V751" s="33"/>
      <c r="AW751" s="34"/>
      <c r="AX751" s="34"/>
    </row>
    <row r="752" spans="8:50" s="35" customFormat="1" hidden="1" x14ac:dyDescent="0.25">
      <c r="H752" s="304"/>
      <c r="K752" s="149"/>
      <c r="L752" s="150"/>
      <c r="M752" s="34"/>
      <c r="N752" s="34"/>
      <c r="O752" s="34"/>
      <c r="T752" s="34"/>
      <c r="U752" s="34"/>
      <c r="V752" s="33"/>
      <c r="AW752" s="34"/>
      <c r="AX752" s="34"/>
    </row>
    <row r="753" spans="8:50" s="35" customFormat="1" hidden="1" x14ac:dyDescent="0.25">
      <c r="H753" s="304"/>
      <c r="K753" s="149"/>
      <c r="L753" s="150"/>
      <c r="M753" s="34"/>
      <c r="N753" s="34"/>
      <c r="O753" s="34"/>
      <c r="T753" s="34"/>
      <c r="U753" s="34"/>
      <c r="V753" s="33"/>
      <c r="AW753" s="34"/>
      <c r="AX753" s="34"/>
    </row>
    <row r="754" spans="8:50" s="35" customFormat="1" hidden="1" x14ac:dyDescent="0.25">
      <c r="H754" s="304"/>
      <c r="K754" s="149"/>
      <c r="L754" s="150"/>
      <c r="M754" s="34"/>
      <c r="N754" s="34"/>
      <c r="O754" s="34"/>
      <c r="T754" s="34"/>
      <c r="U754" s="34"/>
      <c r="V754" s="33"/>
      <c r="AW754" s="34"/>
      <c r="AX754" s="34"/>
    </row>
    <row r="755" spans="8:50" s="35" customFormat="1" hidden="1" x14ac:dyDescent="0.25">
      <c r="H755" s="304"/>
      <c r="K755" s="149"/>
      <c r="L755" s="150"/>
      <c r="M755" s="34"/>
      <c r="N755" s="34"/>
      <c r="O755" s="34"/>
      <c r="T755" s="34"/>
      <c r="U755" s="34"/>
      <c r="V755" s="33"/>
      <c r="AW755" s="34"/>
      <c r="AX755" s="34"/>
    </row>
    <row r="756" spans="8:50" s="35" customFormat="1" hidden="1" x14ac:dyDescent="0.25">
      <c r="H756" s="304"/>
      <c r="K756" s="149"/>
      <c r="L756" s="150"/>
      <c r="M756" s="34"/>
      <c r="N756" s="34"/>
      <c r="O756" s="34"/>
      <c r="T756" s="34"/>
      <c r="U756" s="34"/>
      <c r="V756" s="33"/>
      <c r="AW756" s="34"/>
      <c r="AX756" s="34"/>
    </row>
    <row r="757" spans="8:50" s="35" customFormat="1" hidden="1" x14ac:dyDescent="0.25">
      <c r="H757" s="304"/>
      <c r="K757" s="149"/>
      <c r="L757" s="150"/>
      <c r="M757" s="34"/>
      <c r="N757" s="34"/>
      <c r="O757" s="34"/>
      <c r="T757" s="34"/>
      <c r="U757" s="34"/>
      <c r="V757" s="33"/>
      <c r="AW757" s="34"/>
      <c r="AX757" s="34"/>
    </row>
    <row r="758" spans="8:50" s="35" customFormat="1" hidden="1" x14ac:dyDescent="0.25">
      <c r="H758" s="304"/>
      <c r="K758" s="149"/>
      <c r="L758" s="150"/>
      <c r="M758" s="34"/>
      <c r="N758" s="34"/>
      <c r="O758" s="34"/>
      <c r="T758" s="34"/>
      <c r="U758" s="34"/>
      <c r="V758" s="33"/>
      <c r="AW758" s="34"/>
      <c r="AX758" s="34"/>
    </row>
    <row r="759" spans="8:50" s="35" customFormat="1" hidden="1" x14ac:dyDescent="0.25">
      <c r="H759" s="304"/>
      <c r="K759" s="149"/>
      <c r="L759" s="150"/>
      <c r="M759" s="34"/>
      <c r="N759" s="34"/>
      <c r="O759" s="34"/>
      <c r="T759" s="34"/>
      <c r="U759" s="34"/>
      <c r="V759" s="33"/>
      <c r="AW759" s="34"/>
      <c r="AX759" s="34"/>
    </row>
    <row r="760" spans="8:50" s="35" customFormat="1" hidden="1" x14ac:dyDescent="0.25">
      <c r="H760" s="304"/>
      <c r="K760" s="149"/>
      <c r="L760" s="150"/>
      <c r="M760" s="34"/>
      <c r="N760" s="34"/>
      <c r="O760" s="34"/>
      <c r="T760" s="34"/>
      <c r="U760" s="34"/>
      <c r="V760" s="33"/>
      <c r="AW760" s="34"/>
      <c r="AX760" s="34"/>
    </row>
    <row r="761" spans="8:50" s="35" customFormat="1" hidden="1" x14ac:dyDescent="0.25">
      <c r="H761" s="304"/>
      <c r="K761" s="149"/>
      <c r="L761" s="150"/>
      <c r="M761" s="34"/>
      <c r="N761" s="34"/>
      <c r="O761" s="34"/>
      <c r="T761" s="34"/>
      <c r="U761" s="34"/>
      <c r="V761" s="33"/>
      <c r="AW761" s="34"/>
      <c r="AX761" s="34"/>
    </row>
    <row r="762" spans="8:50" s="35" customFormat="1" hidden="1" x14ac:dyDescent="0.25">
      <c r="H762" s="304"/>
      <c r="K762" s="149"/>
      <c r="L762" s="150"/>
      <c r="M762" s="34"/>
      <c r="N762" s="34"/>
      <c r="O762" s="34"/>
      <c r="T762" s="34"/>
      <c r="U762" s="34"/>
      <c r="V762" s="33"/>
      <c r="AW762" s="34"/>
      <c r="AX762" s="34"/>
    </row>
    <row r="763" spans="8:50" s="35" customFormat="1" hidden="1" x14ac:dyDescent="0.25">
      <c r="H763" s="304"/>
      <c r="K763" s="149"/>
      <c r="L763" s="150"/>
      <c r="M763" s="34"/>
      <c r="N763" s="34"/>
      <c r="O763" s="34"/>
      <c r="T763" s="34"/>
      <c r="U763" s="34"/>
      <c r="V763" s="33"/>
      <c r="AW763" s="34"/>
      <c r="AX763" s="34"/>
    </row>
    <row r="764" spans="8:50" s="35" customFormat="1" hidden="1" x14ac:dyDescent="0.25">
      <c r="H764" s="304"/>
      <c r="K764" s="149"/>
      <c r="L764" s="150"/>
      <c r="M764" s="34"/>
      <c r="N764" s="34"/>
      <c r="O764" s="34"/>
      <c r="T764" s="34"/>
      <c r="U764" s="34"/>
      <c r="V764" s="33"/>
      <c r="AW764" s="34"/>
      <c r="AX764" s="34"/>
    </row>
    <row r="765" spans="8:50" s="35" customFormat="1" hidden="1" x14ac:dyDescent="0.25">
      <c r="H765" s="304"/>
      <c r="K765" s="149"/>
      <c r="L765" s="150"/>
      <c r="M765" s="34"/>
      <c r="N765" s="34"/>
      <c r="O765" s="34"/>
      <c r="T765" s="34"/>
      <c r="U765" s="34"/>
      <c r="V765" s="33"/>
      <c r="AW765" s="34"/>
      <c r="AX765" s="34"/>
    </row>
    <row r="766" spans="8:50" s="35" customFormat="1" hidden="1" x14ac:dyDescent="0.25">
      <c r="H766" s="304"/>
      <c r="K766" s="149"/>
      <c r="L766" s="150"/>
      <c r="M766" s="34"/>
      <c r="N766" s="34"/>
      <c r="O766" s="34"/>
      <c r="T766" s="34"/>
      <c r="U766" s="34"/>
      <c r="V766" s="33"/>
      <c r="AW766" s="34"/>
      <c r="AX766" s="34"/>
    </row>
    <row r="767" spans="8:50" s="35" customFormat="1" hidden="1" x14ac:dyDescent="0.25">
      <c r="H767" s="304"/>
      <c r="K767" s="149"/>
      <c r="L767" s="150"/>
      <c r="M767" s="34"/>
      <c r="N767" s="34"/>
      <c r="O767" s="34"/>
      <c r="T767" s="34"/>
      <c r="U767" s="34"/>
      <c r="V767" s="33"/>
      <c r="AW767" s="34"/>
      <c r="AX767" s="34"/>
    </row>
    <row r="768" spans="8:50" s="35" customFormat="1" hidden="1" x14ac:dyDescent="0.25">
      <c r="H768" s="304"/>
      <c r="K768" s="149"/>
      <c r="L768" s="150"/>
      <c r="M768" s="34"/>
      <c r="N768" s="34"/>
      <c r="O768" s="34"/>
      <c r="T768" s="34"/>
      <c r="U768" s="34"/>
      <c r="V768" s="33"/>
      <c r="AW768" s="34"/>
      <c r="AX768" s="34"/>
    </row>
    <row r="769" spans="8:50" s="35" customFormat="1" hidden="1" x14ac:dyDescent="0.25">
      <c r="H769" s="304"/>
      <c r="K769" s="149"/>
      <c r="L769" s="150"/>
      <c r="M769" s="34"/>
      <c r="N769" s="34"/>
      <c r="O769" s="34"/>
      <c r="T769" s="34"/>
      <c r="U769" s="34"/>
      <c r="V769" s="33"/>
      <c r="AW769" s="34"/>
      <c r="AX769" s="34"/>
    </row>
    <row r="770" spans="8:50" s="35" customFormat="1" hidden="1" x14ac:dyDescent="0.25">
      <c r="H770" s="304"/>
      <c r="K770" s="149"/>
      <c r="L770" s="150"/>
      <c r="M770" s="34"/>
      <c r="N770" s="34"/>
      <c r="O770" s="34"/>
      <c r="T770" s="34"/>
      <c r="U770" s="34"/>
      <c r="V770" s="33"/>
      <c r="AW770" s="34"/>
      <c r="AX770" s="34"/>
    </row>
    <row r="771" spans="8:50" s="35" customFormat="1" hidden="1" x14ac:dyDescent="0.25">
      <c r="H771" s="304"/>
      <c r="K771" s="149"/>
      <c r="L771" s="150"/>
      <c r="M771" s="34"/>
      <c r="N771" s="34"/>
      <c r="O771" s="34"/>
      <c r="T771" s="34"/>
      <c r="U771" s="34"/>
      <c r="V771" s="33"/>
      <c r="AW771" s="34"/>
      <c r="AX771" s="34"/>
    </row>
    <row r="772" spans="8:50" s="35" customFormat="1" hidden="1" x14ac:dyDescent="0.25">
      <c r="H772" s="304"/>
      <c r="K772" s="149"/>
      <c r="L772" s="150"/>
      <c r="M772" s="34"/>
      <c r="N772" s="34"/>
      <c r="O772" s="34"/>
      <c r="T772" s="34"/>
      <c r="U772" s="34"/>
      <c r="V772" s="33"/>
      <c r="AW772" s="34"/>
      <c r="AX772" s="34"/>
    </row>
    <row r="773" spans="8:50" s="35" customFormat="1" hidden="1" x14ac:dyDescent="0.25">
      <c r="H773" s="304"/>
      <c r="K773" s="149"/>
      <c r="L773" s="150"/>
      <c r="M773" s="34"/>
      <c r="N773" s="34"/>
      <c r="O773" s="34"/>
      <c r="T773" s="34"/>
      <c r="U773" s="34"/>
      <c r="V773" s="33"/>
      <c r="AW773" s="34"/>
      <c r="AX773" s="34"/>
    </row>
    <row r="774" spans="8:50" s="35" customFormat="1" hidden="1" x14ac:dyDescent="0.25">
      <c r="H774" s="304"/>
      <c r="K774" s="149"/>
      <c r="L774" s="150"/>
      <c r="M774" s="34"/>
      <c r="N774" s="34"/>
      <c r="O774" s="34"/>
      <c r="T774" s="34"/>
      <c r="U774" s="34"/>
      <c r="V774" s="33"/>
      <c r="AW774" s="34"/>
      <c r="AX774" s="34"/>
    </row>
    <row r="775" spans="8:50" s="35" customFormat="1" hidden="1" x14ac:dyDescent="0.25">
      <c r="H775" s="304"/>
      <c r="K775" s="149"/>
      <c r="L775" s="150"/>
      <c r="M775" s="34"/>
      <c r="N775" s="34"/>
      <c r="O775" s="34"/>
      <c r="T775" s="34"/>
      <c r="U775" s="34"/>
      <c r="V775" s="33"/>
      <c r="AW775" s="34"/>
      <c r="AX775" s="34"/>
    </row>
    <row r="776" spans="8:50" s="35" customFormat="1" hidden="1" x14ac:dyDescent="0.25">
      <c r="H776" s="304"/>
      <c r="K776" s="149"/>
      <c r="L776" s="150"/>
      <c r="M776" s="34"/>
      <c r="N776" s="34"/>
      <c r="O776" s="34"/>
      <c r="T776" s="34"/>
      <c r="U776" s="34"/>
      <c r="V776" s="33"/>
      <c r="AW776" s="34"/>
      <c r="AX776" s="34"/>
    </row>
    <row r="777" spans="8:50" s="35" customFormat="1" hidden="1" x14ac:dyDescent="0.25">
      <c r="H777" s="304"/>
      <c r="K777" s="149"/>
      <c r="L777" s="150"/>
      <c r="M777" s="34"/>
      <c r="N777" s="34"/>
      <c r="O777" s="34"/>
      <c r="T777" s="34"/>
      <c r="U777" s="34"/>
      <c r="V777" s="33"/>
      <c r="AW777" s="34"/>
      <c r="AX777" s="34"/>
    </row>
    <row r="778" spans="8:50" s="35" customFormat="1" hidden="1" x14ac:dyDescent="0.25">
      <c r="H778" s="304"/>
      <c r="K778" s="149"/>
      <c r="L778" s="150"/>
      <c r="M778" s="34"/>
      <c r="N778" s="34"/>
      <c r="O778" s="34"/>
      <c r="T778" s="34"/>
      <c r="U778" s="34"/>
      <c r="V778" s="33"/>
      <c r="AW778" s="34"/>
      <c r="AX778" s="34"/>
    </row>
    <row r="779" spans="8:50" s="35" customFormat="1" hidden="1" x14ac:dyDescent="0.25">
      <c r="H779" s="304"/>
      <c r="K779" s="149"/>
      <c r="L779" s="150"/>
      <c r="M779" s="34"/>
      <c r="N779" s="34"/>
      <c r="O779" s="34"/>
      <c r="T779" s="34"/>
      <c r="U779" s="34"/>
      <c r="V779" s="33"/>
      <c r="AW779" s="34"/>
      <c r="AX779" s="34"/>
    </row>
    <row r="780" spans="8:50" s="35" customFormat="1" hidden="1" x14ac:dyDescent="0.25">
      <c r="H780" s="304"/>
      <c r="K780" s="149"/>
      <c r="L780" s="150"/>
      <c r="M780" s="34"/>
      <c r="N780" s="34"/>
      <c r="O780" s="34"/>
      <c r="T780" s="34"/>
      <c r="U780" s="34"/>
      <c r="V780" s="33"/>
      <c r="AW780" s="34"/>
      <c r="AX780" s="34"/>
    </row>
    <row r="781" spans="8:50" s="35" customFormat="1" hidden="1" x14ac:dyDescent="0.25">
      <c r="H781" s="304"/>
      <c r="K781" s="149"/>
      <c r="L781" s="150"/>
      <c r="M781" s="34"/>
      <c r="N781" s="34"/>
      <c r="O781" s="34"/>
      <c r="T781" s="34"/>
      <c r="U781" s="34"/>
      <c r="V781" s="33"/>
      <c r="AW781" s="34"/>
      <c r="AX781" s="34"/>
    </row>
    <row r="782" spans="8:50" s="35" customFormat="1" hidden="1" x14ac:dyDescent="0.25">
      <c r="H782" s="304"/>
      <c r="K782" s="149"/>
      <c r="L782" s="150"/>
      <c r="M782" s="34"/>
      <c r="N782" s="34"/>
      <c r="O782" s="34"/>
      <c r="T782" s="34"/>
      <c r="U782" s="34"/>
      <c r="V782" s="33"/>
      <c r="AW782" s="34"/>
      <c r="AX782" s="34"/>
    </row>
    <row r="783" spans="8:50" s="35" customFormat="1" hidden="1" x14ac:dyDescent="0.25">
      <c r="H783" s="304"/>
      <c r="K783" s="149"/>
      <c r="L783" s="150"/>
      <c r="M783" s="34"/>
      <c r="N783" s="34"/>
      <c r="O783" s="34"/>
      <c r="T783" s="34"/>
      <c r="U783" s="34"/>
      <c r="V783" s="33"/>
      <c r="AW783" s="34"/>
      <c r="AX783" s="34"/>
    </row>
    <row r="784" spans="8:50" s="35" customFormat="1" hidden="1" x14ac:dyDescent="0.25">
      <c r="H784" s="304"/>
      <c r="K784" s="149"/>
      <c r="L784" s="150"/>
      <c r="M784" s="34"/>
      <c r="N784" s="34"/>
      <c r="O784" s="34"/>
      <c r="T784" s="34"/>
      <c r="U784" s="34"/>
      <c r="V784" s="33"/>
      <c r="AW784" s="34"/>
      <c r="AX784" s="34"/>
    </row>
    <row r="785" spans="8:50" s="35" customFormat="1" hidden="1" x14ac:dyDescent="0.25">
      <c r="H785" s="304"/>
      <c r="K785" s="149"/>
      <c r="L785" s="150"/>
      <c r="M785" s="34"/>
      <c r="N785" s="34"/>
      <c r="O785" s="34"/>
      <c r="T785" s="34"/>
      <c r="U785" s="34"/>
      <c r="V785" s="33"/>
      <c r="AW785" s="34"/>
      <c r="AX785" s="34"/>
    </row>
    <row r="786" spans="8:50" s="35" customFormat="1" hidden="1" x14ac:dyDescent="0.25">
      <c r="H786" s="304"/>
      <c r="K786" s="149"/>
      <c r="L786" s="150"/>
      <c r="M786" s="34"/>
      <c r="N786" s="34"/>
      <c r="O786" s="34"/>
      <c r="T786" s="34"/>
      <c r="U786" s="34"/>
      <c r="V786" s="33"/>
      <c r="AW786" s="34"/>
      <c r="AX786" s="34"/>
    </row>
    <row r="787" spans="8:50" s="35" customFormat="1" hidden="1" x14ac:dyDescent="0.25">
      <c r="H787" s="304"/>
      <c r="K787" s="149"/>
      <c r="L787" s="150"/>
      <c r="M787" s="34"/>
      <c r="N787" s="34"/>
      <c r="O787" s="34"/>
      <c r="T787" s="34"/>
      <c r="U787" s="34"/>
      <c r="V787" s="33"/>
      <c r="AW787" s="34"/>
      <c r="AX787" s="34"/>
    </row>
    <row r="788" spans="8:50" s="35" customFormat="1" hidden="1" x14ac:dyDescent="0.25">
      <c r="H788" s="304"/>
      <c r="K788" s="149"/>
      <c r="L788" s="150"/>
      <c r="M788" s="34"/>
      <c r="N788" s="34"/>
      <c r="O788" s="34"/>
      <c r="T788" s="34"/>
      <c r="U788" s="34"/>
      <c r="V788" s="33"/>
      <c r="AW788" s="34"/>
      <c r="AX788" s="34"/>
    </row>
    <row r="789" spans="8:50" s="35" customFormat="1" hidden="1" x14ac:dyDescent="0.25">
      <c r="H789" s="304"/>
      <c r="K789" s="149"/>
      <c r="L789" s="150"/>
      <c r="M789" s="34"/>
      <c r="N789" s="34"/>
      <c r="O789" s="34"/>
      <c r="T789" s="34"/>
      <c r="U789" s="34"/>
      <c r="V789" s="33"/>
      <c r="AW789" s="34"/>
      <c r="AX789" s="34"/>
    </row>
    <row r="790" spans="8:50" s="35" customFormat="1" hidden="1" x14ac:dyDescent="0.25">
      <c r="H790" s="304"/>
      <c r="K790" s="149"/>
      <c r="L790" s="150"/>
      <c r="M790" s="34"/>
      <c r="N790" s="34"/>
      <c r="O790" s="34"/>
      <c r="T790" s="34"/>
      <c r="U790" s="34"/>
      <c r="V790" s="33"/>
      <c r="AW790" s="34"/>
      <c r="AX790" s="34"/>
    </row>
    <row r="791" spans="8:50" s="35" customFormat="1" hidden="1" x14ac:dyDescent="0.25">
      <c r="H791" s="304"/>
      <c r="K791" s="149"/>
      <c r="L791" s="150"/>
      <c r="M791" s="34"/>
      <c r="N791" s="34"/>
      <c r="O791" s="34"/>
      <c r="T791" s="34"/>
      <c r="U791" s="34"/>
      <c r="V791" s="33"/>
      <c r="AW791" s="34"/>
      <c r="AX791" s="34"/>
    </row>
    <row r="792" spans="8:50" s="35" customFormat="1" hidden="1" x14ac:dyDescent="0.25">
      <c r="H792" s="304"/>
      <c r="K792" s="149"/>
      <c r="L792" s="150"/>
      <c r="M792" s="34"/>
      <c r="N792" s="34"/>
      <c r="O792" s="34"/>
      <c r="T792" s="34"/>
      <c r="U792" s="34"/>
      <c r="V792" s="33"/>
      <c r="AW792" s="34"/>
      <c r="AX792" s="34"/>
    </row>
    <row r="793" spans="8:50" s="35" customFormat="1" hidden="1" x14ac:dyDescent="0.25">
      <c r="H793" s="304"/>
      <c r="K793" s="149"/>
      <c r="L793" s="150"/>
      <c r="M793" s="34"/>
      <c r="N793" s="34"/>
      <c r="O793" s="34"/>
      <c r="T793" s="34"/>
      <c r="U793" s="34"/>
      <c r="V793" s="33"/>
      <c r="AW793" s="34"/>
      <c r="AX793" s="34"/>
    </row>
    <row r="794" spans="8:50" s="35" customFormat="1" hidden="1" x14ac:dyDescent="0.25">
      <c r="H794" s="304"/>
      <c r="K794" s="149"/>
      <c r="L794" s="150"/>
      <c r="M794" s="34"/>
      <c r="N794" s="34"/>
      <c r="O794" s="34"/>
      <c r="T794" s="34"/>
      <c r="U794" s="34"/>
      <c r="V794" s="33"/>
      <c r="AW794" s="34"/>
      <c r="AX794" s="34"/>
    </row>
    <row r="795" spans="8:50" s="35" customFormat="1" hidden="1" x14ac:dyDescent="0.25">
      <c r="H795" s="304"/>
      <c r="K795" s="149"/>
      <c r="L795" s="150"/>
      <c r="M795" s="34"/>
      <c r="N795" s="34"/>
      <c r="O795" s="34"/>
      <c r="T795" s="34"/>
      <c r="U795" s="34"/>
      <c r="V795" s="33"/>
      <c r="AW795" s="34"/>
      <c r="AX795" s="34"/>
    </row>
    <row r="796" spans="8:50" s="35" customFormat="1" hidden="1" x14ac:dyDescent="0.25">
      <c r="H796" s="304"/>
      <c r="K796" s="149"/>
      <c r="L796" s="150"/>
      <c r="M796" s="34"/>
      <c r="N796" s="34"/>
      <c r="O796" s="34"/>
      <c r="T796" s="34"/>
      <c r="U796" s="34"/>
      <c r="V796" s="33"/>
      <c r="AW796" s="34"/>
      <c r="AX796" s="34"/>
    </row>
    <row r="797" spans="8:50" s="35" customFormat="1" hidden="1" x14ac:dyDescent="0.25">
      <c r="H797" s="304"/>
      <c r="K797" s="149"/>
      <c r="L797" s="150"/>
      <c r="M797" s="34"/>
      <c r="N797" s="34"/>
      <c r="O797" s="34"/>
      <c r="T797" s="34"/>
      <c r="U797" s="34"/>
      <c r="V797" s="33"/>
      <c r="AW797" s="34"/>
      <c r="AX797" s="34"/>
    </row>
    <row r="798" spans="8:50" s="35" customFormat="1" hidden="1" x14ac:dyDescent="0.25">
      <c r="H798" s="304"/>
      <c r="K798" s="149"/>
      <c r="L798" s="150"/>
      <c r="M798" s="34"/>
      <c r="N798" s="34"/>
      <c r="O798" s="34"/>
      <c r="T798" s="34"/>
      <c r="U798" s="34"/>
      <c r="V798" s="33"/>
      <c r="AW798" s="34"/>
      <c r="AX798" s="34"/>
    </row>
    <row r="799" spans="8:50" s="35" customFormat="1" hidden="1" x14ac:dyDescent="0.25">
      <c r="H799" s="304"/>
      <c r="K799" s="149"/>
      <c r="L799" s="150"/>
      <c r="M799" s="34"/>
      <c r="N799" s="34"/>
      <c r="O799" s="34"/>
      <c r="T799" s="34"/>
      <c r="U799" s="34"/>
      <c r="V799" s="33"/>
      <c r="AW799" s="34"/>
      <c r="AX799" s="34"/>
    </row>
    <row r="800" spans="8:50" s="35" customFormat="1" hidden="1" x14ac:dyDescent="0.25">
      <c r="H800" s="304"/>
      <c r="K800" s="149"/>
      <c r="L800" s="150"/>
      <c r="M800" s="34"/>
      <c r="N800" s="34"/>
      <c r="O800" s="34"/>
      <c r="T800" s="34"/>
      <c r="U800" s="34"/>
      <c r="V800" s="33"/>
      <c r="AW800" s="34"/>
      <c r="AX800" s="34"/>
    </row>
    <row r="801" spans="8:50" s="35" customFormat="1" hidden="1" x14ac:dyDescent="0.25">
      <c r="H801" s="304"/>
      <c r="K801" s="149"/>
      <c r="L801" s="150"/>
      <c r="M801" s="34"/>
      <c r="N801" s="34"/>
      <c r="O801" s="34"/>
      <c r="T801" s="34"/>
      <c r="U801" s="34"/>
      <c r="V801" s="33"/>
      <c r="AW801" s="34"/>
      <c r="AX801" s="34"/>
    </row>
    <row r="802" spans="8:50" s="35" customFormat="1" hidden="1" x14ac:dyDescent="0.25">
      <c r="H802" s="304"/>
      <c r="K802" s="149"/>
      <c r="L802" s="150"/>
      <c r="M802" s="34"/>
      <c r="N802" s="34"/>
      <c r="O802" s="34"/>
      <c r="T802" s="34"/>
      <c r="U802" s="34"/>
      <c r="V802" s="33"/>
      <c r="AW802" s="34"/>
      <c r="AX802" s="34"/>
    </row>
    <row r="803" spans="8:50" s="35" customFormat="1" hidden="1" x14ac:dyDescent="0.25">
      <c r="H803" s="304"/>
      <c r="K803" s="149"/>
      <c r="L803" s="150"/>
      <c r="M803" s="34"/>
      <c r="N803" s="34"/>
      <c r="O803" s="34"/>
      <c r="T803" s="34"/>
      <c r="U803" s="34"/>
      <c r="V803" s="33"/>
      <c r="AW803" s="34"/>
      <c r="AX803" s="34"/>
    </row>
    <row r="804" spans="8:50" s="35" customFormat="1" hidden="1" x14ac:dyDescent="0.25">
      <c r="H804" s="304"/>
      <c r="K804" s="149"/>
      <c r="L804" s="150"/>
      <c r="M804" s="34"/>
      <c r="N804" s="34"/>
      <c r="O804" s="34"/>
      <c r="T804" s="34"/>
      <c r="U804" s="34"/>
      <c r="V804" s="33"/>
      <c r="AW804" s="34"/>
      <c r="AX804" s="34"/>
    </row>
    <row r="805" spans="8:50" s="35" customFormat="1" hidden="1" x14ac:dyDescent="0.25">
      <c r="H805" s="304"/>
      <c r="K805" s="149"/>
      <c r="L805" s="150"/>
      <c r="M805" s="34"/>
      <c r="N805" s="34"/>
      <c r="O805" s="34"/>
      <c r="T805" s="34"/>
      <c r="U805" s="34"/>
      <c r="V805" s="33"/>
      <c r="AW805" s="34"/>
      <c r="AX805" s="34"/>
    </row>
    <row r="806" spans="8:50" s="35" customFormat="1" hidden="1" x14ac:dyDescent="0.25">
      <c r="H806" s="304"/>
      <c r="K806" s="149"/>
      <c r="L806" s="150"/>
      <c r="M806" s="34"/>
      <c r="N806" s="34"/>
      <c r="O806" s="34"/>
      <c r="T806" s="34"/>
      <c r="U806" s="34"/>
      <c r="V806" s="33"/>
      <c r="AW806" s="34"/>
      <c r="AX806" s="34"/>
    </row>
    <row r="807" spans="8:50" s="35" customFormat="1" hidden="1" x14ac:dyDescent="0.25">
      <c r="H807" s="304"/>
      <c r="K807" s="149"/>
      <c r="L807" s="150"/>
      <c r="M807" s="34"/>
      <c r="N807" s="34"/>
      <c r="O807" s="34"/>
      <c r="T807" s="34"/>
      <c r="U807" s="34"/>
      <c r="V807" s="33"/>
      <c r="AW807" s="34"/>
      <c r="AX807" s="34"/>
    </row>
    <row r="808" spans="8:50" s="35" customFormat="1" hidden="1" x14ac:dyDescent="0.25">
      <c r="H808" s="304"/>
      <c r="K808" s="149"/>
      <c r="L808" s="150"/>
      <c r="M808" s="34"/>
      <c r="N808" s="34"/>
      <c r="O808" s="34"/>
      <c r="T808" s="34"/>
      <c r="U808" s="34"/>
      <c r="V808" s="33"/>
      <c r="AW808" s="34"/>
      <c r="AX808" s="34"/>
    </row>
    <row r="809" spans="8:50" s="35" customFormat="1" hidden="1" x14ac:dyDescent="0.25">
      <c r="H809" s="304"/>
      <c r="K809" s="149"/>
      <c r="L809" s="150"/>
      <c r="M809" s="34"/>
      <c r="N809" s="34"/>
      <c r="O809" s="34"/>
      <c r="T809" s="34"/>
      <c r="U809" s="34"/>
      <c r="V809" s="33"/>
      <c r="AW809" s="34"/>
      <c r="AX809" s="34"/>
    </row>
    <row r="810" spans="8:50" s="35" customFormat="1" hidden="1" x14ac:dyDescent="0.25">
      <c r="H810" s="304"/>
      <c r="K810" s="149"/>
      <c r="L810" s="150"/>
      <c r="M810" s="34"/>
      <c r="N810" s="34"/>
      <c r="O810" s="34"/>
      <c r="T810" s="34"/>
      <c r="U810" s="34"/>
      <c r="V810" s="33"/>
      <c r="AW810" s="34"/>
      <c r="AX810" s="34"/>
    </row>
    <row r="811" spans="8:50" s="35" customFormat="1" hidden="1" x14ac:dyDescent="0.25">
      <c r="H811" s="304"/>
      <c r="K811" s="149"/>
      <c r="L811" s="150"/>
      <c r="M811" s="34"/>
      <c r="N811" s="34"/>
      <c r="O811" s="34"/>
      <c r="T811" s="34"/>
      <c r="U811" s="34"/>
      <c r="V811" s="33"/>
      <c r="AW811" s="34"/>
      <c r="AX811" s="34"/>
    </row>
    <row r="812" spans="8:50" s="35" customFormat="1" hidden="1" x14ac:dyDescent="0.25">
      <c r="H812" s="304"/>
      <c r="K812" s="149"/>
      <c r="L812" s="150"/>
      <c r="M812" s="34"/>
      <c r="N812" s="34"/>
      <c r="O812" s="34"/>
      <c r="T812" s="34"/>
      <c r="U812" s="34"/>
      <c r="V812" s="33"/>
      <c r="AW812" s="34"/>
      <c r="AX812" s="34"/>
    </row>
    <row r="813" spans="8:50" s="35" customFormat="1" hidden="1" x14ac:dyDescent="0.25">
      <c r="H813" s="304"/>
      <c r="K813" s="149"/>
      <c r="L813" s="150"/>
      <c r="M813" s="34"/>
      <c r="N813" s="34"/>
      <c r="O813" s="34"/>
      <c r="T813" s="34"/>
      <c r="U813" s="34"/>
      <c r="V813" s="33"/>
      <c r="AW813" s="34"/>
      <c r="AX813" s="34"/>
    </row>
    <row r="814" spans="8:50" s="35" customFormat="1" hidden="1" x14ac:dyDescent="0.25">
      <c r="H814" s="304"/>
      <c r="K814" s="149"/>
      <c r="L814" s="150"/>
      <c r="M814" s="34"/>
      <c r="N814" s="34"/>
      <c r="O814" s="34"/>
      <c r="T814" s="34"/>
      <c r="U814" s="34"/>
      <c r="V814" s="33"/>
      <c r="AW814" s="34"/>
      <c r="AX814" s="34"/>
    </row>
    <row r="815" spans="8:50" s="35" customFormat="1" hidden="1" x14ac:dyDescent="0.25">
      <c r="H815" s="304"/>
      <c r="K815" s="149"/>
      <c r="L815" s="150"/>
      <c r="M815" s="34"/>
      <c r="N815" s="34"/>
      <c r="O815" s="34"/>
      <c r="T815" s="34"/>
      <c r="U815" s="34"/>
      <c r="V815" s="33"/>
      <c r="AW815" s="34"/>
      <c r="AX815" s="34"/>
    </row>
    <row r="816" spans="8:50" s="35" customFormat="1" hidden="1" x14ac:dyDescent="0.25">
      <c r="H816" s="304"/>
      <c r="K816" s="149"/>
      <c r="L816" s="150"/>
      <c r="M816" s="34"/>
      <c r="N816" s="34"/>
      <c r="O816" s="34"/>
      <c r="T816" s="34"/>
      <c r="U816" s="34"/>
      <c r="V816" s="33"/>
      <c r="AW816" s="34"/>
      <c r="AX816" s="34"/>
    </row>
    <row r="817" spans="8:50" s="35" customFormat="1" hidden="1" x14ac:dyDescent="0.25">
      <c r="H817" s="304"/>
      <c r="K817" s="149"/>
      <c r="L817" s="150"/>
      <c r="M817" s="34"/>
      <c r="N817" s="34"/>
      <c r="O817" s="34"/>
      <c r="T817" s="34"/>
      <c r="U817" s="34"/>
      <c r="V817" s="33"/>
      <c r="AW817" s="34"/>
      <c r="AX817" s="34"/>
    </row>
    <row r="818" spans="8:50" s="35" customFormat="1" hidden="1" x14ac:dyDescent="0.25">
      <c r="H818" s="304"/>
      <c r="K818" s="149"/>
      <c r="L818" s="150"/>
      <c r="M818" s="34"/>
      <c r="N818" s="34"/>
      <c r="O818" s="34"/>
      <c r="T818" s="34"/>
      <c r="U818" s="34"/>
      <c r="V818" s="33"/>
      <c r="AW818" s="34"/>
      <c r="AX818" s="34"/>
    </row>
    <row r="819" spans="8:50" s="35" customFormat="1" hidden="1" x14ac:dyDescent="0.25">
      <c r="H819" s="304"/>
      <c r="K819" s="149"/>
      <c r="L819" s="150"/>
      <c r="M819" s="34"/>
      <c r="N819" s="34"/>
      <c r="O819" s="34"/>
      <c r="T819" s="34"/>
      <c r="U819" s="34"/>
      <c r="V819" s="33"/>
      <c r="AW819" s="34"/>
      <c r="AX819" s="34"/>
    </row>
    <row r="820" spans="8:50" s="35" customFormat="1" hidden="1" x14ac:dyDescent="0.25">
      <c r="H820" s="304"/>
      <c r="K820" s="149"/>
      <c r="L820" s="150"/>
      <c r="M820" s="34"/>
      <c r="N820" s="34"/>
      <c r="O820" s="34"/>
      <c r="T820" s="34"/>
      <c r="U820" s="34"/>
      <c r="V820" s="33"/>
      <c r="AW820" s="34"/>
      <c r="AX820" s="34"/>
    </row>
    <row r="821" spans="8:50" s="35" customFormat="1" hidden="1" x14ac:dyDescent="0.25">
      <c r="H821" s="304"/>
      <c r="K821" s="149"/>
      <c r="L821" s="150"/>
      <c r="M821" s="34"/>
      <c r="N821" s="34"/>
      <c r="O821" s="34"/>
      <c r="T821" s="34"/>
      <c r="U821" s="34"/>
      <c r="V821" s="33"/>
      <c r="AW821" s="34"/>
      <c r="AX821" s="34"/>
    </row>
    <row r="822" spans="8:50" s="35" customFormat="1" hidden="1" x14ac:dyDescent="0.25">
      <c r="H822" s="304"/>
      <c r="K822" s="149"/>
      <c r="L822" s="150"/>
      <c r="M822" s="34"/>
      <c r="N822" s="34"/>
      <c r="O822" s="34"/>
      <c r="T822" s="34"/>
      <c r="U822" s="34"/>
      <c r="V822" s="33"/>
      <c r="AW822" s="34"/>
      <c r="AX822" s="34"/>
    </row>
    <row r="823" spans="8:50" s="35" customFormat="1" hidden="1" x14ac:dyDescent="0.25">
      <c r="H823" s="304"/>
      <c r="K823" s="149"/>
      <c r="L823" s="150"/>
      <c r="M823" s="34"/>
      <c r="N823" s="34"/>
      <c r="O823" s="34"/>
      <c r="T823" s="34"/>
      <c r="U823" s="34"/>
      <c r="V823" s="33"/>
      <c r="AW823" s="34"/>
      <c r="AX823" s="34"/>
    </row>
    <row r="824" spans="8:50" s="35" customFormat="1" hidden="1" x14ac:dyDescent="0.25">
      <c r="H824" s="304"/>
      <c r="K824" s="149"/>
      <c r="L824" s="150"/>
      <c r="M824" s="34"/>
      <c r="N824" s="34"/>
      <c r="O824" s="34"/>
      <c r="T824" s="34"/>
      <c r="U824" s="34"/>
      <c r="V824" s="33"/>
      <c r="AW824" s="34"/>
      <c r="AX824" s="34"/>
    </row>
    <row r="825" spans="8:50" s="35" customFormat="1" hidden="1" x14ac:dyDescent="0.25">
      <c r="H825" s="304"/>
      <c r="K825" s="149"/>
      <c r="L825" s="150"/>
      <c r="M825" s="34"/>
      <c r="N825" s="34"/>
      <c r="O825" s="34"/>
      <c r="T825" s="34"/>
      <c r="U825" s="34"/>
      <c r="V825" s="33"/>
      <c r="AW825" s="34"/>
      <c r="AX825" s="34"/>
    </row>
    <row r="826" spans="8:50" s="35" customFormat="1" hidden="1" x14ac:dyDescent="0.25">
      <c r="H826" s="304"/>
      <c r="K826" s="149"/>
      <c r="L826" s="150"/>
      <c r="M826" s="34"/>
      <c r="N826" s="34"/>
      <c r="O826" s="34"/>
      <c r="T826" s="34"/>
      <c r="U826" s="34"/>
      <c r="V826" s="33"/>
      <c r="AW826" s="34"/>
      <c r="AX826" s="34"/>
    </row>
    <row r="827" spans="8:50" s="35" customFormat="1" hidden="1" x14ac:dyDescent="0.25">
      <c r="H827" s="304"/>
      <c r="K827" s="149"/>
      <c r="L827" s="150"/>
      <c r="M827" s="34"/>
      <c r="N827" s="34"/>
      <c r="O827" s="34"/>
      <c r="T827" s="34"/>
      <c r="U827" s="34"/>
      <c r="V827" s="33"/>
      <c r="AW827" s="34"/>
      <c r="AX827" s="34"/>
    </row>
    <row r="828" spans="8:50" s="35" customFormat="1" hidden="1" x14ac:dyDescent="0.25">
      <c r="H828" s="304"/>
      <c r="K828" s="149"/>
      <c r="L828" s="150"/>
      <c r="M828" s="34"/>
      <c r="N828" s="34"/>
      <c r="O828" s="34"/>
      <c r="T828" s="34"/>
      <c r="U828" s="34"/>
      <c r="V828" s="33"/>
      <c r="AW828" s="34"/>
      <c r="AX828" s="34"/>
    </row>
    <row r="829" spans="8:50" s="35" customFormat="1" hidden="1" x14ac:dyDescent="0.25">
      <c r="H829" s="304"/>
      <c r="K829" s="149"/>
      <c r="L829" s="150"/>
      <c r="M829" s="34"/>
      <c r="N829" s="34"/>
      <c r="O829" s="34"/>
      <c r="T829" s="34"/>
      <c r="U829" s="34"/>
      <c r="V829" s="33"/>
      <c r="AW829" s="34"/>
      <c r="AX829" s="34"/>
    </row>
    <row r="830" spans="8:50" s="35" customFormat="1" hidden="1" x14ac:dyDescent="0.25">
      <c r="H830" s="304"/>
      <c r="K830" s="149"/>
      <c r="L830" s="150"/>
      <c r="M830" s="34"/>
      <c r="N830" s="34"/>
      <c r="O830" s="34"/>
      <c r="T830" s="34"/>
      <c r="U830" s="34"/>
      <c r="V830" s="33"/>
      <c r="AW830" s="34"/>
      <c r="AX830" s="34"/>
    </row>
    <row r="831" spans="8:50" s="35" customFormat="1" hidden="1" x14ac:dyDescent="0.25">
      <c r="H831" s="304"/>
      <c r="K831" s="149"/>
      <c r="L831" s="150"/>
      <c r="M831" s="34"/>
      <c r="N831" s="34"/>
      <c r="O831" s="34"/>
      <c r="T831" s="34"/>
      <c r="U831" s="34"/>
      <c r="V831" s="33"/>
      <c r="AW831" s="34"/>
      <c r="AX831" s="34"/>
    </row>
    <row r="832" spans="8:50" s="35" customFormat="1" hidden="1" x14ac:dyDescent="0.25">
      <c r="H832" s="304"/>
      <c r="K832" s="149"/>
      <c r="L832" s="150"/>
      <c r="M832" s="34"/>
      <c r="N832" s="34"/>
      <c r="O832" s="34"/>
      <c r="T832" s="34"/>
      <c r="U832" s="34"/>
      <c r="V832" s="33"/>
      <c r="AW832" s="34"/>
      <c r="AX832" s="34"/>
    </row>
    <row r="833" spans="8:50" s="35" customFormat="1" hidden="1" x14ac:dyDescent="0.25">
      <c r="H833" s="304"/>
      <c r="K833" s="149"/>
      <c r="L833" s="150"/>
      <c r="M833" s="34"/>
      <c r="N833" s="34"/>
      <c r="O833" s="34"/>
      <c r="T833" s="34"/>
      <c r="U833" s="34"/>
      <c r="V833" s="33"/>
      <c r="AW833" s="34"/>
      <c r="AX833" s="34"/>
    </row>
    <row r="834" spans="8:50" s="35" customFormat="1" hidden="1" x14ac:dyDescent="0.25">
      <c r="H834" s="304"/>
      <c r="K834" s="149"/>
      <c r="L834" s="150"/>
      <c r="M834" s="34"/>
      <c r="N834" s="34"/>
      <c r="O834" s="34"/>
      <c r="T834" s="34"/>
      <c r="U834" s="34"/>
      <c r="V834" s="33"/>
      <c r="AW834" s="34"/>
      <c r="AX834" s="34"/>
    </row>
    <row r="835" spans="8:50" s="35" customFormat="1" hidden="1" x14ac:dyDescent="0.25">
      <c r="H835" s="304"/>
      <c r="K835" s="149"/>
      <c r="L835" s="150"/>
      <c r="M835" s="34"/>
      <c r="N835" s="34"/>
      <c r="O835" s="34"/>
      <c r="T835" s="34"/>
      <c r="U835" s="34"/>
      <c r="V835" s="33"/>
      <c r="AW835" s="34"/>
      <c r="AX835" s="34"/>
    </row>
    <row r="836" spans="8:50" s="35" customFormat="1" hidden="1" x14ac:dyDescent="0.25">
      <c r="H836" s="304"/>
      <c r="K836" s="149"/>
      <c r="L836" s="150"/>
      <c r="M836" s="34"/>
      <c r="N836" s="34"/>
      <c r="O836" s="34"/>
      <c r="T836" s="34"/>
      <c r="U836" s="34"/>
      <c r="V836" s="33"/>
      <c r="AW836" s="34"/>
      <c r="AX836" s="34"/>
    </row>
    <row r="837" spans="8:50" s="35" customFormat="1" hidden="1" x14ac:dyDescent="0.25">
      <c r="H837" s="304"/>
      <c r="K837" s="149"/>
      <c r="L837" s="150"/>
      <c r="M837" s="34"/>
      <c r="N837" s="34"/>
      <c r="O837" s="34"/>
      <c r="T837" s="34"/>
      <c r="U837" s="34"/>
      <c r="V837" s="33"/>
      <c r="AW837" s="34"/>
      <c r="AX837" s="34"/>
    </row>
    <row r="838" spans="8:50" s="35" customFormat="1" hidden="1" x14ac:dyDescent="0.25">
      <c r="H838" s="304"/>
      <c r="K838" s="149"/>
      <c r="L838" s="150"/>
      <c r="M838" s="34"/>
      <c r="N838" s="34"/>
      <c r="O838" s="34"/>
      <c r="T838" s="34"/>
      <c r="U838" s="34"/>
      <c r="V838" s="33"/>
      <c r="AW838" s="34"/>
      <c r="AX838" s="34"/>
    </row>
    <row r="839" spans="8:50" s="35" customFormat="1" hidden="1" x14ac:dyDescent="0.25">
      <c r="H839" s="304"/>
      <c r="K839" s="149"/>
      <c r="L839" s="150"/>
      <c r="M839" s="34"/>
      <c r="N839" s="34"/>
      <c r="O839" s="34"/>
      <c r="T839" s="34"/>
      <c r="U839" s="34"/>
      <c r="V839" s="33"/>
      <c r="AW839" s="34"/>
      <c r="AX839" s="34"/>
    </row>
    <row r="840" spans="8:50" s="35" customFormat="1" hidden="1" x14ac:dyDescent="0.25">
      <c r="H840" s="304"/>
      <c r="K840" s="149"/>
      <c r="L840" s="150"/>
      <c r="M840" s="34"/>
      <c r="N840" s="34"/>
      <c r="O840" s="34"/>
      <c r="T840" s="34"/>
      <c r="U840" s="34"/>
      <c r="V840" s="33"/>
      <c r="AW840" s="34"/>
      <c r="AX840" s="34"/>
    </row>
    <row r="841" spans="8:50" s="35" customFormat="1" hidden="1" x14ac:dyDescent="0.25">
      <c r="H841" s="304"/>
      <c r="K841" s="149"/>
      <c r="L841" s="150"/>
      <c r="M841" s="34"/>
      <c r="N841" s="34"/>
      <c r="O841" s="34"/>
      <c r="T841" s="34"/>
      <c r="U841" s="34"/>
      <c r="V841" s="33"/>
      <c r="AW841" s="34"/>
      <c r="AX841" s="34"/>
    </row>
    <row r="842" spans="8:50" s="35" customFormat="1" hidden="1" x14ac:dyDescent="0.25">
      <c r="H842" s="304"/>
      <c r="K842" s="149"/>
      <c r="L842" s="150"/>
      <c r="M842" s="34"/>
      <c r="N842" s="34"/>
      <c r="O842" s="34"/>
      <c r="T842" s="34"/>
      <c r="U842" s="34"/>
      <c r="V842" s="33"/>
      <c r="AW842" s="34"/>
      <c r="AX842" s="34"/>
    </row>
    <row r="843" spans="8:50" s="35" customFormat="1" hidden="1" x14ac:dyDescent="0.25">
      <c r="H843" s="304"/>
      <c r="K843" s="149"/>
      <c r="L843" s="150"/>
      <c r="M843" s="34"/>
      <c r="N843" s="34"/>
      <c r="O843" s="34"/>
      <c r="T843" s="34"/>
      <c r="U843" s="34"/>
      <c r="V843" s="33"/>
      <c r="AW843" s="34"/>
      <c r="AX843" s="34"/>
    </row>
    <row r="844" spans="8:50" s="35" customFormat="1" hidden="1" x14ac:dyDescent="0.25">
      <c r="H844" s="304"/>
      <c r="K844" s="149"/>
      <c r="L844" s="150"/>
      <c r="M844" s="34"/>
      <c r="N844" s="34"/>
      <c r="O844" s="34"/>
      <c r="T844" s="34"/>
      <c r="U844" s="34"/>
      <c r="V844" s="33"/>
      <c r="AW844" s="34"/>
      <c r="AX844" s="34"/>
    </row>
    <row r="845" spans="8:50" s="35" customFormat="1" hidden="1" x14ac:dyDescent="0.25">
      <c r="H845" s="304"/>
      <c r="K845" s="149"/>
      <c r="L845" s="150"/>
      <c r="M845" s="34"/>
      <c r="N845" s="34"/>
      <c r="O845" s="34"/>
      <c r="T845" s="34"/>
      <c r="U845" s="34"/>
      <c r="V845" s="33"/>
      <c r="AW845" s="34"/>
      <c r="AX845" s="34"/>
    </row>
    <row r="846" spans="8:50" s="35" customFormat="1" hidden="1" x14ac:dyDescent="0.25">
      <c r="H846" s="304"/>
      <c r="K846" s="149"/>
      <c r="L846" s="150"/>
      <c r="M846" s="34"/>
      <c r="N846" s="34"/>
      <c r="O846" s="34"/>
      <c r="T846" s="34"/>
      <c r="U846" s="34"/>
      <c r="V846" s="33"/>
      <c r="AW846" s="34"/>
      <c r="AX846" s="34"/>
    </row>
    <row r="847" spans="8:50" s="35" customFormat="1" hidden="1" x14ac:dyDescent="0.25">
      <c r="H847" s="304"/>
      <c r="K847" s="149"/>
      <c r="L847" s="150"/>
      <c r="M847" s="34"/>
      <c r="N847" s="34"/>
      <c r="O847" s="34"/>
      <c r="T847" s="34"/>
      <c r="U847" s="34"/>
      <c r="V847" s="33"/>
      <c r="AW847" s="34"/>
      <c r="AX847" s="34"/>
    </row>
    <row r="848" spans="8:50" s="35" customFormat="1" hidden="1" x14ac:dyDescent="0.25">
      <c r="H848" s="304"/>
      <c r="K848" s="149"/>
      <c r="L848" s="150"/>
      <c r="M848" s="34"/>
      <c r="N848" s="34"/>
      <c r="O848" s="34"/>
      <c r="T848" s="34"/>
      <c r="U848" s="34"/>
      <c r="V848" s="33"/>
      <c r="AW848" s="34"/>
      <c r="AX848" s="34"/>
    </row>
    <row r="849" spans="8:50" s="35" customFormat="1" hidden="1" x14ac:dyDescent="0.25">
      <c r="H849" s="304"/>
      <c r="K849" s="149"/>
      <c r="L849" s="150"/>
      <c r="M849" s="34"/>
      <c r="N849" s="34"/>
      <c r="O849" s="34"/>
      <c r="T849" s="34"/>
      <c r="U849" s="34"/>
      <c r="V849" s="33"/>
      <c r="AW849" s="34"/>
      <c r="AX849" s="34"/>
    </row>
    <row r="850" spans="8:50" s="35" customFormat="1" hidden="1" x14ac:dyDescent="0.25">
      <c r="H850" s="304"/>
      <c r="K850" s="149"/>
      <c r="L850" s="150"/>
      <c r="M850" s="34"/>
      <c r="N850" s="34"/>
      <c r="O850" s="34"/>
      <c r="T850" s="34"/>
      <c r="U850" s="34"/>
      <c r="V850" s="33"/>
      <c r="AW850" s="34"/>
      <c r="AX850" s="34"/>
    </row>
    <row r="851" spans="8:50" s="35" customFormat="1" hidden="1" x14ac:dyDescent="0.25">
      <c r="H851" s="304"/>
      <c r="K851" s="149"/>
      <c r="L851" s="150"/>
      <c r="M851" s="34"/>
      <c r="N851" s="34"/>
      <c r="O851" s="34"/>
      <c r="T851" s="34"/>
      <c r="U851" s="34"/>
      <c r="V851" s="33"/>
      <c r="AW851" s="34"/>
      <c r="AX851" s="34"/>
    </row>
    <row r="852" spans="8:50" s="35" customFormat="1" hidden="1" x14ac:dyDescent="0.25">
      <c r="H852" s="304"/>
      <c r="K852" s="149"/>
      <c r="L852" s="150"/>
      <c r="M852" s="34"/>
      <c r="N852" s="34"/>
      <c r="O852" s="34"/>
      <c r="T852" s="34"/>
      <c r="U852" s="34"/>
      <c r="V852" s="33"/>
      <c r="AW852" s="34"/>
      <c r="AX852" s="34"/>
    </row>
    <row r="853" spans="8:50" s="35" customFormat="1" hidden="1" x14ac:dyDescent="0.25">
      <c r="H853" s="304"/>
      <c r="K853" s="149"/>
      <c r="L853" s="150"/>
      <c r="M853" s="34"/>
      <c r="N853" s="34"/>
      <c r="O853" s="34"/>
      <c r="T853" s="34"/>
      <c r="U853" s="34"/>
      <c r="V853" s="33"/>
      <c r="AW853" s="34"/>
      <c r="AX853" s="34"/>
    </row>
    <row r="854" spans="8:50" s="35" customFormat="1" hidden="1" x14ac:dyDescent="0.25">
      <c r="H854" s="304"/>
      <c r="K854" s="149"/>
      <c r="L854" s="150"/>
      <c r="M854" s="34"/>
      <c r="N854" s="34"/>
      <c r="O854" s="34"/>
      <c r="T854" s="34"/>
      <c r="U854" s="34"/>
      <c r="V854" s="33"/>
      <c r="AW854" s="34"/>
      <c r="AX854" s="34"/>
    </row>
    <row r="855" spans="8:50" s="35" customFormat="1" hidden="1" x14ac:dyDescent="0.25">
      <c r="H855" s="304"/>
      <c r="K855" s="149"/>
      <c r="L855" s="150"/>
      <c r="M855" s="34"/>
      <c r="N855" s="34"/>
      <c r="O855" s="34"/>
      <c r="T855" s="34"/>
      <c r="U855" s="34"/>
      <c r="V855" s="33"/>
      <c r="AW855" s="34"/>
      <c r="AX855" s="34"/>
    </row>
    <row r="856" spans="8:50" s="35" customFormat="1" hidden="1" x14ac:dyDescent="0.25">
      <c r="H856" s="304"/>
      <c r="K856" s="149"/>
      <c r="L856" s="150"/>
      <c r="M856" s="34"/>
      <c r="N856" s="34"/>
      <c r="O856" s="34"/>
      <c r="T856" s="34"/>
      <c r="U856" s="34"/>
      <c r="V856" s="33"/>
      <c r="AW856" s="34"/>
      <c r="AX856" s="34"/>
    </row>
    <row r="857" spans="8:50" s="35" customFormat="1" hidden="1" x14ac:dyDescent="0.25">
      <c r="H857" s="304"/>
      <c r="K857" s="149"/>
      <c r="L857" s="150"/>
      <c r="M857" s="34"/>
      <c r="N857" s="34"/>
      <c r="O857" s="34"/>
      <c r="T857" s="34"/>
      <c r="U857" s="34"/>
      <c r="V857" s="33"/>
      <c r="AW857" s="34"/>
      <c r="AX857" s="34"/>
    </row>
    <row r="858" spans="8:50" s="35" customFormat="1" hidden="1" x14ac:dyDescent="0.25">
      <c r="H858" s="304"/>
      <c r="K858" s="149"/>
      <c r="L858" s="150"/>
      <c r="M858" s="34"/>
      <c r="N858" s="34"/>
      <c r="O858" s="34"/>
      <c r="T858" s="34"/>
      <c r="U858" s="34"/>
      <c r="V858" s="33"/>
      <c r="AW858" s="34"/>
      <c r="AX858" s="34"/>
    </row>
    <row r="859" spans="8:50" s="35" customFormat="1" hidden="1" x14ac:dyDescent="0.25">
      <c r="H859" s="304"/>
      <c r="K859" s="149"/>
      <c r="L859" s="150"/>
      <c r="M859" s="34"/>
      <c r="N859" s="34"/>
      <c r="O859" s="34"/>
      <c r="T859" s="34"/>
      <c r="U859" s="34"/>
      <c r="V859" s="33"/>
      <c r="AW859" s="34"/>
      <c r="AX859" s="34"/>
    </row>
    <row r="860" spans="8:50" s="35" customFormat="1" hidden="1" x14ac:dyDescent="0.25">
      <c r="H860" s="304"/>
      <c r="K860" s="149"/>
      <c r="L860" s="150"/>
      <c r="M860" s="34"/>
      <c r="N860" s="34"/>
      <c r="O860" s="34"/>
      <c r="T860" s="34"/>
      <c r="U860" s="34"/>
      <c r="V860" s="33"/>
      <c r="AW860" s="34"/>
      <c r="AX860" s="34"/>
    </row>
    <row r="861" spans="8:50" s="35" customFormat="1" hidden="1" x14ac:dyDescent="0.25">
      <c r="H861" s="304"/>
      <c r="K861" s="149"/>
      <c r="L861" s="150"/>
      <c r="M861" s="34"/>
      <c r="N861" s="34"/>
      <c r="O861" s="34"/>
      <c r="T861" s="34"/>
      <c r="U861" s="34"/>
      <c r="V861" s="33"/>
      <c r="AW861" s="34"/>
      <c r="AX861" s="34"/>
    </row>
    <row r="862" spans="8:50" s="35" customFormat="1" hidden="1" x14ac:dyDescent="0.25">
      <c r="H862" s="304"/>
      <c r="K862" s="149"/>
      <c r="L862" s="150"/>
      <c r="M862" s="34"/>
      <c r="N862" s="34"/>
      <c r="O862" s="34"/>
      <c r="T862" s="34"/>
      <c r="U862" s="34"/>
      <c r="V862" s="33"/>
      <c r="AW862" s="34"/>
      <c r="AX862" s="34"/>
    </row>
    <row r="863" spans="8:50" s="35" customFormat="1" hidden="1" x14ac:dyDescent="0.25">
      <c r="H863" s="304"/>
      <c r="K863" s="149"/>
      <c r="L863" s="150"/>
      <c r="M863" s="34"/>
      <c r="N863" s="34"/>
      <c r="O863" s="34"/>
      <c r="T863" s="34"/>
      <c r="U863" s="34"/>
      <c r="V863" s="33"/>
      <c r="AW863" s="34"/>
      <c r="AX863" s="34"/>
    </row>
    <row r="864" spans="8:50" s="35" customFormat="1" hidden="1" x14ac:dyDescent="0.25">
      <c r="H864" s="304"/>
      <c r="K864" s="149"/>
      <c r="L864" s="150"/>
      <c r="M864" s="34"/>
      <c r="N864" s="34"/>
      <c r="O864" s="34"/>
      <c r="T864" s="34"/>
      <c r="U864" s="34"/>
      <c r="V864" s="33"/>
      <c r="AW864" s="34"/>
      <c r="AX864" s="34"/>
    </row>
    <row r="865" spans="8:50" s="35" customFormat="1" hidden="1" x14ac:dyDescent="0.25">
      <c r="H865" s="304"/>
      <c r="K865" s="149"/>
      <c r="L865" s="150"/>
      <c r="M865" s="34"/>
      <c r="N865" s="34"/>
      <c r="O865" s="34"/>
      <c r="T865" s="34"/>
      <c r="U865" s="34"/>
      <c r="V865" s="33"/>
      <c r="AW865" s="34"/>
      <c r="AX865" s="34"/>
    </row>
    <row r="866" spans="8:50" s="35" customFormat="1" hidden="1" x14ac:dyDescent="0.25">
      <c r="H866" s="304"/>
      <c r="K866" s="149"/>
      <c r="L866" s="150"/>
      <c r="M866" s="34"/>
      <c r="N866" s="34"/>
      <c r="O866" s="34"/>
      <c r="T866" s="34"/>
      <c r="U866" s="34"/>
      <c r="V866" s="33"/>
      <c r="AW866" s="34"/>
      <c r="AX866" s="34"/>
    </row>
    <row r="867" spans="8:50" s="35" customFormat="1" hidden="1" x14ac:dyDescent="0.25">
      <c r="H867" s="304"/>
      <c r="K867" s="149"/>
      <c r="L867" s="150"/>
      <c r="M867" s="34"/>
      <c r="N867" s="34"/>
      <c r="O867" s="34"/>
      <c r="T867" s="34"/>
      <c r="U867" s="34"/>
      <c r="V867" s="33"/>
      <c r="AW867" s="34"/>
      <c r="AX867" s="34"/>
    </row>
    <row r="868" spans="8:50" s="35" customFormat="1" hidden="1" x14ac:dyDescent="0.25">
      <c r="H868" s="304"/>
      <c r="K868" s="149"/>
      <c r="L868" s="150"/>
      <c r="M868" s="34"/>
      <c r="N868" s="34"/>
      <c r="O868" s="34"/>
      <c r="T868" s="34"/>
      <c r="U868" s="34"/>
      <c r="V868" s="33"/>
      <c r="AW868" s="34"/>
      <c r="AX868" s="34"/>
    </row>
    <row r="869" spans="8:50" s="35" customFormat="1" hidden="1" x14ac:dyDescent="0.25">
      <c r="H869" s="304"/>
      <c r="K869" s="149"/>
      <c r="L869" s="150"/>
      <c r="M869" s="34"/>
      <c r="N869" s="34"/>
      <c r="O869" s="34"/>
      <c r="T869" s="34"/>
      <c r="U869" s="34"/>
      <c r="V869" s="33"/>
      <c r="AW869" s="34"/>
      <c r="AX869" s="34"/>
    </row>
    <row r="870" spans="8:50" s="35" customFormat="1" hidden="1" x14ac:dyDescent="0.25">
      <c r="H870" s="304"/>
      <c r="K870" s="149"/>
      <c r="L870" s="150"/>
      <c r="M870" s="34"/>
      <c r="N870" s="34"/>
      <c r="O870" s="34"/>
      <c r="T870" s="34"/>
      <c r="U870" s="34"/>
      <c r="V870" s="33"/>
      <c r="AW870" s="34"/>
      <c r="AX870" s="34"/>
    </row>
    <row r="871" spans="8:50" s="35" customFormat="1" hidden="1" x14ac:dyDescent="0.25">
      <c r="H871" s="304"/>
      <c r="K871" s="149"/>
      <c r="L871" s="150"/>
      <c r="M871" s="34"/>
      <c r="N871" s="34"/>
      <c r="O871" s="34"/>
      <c r="T871" s="34"/>
      <c r="U871" s="34"/>
      <c r="V871" s="33"/>
      <c r="AW871" s="34"/>
      <c r="AX871" s="34"/>
    </row>
    <row r="872" spans="8:50" s="35" customFormat="1" hidden="1" x14ac:dyDescent="0.25">
      <c r="H872" s="304"/>
      <c r="K872" s="149"/>
      <c r="L872" s="150"/>
      <c r="M872" s="34"/>
      <c r="N872" s="34"/>
      <c r="O872" s="34"/>
      <c r="T872" s="34"/>
      <c r="U872" s="34"/>
      <c r="V872" s="33"/>
      <c r="AW872" s="34"/>
      <c r="AX872" s="34"/>
    </row>
    <row r="873" spans="8:50" s="35" customFormat="1" hidden="1" x14ac:dyDescent="0.25">
      <c r="H873" s="304"/>
      <c r="K873" s="149"/>
      <c r="L873" s="150"/>
      <c r="M873" s="34"/>
      <c r="N873" s="34"/>
      <c r="O873" s="34"/>
      <c r="T873" s="34"/>
      <c r="U873" s="34"/>
      <c r="V873" s="33"/>
      <c r="AW873" s="34"/>
      <c r="AX873" s="34"/>
    </row>
    <row r="874" spans="8:50" s="35" customFormat="1" hidden="1" x14ac:dyDescent="0.25">
      <c r="H874" s="304"/>
      <c r="K874" s="149"/>
      <c r="L874" s="150"/>
      <c r="M874" s="34"/>
      <c r="N874" s="34"/>
      <c r="O874" s="34"/>
      <c r="T874" s="34"/>
      <c r="U874" s="34"/>
      <c r="V874" s="33"/>
      <c r="AW874" s="34"/>
      <c r="AX874" s="34"/>
    </row>
    <row r="875" spans="8:50" s="35" customFormat="1" hidden="1" x14ac:dyDescent="0.25">
      <c r="H875" s="304"/>
      <c r="K875" s="149"/>
      <c r="L875" s="150"/>
      <c r="M875" s="34"/>
      <c r="N875" s="34"/>
      <c r="O875" s="34"/>
      <c r="T875" s="34"/>
      <c r="U875" s="34"/>
      <c r="V875" s="33"/>
      <c r="AW875" s="34"/>
      <c r="AX875" s="34"/>
    </row>
    <row r="876" spans="8:50" s="35" customFormat="1" hidden="1" x14ac:dyDescent="0.25">
      <c r="H876" s="304"/>
      <c r="K876" s="149"/>
      <c r="L876" s="150"/>
      <c r="M876" s="34"/>
      <c r="N876" s="34"/>
      <c r="O876" s="34"/>
      <c r="T876" s="34"/>
      <c r="U876" s="34"/>
      <c r="V876" s="33"/>
      <c r="AW876" s="34"/>
      <c r="AX876" s="34"/>
    </row>
    <row r="877" spans="8:50" s="35" customFormat="1" hidden="1" x14ac:dyDescent="0.25">
      <c r="H877" s="304"/>
      <c r="K877" s="149"/>
      <c r="L877" s="150"/>
      <c r="M877" s="34"/>
      <c r="N877" s="34"/>
      <c r="O877" s="34"/>
      <c r="T877" s="34"/>
      <c r="U877" s="34"/>
      <c r="V877" s="33"/>
      <c r="AW877" s="34"/>
      <c r="AX877" s="34"/>
    </row>
    <row r="878" spans="8:50" s="35" customFormat="1" hidden="1" x14ac:dyDescent="0.25">
      <c r="H878" s="304"/>
      <c r="K878" s="149"/>
      <c r="L878" s="150"/>
      <c r="M878" s="34"/>
      <c r="N878" s="34"/>
      <c r="O878" s="34"/>
      <c r="T878" s="34"/>
      <c r="U878" s="34"/>
      <c r="V878" s="33"/>
      <c r="AW878" s="34"/>
      <c r="AX878" s="34"/>
    </row>
    <row r="879" spans="8:50" s="35" customFormat="1" hidden="1" x14ac:dyDescent="0.25">
      <c r="H879" s="304"/>
      <c r="K879" s="149"/>
      <c r="L879" s="150"/>
      <c r="M879" s="34"/>
      <c r="N879" s="34"/>
      <c r="O879" s="34"/>
      <c r="T879" s="34"/>
      <c r="U879" s="34"/>
      <c r="V879" s="33"/>
      <c r="AW879" s="34"/>
      <c r="AX879" s="34"/>
    </row>
    <row r="880" spans="8:50" s="35" customFormat="1" hidden="1" x14ac:dyDescent="0.25">
      <c r="H880" s="304"/>
      <c r="K880" s="149"/>
      <c r="L880" s="150"/>
      <c r="M880" s="34"/>
      <c r="N880" s="34"/>
      <c r="O880" s="34"/>
      <c r="T880" s="34"/>
      <c r="U880" s="34"/>
      <c r="V880" s="33"/>
      <c r="AW880" s="34"/>
      <c r="AX880" s="34"/>
    </row>
    <row r="881" spans="8:50" s="35" customFormat="1" hidden="1" x14ac:dyDescent="0.25">
      <c r="H881" s="304"/>
      <c r="K881" s="149"/>
      <c r="L881" s="150"/>
      <c r="M881" s="34"/>
      <c r="N881" s="34"/>
      <c r="O881" s="34"/>
      <c r="T881" s="34"/>
      <c r="U881" s="34"/>
      <c r="V881" s="33"/>
      <c r="AW881" s="34"/>
      <c r="AX881" s="34"/>
    </row>
    <row r="882" spans="8:50" s="35" customFormat="1" hidden="1" x14ac:dyDescent="0.25">
      <c r="H882" s="304"/>
      <c r="K882" s="149"/>
      <c r="L882" s="150"/>
      <c r="M882" s="34"/>
      <c r="N882" s="34"/>
      <c r="O882" s="34"/>
      <c r="T882" s="34"/>
      <c r="U882" s="34"/>
      <c r="V882" s="33"/>
      <c r="AW882" s="34"/>
      <c r="AX882" s="34"/>
    </row>
    <row r="883" spans="8:50" s="35" customFormat="1" hidden="1" x14ac:dyDescent="0.25">
      <c r="H883" s="304"/>
      <c r="K883" s="149"/>
      <c r="L883" s="150"/>
      <c r="M883" s="34"/>
      <c r="N883" s="34"/>
      <c r="O883" s="34"/>
      <c r="T883" s="34"/>
      <c r="U883" s="34"/>
      <c r="V883" s="33"/>
      <c r="AW883" s="34"/>
      <c r="AX883" s="34"/>
    </row>
    <row r="884" spans="8:50" s="35" customFormat="1" hidden="1" x14ac:dyDescent="0.25">
      <c r="H884" s="304"/>
      <c r="K884" s="149"/>
      <c r="L884" s="150"/>
      <c r="M884" s="34"/>
      <c r="N884" s="34"/>
      <c r="O884" s="34"/>
      <c r="T884" s="34"/>
      <c r="U884" s="34"/>
      <c r="V884" s="33"/>
      <c r="AW884" s="34"/>
      <c r="AX884" s="34"/>
    </row>
    <row r="885" spans="8:50" s="35" customFormat="1" hidden="1" x14ac:dyDescent="0.25">
      <c r="H885" s="304"/>
      <c r="K885" s="149"/>
      <c r="L885" s="150"/>
      <c r="M885" s="34"/>
      <c r="N885" s="34"/>
      <c r="O885" s="34"/>
      <c r="T885" s="34"/>
      <c r="U885" s="34"/>
      <c r="V885" s="33"/>
      <c r="AW885" s="34"/>
      <c r="AX885" s="34"/>
    </row>
    <row r="886" spans="8:50" s="35" customFormat="1" hidden="1" x14ac:dyDescent="0.25">
      <c r="H886" s="304"/>
      <c r="K886" s="149"/>
      <c r="L886" s="150"/>
      <c r="M886" s="34"/>
      <c r="N886" s="34"/>
      <c r="O886" s="34"/>
      <c r="T886" s="34"/>
      <c r="U886" s="34"/>
      <c r="V886" s="33"/>
      <c r="AW886" s="34"/>
      <c r="AX886" s="34"/>
    </row>
    <row r="887" spans="8:50" s="35" customFormat="1" hidden="1" x14ac:dyDescent="0.25">
      <c r="H887" s="304"/>
      <c r="K887" s="149"/>
      <c r="L887" s="150"/>
      <c r="M887" s="34"/>
      <c r="N887" s="34"/>
      <c r="O887" s="34"/>
      <c r="T887" s="34"/>
      <c r="U887" s="34"/>
      <c r="V887" s="33"/>
      <c r="AW887" s="34"/>
      <c r="AX887" s="34"/>
    </row>
    <row r="888" spans="8:50" s="35" customFormat="1" hidden="1" x14ac:dyDescent="0.25">
      <c r="H888" s="304"/>
      <c r="K888" s="149"/>
      <c r="L888" s="150"/>
      <c r="M888" s="34"/>
      <c r="N888" s="34"/>
      <c r="O888" s="34"/>
      <c r="T888" s="34"/>
      <c r="U888" s="34"/>
      <c r="V888" s="33"/>
      <c r="AW888" s="34"/>
      <c r="AX888" s="34"/>
    </row>
    <row r="889" spans="8:50" s="35" customFormat="1" hidden="1" x14ac:dyDescent="0.25">
      <c r="H889" s="304"/>
      <c r="K889" s="149"/>
      <c r="L889" s="150"/>
      <c r="M889" s="34"/>
      <c r="N889" s="34"/>
      <c r="O889" s="34"/>
      <c r="T889" s="34"/>
      <c r="U889" s="34"/>
      <c r="V889" s="33"/>
      <c r="AW889" s="34"/>
      <c r="AX889" s="34"/>
    </row>
    <row r="890" spans="8:50" s="35" customFormat="1" hidden="1" x14ac:dyDescent="0.25">
      <c r="H890" s="304"/>
      <c r="K890" s="149"/>
      <c r="L890" s="150"/>
      <c r="M890" s="34"/>
      <c r="N890" s="34"/>
      <c r="O890" s="34"/>
      <c r="T890" s="34"/>
      <c r="U890" s="34"/>
      <c r="V890" s="33"/>
      <c r="AW890" s="34"/>
      <c r="AX890" s="34"/>
    </row>
    <row r="891" spans="8:50" s="35" customFormat="1" hidden="1" x14ac:dyDescent="0.25">
      <c r="H891" s="304"/>
      <c r="K891" s="149"/>
      <c r="L891" s="150"/>
      <c r="M891" s="34"/>
      <c r="N891" s="34"/>
      <c r="O891" s="34"/>
      <c r="T891" s="34"/>
      <c r="U891" s="34"/>
      <c r="V891" s="33"/>
      <c r="AW891" s="34"/>
      <c r="AX891" s="34"/>
    </row>
    <row r="892" spans="8:50" s="35" customFormat="1" hidden="1" x14ac:dyDescent="0.25">
      <c r="H892" s="304"/>
      <c r="K892" s="149"/>
      <c r="L892" s="150"/>
      <c r="M892" s="34"/>
      <c r="N892" s="34"/>
      <c r="O892" s="34"/>
      <c r="T892" s="34"/>
      <c r="U892" s="34"/>
      <c r="V892" s="33"/>
      <c r="AW892" s="34"/>
      <c r="AX892" s="34"/>
    </row>
    <row r="893" spans="8:50" s="35" customFormat="1" hidden="1" x14ac:dyDescent="0.25">
      <c r="H893" s="304"/>
      <c r="K893" s="149"/>
      <c r="L893" s="150"/>
      <c r="M893" s="34"/>
      <c r="N893" s="34"/>
      <c r="O893" s="34"/>
      <c r="T893" s="34"/>
      <c r="U893" s="34"/>
      <c r="V893" s="33"/>
      <c r="AW893" s="34"/>
      <c r="AX893" s="34"/>
    </row>
    <row r="894" spans="8:50" s="35" customFormat="1" hidden="1" x14ac:dyDescent="0.25">
      <c r="H894" s="304"/>
      <c r="K894" s="149"/>
      <c r="L894" s="150"/>
      <c r="M894" s="34"/>
      <c r="N894" s="34"/>
      <c r="O894" s="34"/>
      <c r="T894" s="34"/>
      <c r="U894" s="34"/>
      <c r="V894" s="33"/>
      <c r="AW894" s="34"/>
      <c r="AX894" s="34"/>
    </row>
    <row r="895" spans="8:50" s="35" customFormat="1" hidden="1" x14ac:dyDescent="0.25">
      <c r="H895" s="304"/>
      <c r="K895" s="149"/>
      <c r="L895" s="150"/>
      <c r="M895" s="34"/>
      <c r="N895" s="34"/>
      <c r="O895" s="34"/>
      <c r="T895" s="34"/>
      <c r="U895" s="34"/>
      <c r="V895" s="33"/>
      <c r="AW895" s="34"/>
      <c r="AX895" s="34"/>
    </row>
    <row r="896" spans="8:50" s="35" customFormat="1" hidden="1" x14ac:dyDescent="0.25">
      <c r="H896" s="304"/>
      <c r="K896" s="149"/>
      <c r="L896" s="150"/>
      <c r="M896" s="34"/>
      <c r="N896" s="34"/>
      <c r="O896" s="34"/>
      <c r="T896" s="34"/>
      <c r="U896" s="34"/>
      <c r="V896" s="33"/>
      <c r="AW896" s="34"/>
      <c r="AX896" s="34"/>
    </row>
    <row r="897" spans="8:50" s="35" customFormat="1" hidden="1" x14ac:dyDescent="0.25">
      <c r="H897" s="304"/>
      <c r="K897" s="149"/>
      <c r="L897" s="150"/>
      <c r="M897" s="34"/>
      <c r="N897" s="34"/>
      <c r="O897" s="34"/>
      <c r="T897" s="34"/>
      <c r="U897" s="34"/>
      <c r="V897" s="33"/>
      <c r="AW897" s="34"/>
      <c r="AX897" s="34"/>
    </row>
    <row r="898" spans="8:50" s="35" customFormat="1" hidden="1" x14ac:dyDescent="0.25">
      <c r="H898" s="304"/>
      <c r="K898" s="149"/>
      <c r="L898" s="150"/>
      <c r="M898" s="34"/>
      <c r="N898" s="34"/>
      <c r="O898" s="34"/>
      <c r="T898" s="34"/>
      <c r="U898" s="34"/>
      <c r="V898" s="33"/>
      <c r="AW898" s="34"/>
      <c r="AX898" s="34"/>
    </row>
    <row r="899" spans="8:50" s="35" customFormat="1" hidden="1" x14ac:dyDescent="0.25">
      <c r="H899" s="304"/>
      <c r="K899" s="149"/>
      <c r="L899" s="150"/>
      <c r="M899" s="34"/>
      <c r="N899" s="34"/>
      <c r="O899" s="34"/>
      <c r="T899" s="34"/>
      <c r="U899" s="34"/>
      <c r="V899" s="33"/>
      <c r="AW899" s="34"/>
      <c r="AX899" s="34"/>
    </row>
    <row r="900" spans="8:50" s="35" customFormat="1" hidden="1" x14ac:dyDescent="0.25">
      <c r="H900" s="304"/>
      <c r="K900" s="149"/>
      <c r="L900" s="150"/>
      <c r="M900" s="34"/>
      <c r="N900" s="34"/>
      <c r="O900" s="34"/>
      <c r="T900" s="34"/>
      <c r="U900" s="34"/>
      <c r="V900" s="33"/>
      <c r="AW900" s="34"/>
      <c r="AX900" s="34"/>
    </row>
    <row r="901" spans="8:50" s="35" customFormat="1" hidden="1" x14ac:dyDescent="0.25">
      <c r="H901" s="304"/>
      <c r="K901" s="149"/>
      <c r="L901" s="150"/>
      <c r="M901" s="34"/>
      <c r="N901" s="34"/>
      <c r="O901" s="34"/>
      <c r="T901" s="34"/>
      <c r="U901" s="34"/>
      <c r="V901" s="33"/>
      <c r="AW901" s="34"/>
      <c r="AX901" s="34"/>
    </row>
    <row r="902" spans="8:50" s="35" customFormat="1" hidden="1" x14ac:dyDescent="0.25">
      <c r="H902" s="304"/>
      <c r="K902" s="149"/>
      <c r="L902" s="150"/>
      <c r="M902" s="34"/>
      <c r="N902" s="34"/>
      <c r="O902" s="34"/>
      <c r="T902" s="34"/>
      <c r="U902" s="34"/>
      <c r="V902" s="33"/>
      <c r="AW902" s="34"/>
      <c r="AX902" s="34"/>
    </row>
    <row r="903" spans="8:50" s="35" customFormat="1" hidden="1" x14ac:dyDescent="0.25">
      <c r="H903" s="304"/>
      <c r="K903" s="149"/>
      <c r="L903" s="150"/>
      <c r="M903" s="34"/>
      <c r="N903" s="34"/>
      <c r="O903" s="34"/>
      <c r="T903" s="34"/>
      <c r="U903" s="34"/>
      <c r="V903" s="33"/>
      <c r="AW903" s="34"/>
      <c r="AX903" s="34"/>
    </row>
    <row r="904" spans="8:50" s="35" customFormat="1" hidden="1" x14ac:dyDescent="0.25">
      <c r="H904" s="304"/>
      <c r="K904" s="149"/>
      <c r="L904" s="150"/>
      <c r="M904" s="34"/>
      <c r="N904" s="34"/>
      <c r="O904" s="34"/>
      <c r="T904" s="34"/>
      <c r="U904" s="34"/>
      <c r="V904" s="33"/>
      <c r="AW904" s="34"/>
      <c r="AX904" s="34"/>
    </row>
    <row r="905" spans="8:50" s="35" customFormat="1" hidden="1" x14ac:dyDescent="0.25">
      <c r="H905" s="304"/>
      <c r="K905" s="149"/>
      <c r="L905" s="150"/>
      <c r="M905" s="34"/>
      <c r="N905" s="34"/>
      <c r="O905" s="34"/>
      <c r="T905" s="34"/>
      <c r="U905" s="34"/>
      <c r="V905" s="33"/>
      <c r="AW905" s="34"/>
      <c r="AX905" s="34"/>
    </row>
    <row r="906" spans="8:50" s="35" customFormat="1" hidden="1" x14ac:dyDescent="0.25">
      <c r="H906" s="304"/>
      <c r="K906" s="149"/>
      <c r="L906" s="150"/>
      <c r="M906" s="34"/>
      <c r="N906" s="34"/>
      <c r="O906" s="34"/>
      <c r="T906" s="34"/>
      <c r="U906" s="34"/>
      <c r="V906" s="33"/>
      <c r="AW906" s="34"/>
      <c r="AX906" s="34"/>
    </row>
    <row r="907" spans="8:50" s="35" customFormat="1" hidden="1" x14ac:dyDescent="0.25">
      <c r="H907" s="304"/>
      <c r="K907" s="149"/>
      <c r="L907" s="150"/>
      <c r="M907" s="34"/>
      <c r="N907" s="34"/>
      <c r="O907" s="34"/>
      <c r="T907" s="34"/>
      <c r="U907" s="34"/>
      <c r="V907" s="33"/>
      <c r="AW907" s="34"/>
      <c r="AX907" s="34"/>
    </row>
    <row r="908" spans="8:50" s="35" customFormat="1" hidden="1" x14ac:dyDescent="0.25">
      <c r="H908" s="304"/>
      <c r="K908" s="149"/>
      <c r="L908" s="150"/>
      <c r="M908" s="34"/>
      <c r="N908" s="34"/>
      <c r="O908" s="34"/>
      <c r="T908" s="34"/>
      <c r="U908" s="34"/>
      <c r="V908" s="33"/>
      <c r="AW908" s="34"/>
      <c r="AX908" s="34"/>
    </row>
    <row r="909" spans="8:50" s="35" customFormat="1" hidden="1" x14ac:dyDescent="0.25">
      <c r="H909" s="304"/>
      <c r="K909" s="149"/>
      <c r="L909" s="150"/>
      <c r="M909" s="34"/>
      <c r="N909" s="34"/>
      <c r="O909" s="34"/>
      <c r="T909" s="34"/>
      <c r="U909" s="34"/>
      <c r="V909" s="33"/>
      <c r="AW909" s="34"/>
      <c r="AX909" s="34"/>
    </row>
    <row r="910" spans="8:50" s="35" customFormat="1" hidden="1" x14ac:dyDescent="0.25">
      <c r="H910" s="304"/>
      <c r="K910" s="149"/>
      <c r="L910" s="150"/>
      <c r="M910" s="34"/>
      <c r="N910" s="34"/>
      <c r="O910" s="34"/>
      <c r="T910" s="34"/>
      <c r="U910" s="34"/>
      <c r="V910" s="33"/>
      <c r="AW910" s="34"/>
      <c r="AX910" s="34"/>
    </row>
    <row r="911" spans="8:50" s="35" customFormat="1" hidden="1" x14ac:dyDescent="0.25">
      <c r="H911" s="304"/>
      <c r="K911" s="149"/>
      <c r="L911" s="150"/>
      <c r="M911" s="34"/>
      <c r="N911" s="34"/>
      <c r="O911" s="34"/>
      <c r="T911" s="34"/>
      <c r="U911" s="34"/>
      <c r="V911" s="33"/>
      <c r="AW911" s="34"/>
      <c r="AX911" s="34"/>
    </row>
    <row r="912" spans="8:50" s="35" customFormat="1" hidden="1" x14ac:dyDescent="0.25">
      <c r="H912" s="304"/>
      <c r="K912" s="149"/>
      <c r="L912" s="150"/>
      <c r="M912" s="34"/>
      <c r="N912" s="34"/>
      <c r="O912" s="34"/>
      <c r="T912" s="34"/>
      <c r="U912" s="34"/>
      <c r="V912" s="33"/>
      <c r="AW912" s="34"/>
      <c r="AX912" s="34"/>
    </row>
    <row r="913" spans="8:50" s="35" customFormat="1" hidden="1" x14ac:dyDescent="0.25">
      <c r="H913" s="304"/>
      <c r="K913" s="149"/>
      <c r="L913" s="150"/>
      <c r="M913" s="34"/>
      <c r="N913" s="34"/>
      <c r="O913" s="34"/>
      <c r="T913" s="34"/>
      <c r="U913" s="34"/>
      <c r="V913" s="33"/>
      <c r="AW913" s="34"/>
      <c r="AX913" s="34"/>
    </row>
    <row r="914" spans="8:50" s="35" customFormat="1" hidden="1" x14ac:dyDescent="0.25">
      <c r="H914" s="304"/>
      <c r="K914" s="149"/>
      <c r="L914" s="150"/>
      <c r="M914" s="34"/>
      <c r="N914" s="34"/>
      <c r="O914" s="34"/>
      <c r="T914" s="34"/>
      <c r="U914" s="34"/>
      <c r="V914" s="33"/>
      <c r="AW914" s="34"/>
      <c r="AX914" s="34"/>
    </row>
    <row r="915" spans="8:50" s="35" customFormat="1" hidden="1" x14ac:dyDescent="0.25">
      <c r="H915" s="304"/>
      <c r="K915" s="149"/>
      <c r="L915" s="150"/>
      <c r="M915" s="34"/>
      <c r="N915" s="34"/>
      <c r="O915" s="34"/>
      <c r="T915" s="34"/>
      <c r="U915" s="34"/>
      <c r="V915" s="33"/>
      <c r="AW915" s="34"/>
      <c r="AX915" s="34"/>
    </row>
    <row r="916" spans="8:50" s="35" customFormat="1" hidden="1" x14ac:dyDescent="0.25">
      <c r="H916" s="304"/>
      <c r="K916" s="149"/>
      <c r="L916" s="150"/>
      <c r="M916" s="34"/>
      <c r="N916" s="34"/>
      <c r="O916" s="34"/>
      <c r="T916" s="34"/>
      <c r="U916" s="34"/>
      <c r="V916" s="33"/>
      <c r="AW916" s="34"/>
      <c r="AX916" s="34"/>
    </row>
    <row r="917" spans="8:50" s="35" customFormat="1" hidden="1" x14ac:dyDescent="0.25">
      <c r="H917" s="304"/>
      <c r="K917" s="149"/>
      <c r="L917" s="150"/>
      <c r="M917" s="34"/>
      <c r="N917" s="34"/>
      <c r="O917" s="34"/>
      <c r="T917" s="34"/>
      <c r="U917" s="34"/>
      <c r="V917" s="33"/>
      <c r="AW917" s="34"/>
      <c r="AX917" s="34"/>
    </row>
    <row r="918" spans="8:50" s="35" customFormat="1" hidden="1" x14ac:dyDescent="0.25">
      <c r="H918" s="304"/>
      <c r="K918" s="149"/>
      <c r="L918" s="150"/>
      <c r="M918" s="34"/>
      <c r="N918" s="34"/>
      <c r="O918" s="34"/>
      <c r="T918" s="34"/>
      <c r="U918" s="34"/>
      <c r="V918" s="33"/>
      <c r="AW918" s="34"/>
      <c r="AX918" s="34"/>
    </row>
    <row r="919" spans="8:50" s="35" customFormat="1" hidden="1" x14ac:dyDescent="0.25">
      <c r="H919" s="304"/>
      <c r="K919" s="149"/>
      <c r="L919" s="150"/>
      <c r="M919" s="34"/>
      <c r="N919" s="34"/>
      <c r="O919" s="34"/>
      <c r="T919" s="34"/>
      <c r="U919" s="34"/>
      <c r="V919" s="33"/>
      <c r="AW919" s="34"/>
      <c r="AX919" s="34"/>
    </row>
    <row r="920" spans="8:50" s="35" customFormat="1" hidden="1" x14ac:dyDescent="0.25">
      <c r="H920" s="304"/>
      <c r="K920" s="149"/>
      <c r="L920" s="150"/>
      <c r="M920" s="34"/>
      <c r="N920" s="34"/>
      <c r="O920" s="34"/>
      <c r="T920" s="34"/>
      <c r="U920" s="34"/>
      <c r="V920" s="33"/>
      <c r="AW920" s="34"/>
      <c r="AX920" s="34"/>
    </row>
    <row r="921" spans="8:50" s="35" customFormat="1" hidden="1" x14ac:dyDescent="0.25">
      <c r="H921" s="304"/>
      <c r="K921" s="149"/>
      <c r="L921" s="150"/>
      <c r="M921" s="34"/>
      <c r="N921" s="34"/>
      <c r="O921" s="34"/>
      <c r="T921" s="34"/>
      <c r="U921" s="34"/>
      <c r="V921" s="33"/>
      <c r="AW921" s="34"/>
      <c r="AX921" s="34"/>
    </row>
    <row r="922" spans="8:50" s="35" customFormat="1" hidden="1" x14ac:dyDescent="0.25">
      <c r="H922" s="304"/>
      <c r="K922" s="149"/>
      <c r="L922" s="150"/>
      <c r="M922" s="34"/>
      <c r="N922" s="34"/>
      <c r="O922" s="34"/>
      <c r="T922" s="34"/>
      <c r="U922" s="34"/>
      <c r="V922" s="33"/>
      <c r="AW922" s="34"/>
      <c r="AX922" s="34"/>
    </row>
    <row r="923" spans="8:50" s="35" customFormat="1" hidden="1" x14ac:dyDescent="0.25">
      <c r="H923" s="304"/>
      <c r="K923" s="149"/>
      <c r="L923" s="150"/>
      <c r="M923" s="34"/>
      <c r="N923" s="34"/>
      <c r="O923" s="34"/>
      <c r="T923" s="34"/>
      <c r="U923" s="34"/>
      <c r="V923" s="33"/>
      <c r="AW923" s="34"/>
      <c r="AX923" s="34"/>
    </row>
    <row r="924" spans="8:50" s="35" customFormat="1" hidden="1" x14ac:dyDescent="0.25">
      <c r="H924" s="304"/>
      <c r="K924" s="149"/>
      <c r="L924" s="150"/>
      <c r="M924" s="34"/>
      <c r="N924" s="34"/>
      <c r="O924" s="34"/>
      <c r="T924" s="34"/>
      <c r="U924" s="34"/>
      <c r="V924" s="33"/>
      <c r="AW924" s="34"/>
      <c r="AX924" s="34"/>
    </row>
    <row r="925" spans="8:50" s="35" customFormat="1" hidden="1" x14ac:dyDescent="0.25">
      <c r="H925" s="304"/>
      <c r="K925" s="149"/>
      <c r="L925" s="150"/>
      <c r="M925" s="34"/>
      <c r="N925" s="34"/>
      <c r="O925" s="34"/>
      <c r="T925" s="34"/>
      <c r="U925" s="34"/>
      <c r="V925" s="33"/>
      <c r="AW925" s="34"/>
      <c r="AX925" s="34"/>
    </row>
    <row r="926" spans="8:50" s="35" customFormat="1" hidden="1" x14ac:dyDescent="0.25">
      <c r="H926" s="304"/>
      <c r="K926" s="149"/>
      <c r="L926" s="150"/>
      <c r="M926" s="34"/>
      <c r="N926" s="34"/>
      <c r="O926" s="34"/>
      <c r="T926" s="34"/>
      <c r="U926" s="34"/>
      <c r="V926" s="33"/>
      <c r="AW926" s="34"/>
      <c r="AX926" s="34"/>
    </row>
    <row r="927" spans="8:50" s="35" customFormat="1" hidden="1" x14ac:dyDescent="0.25">
      <c r="H927" s="304"/>
      <c r="K927" s="149"/>
      <c r="L927" s="150"/>
      <c r="M927" s="34"/>
      <c r="N927" s="34"/>
      <c r="O927" s="34"/>
      <c r="T927" s="34"/>
      <c r="U927" s="34"/>
      <c r="V927" s="33"/>
      <c r="AW927" s="34"/>
      <c r="AX927" s="34"/>
    </row>
    <row r="928" spans="8:50" s="35" customFormat="1" hidden="1" x14ac:dyDescent="0.25">
      <c r="H928" s="304"/>
      <c r="K928" s="149"/>
      <c r="L928" s="150"/>
      <c r="M928" s="34"/>
      <c r="N928" s="34"/>
      <c r="O928" s="34"/>
      <c r="T928" s="34"/>
      <c r="U928" s="34"/>
      <c r="V928" s="33"/>
      <c r="AW928" s="34"/>
      <c r="AX928" s="34"/>
    </row>
    <row r="929" spans="8:50" s="35" customFormat="1" hidden="1" x14ac:dyDescent="0.25">
      <c r="H929" s="304"/>
      <c r="K929" s="149"/>
      <c r="L929" s="150"/>
      <c r="M929" s="34"/>
      <c r="N929" s="34"/>
      <c r="O929" s="34"/>
      <c r="T929" s="34"/>
      <c r="U929" s="34"/>
      <c r="V929" s="33"/>
      <c r="AW929" s="34"/>
      <c r="AX929" s="34"/>
    </row>
    <row r="930" spans="8:50" s="35" customFormat="1" hidden="1" x14ac:dyDescent="0.25">
      <c r="H930" s="304"/>
      <c r="K930" s="149"/>
      <c r="L930" s="150"/>
      <c r="M930" s="34"/>
      <c r="N930" s="34"/>
      <c r="O930" s="34"/>
      <c r="T930" s="34"/>
      <c r="U930" s="34"/>
      <c r="V930" s="33"/>
      <c r="AW930" s="34"/>
      <c r="AX930" s="34"/>
    </row>
    <row r="931" spans="8:50" s="35" customFormat="1" hidden="1" x14ac:dyDescent="0.25">
      <c r="H931" s="304"/>
      <c r="K931" s="149"/>
      <c r="L931" s="150"/>
      <c r="M931" s="34"/>
      <c r="N931" s="34"/>
      <c r="O931" s="34"/>
      <c r="T931" s="34"/>
      <c r="U931" s="34"/>
      <c r="V931" s="33"/>
      <c r="AW931" s="34"/>
      <c r="AX931" s="34"/>
    </row>
    <row r="932" spans="8:50" s="35" customFormat="1" hidden="1" x14ac:dyDescent="0.25">
      <c r="H932" s="304"/>
      <c r="K932" s="149"/>
      <c r="L932" s="150"/>
      <c r="M932" s="34"/>
      <c r="N932" s="34"/>
      <c r="O932" s="34"/>
      <c r="T932" s="34"/>
      <c r="U932" s="34"/>
      <c r="V932" s="33"/>
      <c r="AW932" s="34"/>
      <c r="AX932" s="34"/>
    </row>
    <row r="933" spans="8:50" s="35" customFormat="1" hidden="1" x14ac:dyDescent="0.25">
      <c r="H933" s="304"/>
      <c r="K933" s="149"/>
      <c r="L933" s="150"/>
      <c r="M933" s="34"/>
      <c r="N933" s="34"/>
      <c r="O933" s="34"/>
      <c r="T933" s="34"/>
      <c r="U933" s="34"/>
      <c r="V933" s="33"/>
      <c r="AW933" s="34"/>
      <c r="AX933" s="34"/>
    </row>
    <row r="934" spans="8:50" s="35" customFormat="1" hidden="1" x14ac:dyDescent="0.25">
      <c r="H934" s="304"/>
      <c r="K934" s="149"/>
      <c r="L934" s="150"/>
      <c r="M934" s="34"/>
      <c r="N934" s="34"/>
      <c r="O934" s="34"/>
      <c r="T934" s="34"/>
      <c r="U934" s="34"/>
      <c r="V934" s="33"/>
      <c r="AW934" s="34"/>
      <c r="AX934" s="34"/>
    </row>
    <row r="935" spans="8:50" s="35" customFormat="1" hidden="1" x14ac:dyDescent="0.25">
      <c r="H935" s="304"/>
      <c r="K935" s="149"/>
      <c r="L935" s="150"/>
      <c r="M935" s="34"/>
      <c r="N935" s="34"/>
      <c r="O935" s="34"/>
      <c r="T935" s="34"/>
      <c r="U935" s="34"/>
      <c r="V935" s="33"/>
      <c r="AW935" s="34"/>
      <c r="AX935" s="34"/>
    </row>
    <row r="936" spans="8:50" s="35" customFormat="1" hidden="1" x14ac:dyDescent="0.25">
      <c r="H936" s="304"/>
      <c r="K936" s="149"/>
      <c r="L936" s="150"/>
      <c r="M936" s="34"/>
      <c r="N936" s="34"/>
      <c r="O936" s="34"/>
      <c r="T936" s="34"/>
      <c r="U936" s="34"/>
      <c r="V936" s="33"/>
      <c r="AW936" s="34"/>
      <c r="AX936" s="34"/>
    </row>
    <row r="937" spans="8:50" s="35" customFormat="1" hidden="1" x14ac:dyDescent="0.25">
      <c r="H937" s="304"/>
      <c r="K937" s="149"/>
      <c r="L937" s="150"/>
      <c r="M937" s="34"/>
      <c r="N937" s="34"/>
      <c r="O937" s="34"/>
      <c r="T937" s="34"/>
      <c r="U937" s="34"/>
      <c r="V937" s="33"/>
      <c r="AW937" s="34"/>
      <c r="AX937" s="34"/>
    </row>
    <row r="938" spans="8:50" s="35" customFormat="1" hidden="1" x14ac:dyDescent="0.25">
      <c r="H938" s="304"/>
      <c r="K938" s="149"/>
      <c r="L938" s="150"/>
      <c r="M938" s="34"/>
      <c r="N938" s="34"/>
      <c r="O938" s="34"/>
      <c r="T938" s="34"/>
      <c r="U938" s="34"/>
      <c r="V938" s="33"/>
      <c r="AW938" s="34"/>
      <c r="AX938" s="34"/>
    </row>
    <row r="939" spans="8:50" s="35" customFormat="1" hidden="1" x14ac:dyDescent="0.25">
      <c r="H939" s="304"/>
      <c r="K939" s="149"/>
      <c r="L939" s="150"/>
      <c r="M939" s="34"/>
      <c r="N939" s="34"/>
      <c r="O939" s="34"/>
      <c r="T939" s="34"/>
      <c r="U939" s="34"/>
      <c r="V939" s="33"/>
      <c r="AW939" s="34"/>
      <c r="AX939" s="34"/>
    </row>
    <row r="940" spans="8:50" s="35" customFormat="1" hidden="1" x14ac:dyDescent="0.25">
      <c r="H940" s="304"/>
      <c r="K940" s="149"/>
      <c r="L940" s="150"/>
      <c r="M940" s="34"/>
      <c r="N940" s="34"/>
      <c r="O940" s="34"/>
      <c r="T940" s="34"/>
      <c r="U940" s="34"/>
      <c r="V940" s="33"/>
      <c r="AW940" s="34"/>
      <c r="AX940" s="34"/>
    </row>
    <row r="941" spans="8:50" s="35" customFormat="1" hidden="1" x14ac:dyDescent="0.25">
      <c r="H941" s="304"/>
      <c r="K941" s="149"/>
      <c r="L941" s="150"/>
      <c r="M941" s="34"/>
      <c r="N941" s="34"/>
      <c r="O941" s="34"/>
      <c r="T941" s="34"/>
      <c r="U941" s="34"/>
      <c r="V941" s="33"/>
      <c r="AW941" s="34"/>
      <c r="AX941" s="34"/>
    </row>
    <row r="942" spans="8:50" s="35" customFormat="1" hidden="1" x14ac:dyDescent="0.25">
      <c r="H942" s="304"/>
      <c r="K942" s="149"/>
      <c r="L942" s="150"/>
      <c r="M942" s="34"/>
      <c r="N942" s="34"/>
      <c r="O942" s="34"/>
      <c r="T942" s="34"/>
      <c r="U942" s="34"/>
      <c r="V942" s="33"/>
      <c r="AW942" s="34"/>
      <c r="AX942" s="34"/>
    </row>
    <row r="943" spans="8:50" s="35" customFormat="1" hidden="1" x14ac:dyDescent="0.25">
      <c r="H943" s="304"/>
      <c r="K943" s="149"/>
      <c r="L943" s="150"/>
      <c r="M943" s="34"/>
      <c r="N943" s="34"/>
      <c r="O943" s="34"/>
      <c r="T943" s="34"/>
      <c r="U943" s="34"/>
      <c r="V943" s="33"/>
      <c r="AW943" s="34"/>
      <c r="AX943" s="34"/>
    </row>
    <row r="944" spans="8:50" s="35" customFormat="1" hidden="1" x14ac:dyDescent="0.25">
      <c r="H944" s="304"/>
      <c r="K944" s="149"/>
      <c r="L944" s="150"/>
      <c r="M944" s="34"/>
      <c r="N944" s="34"/>
      <c r="O944" s="34"/>
      <c r="T944" s="34"/>
      <c r="U944" s="34"/>
      <c r="V944" s="33"/>
      <c r="AW944" s="34"/>
      <c r="AX944" s="34"/>
    </row>
    <row r="945" spans="8:50" s="35" customFormat="1" hidden="1" x14ac:dyDescent="0.25">
      <c r="H945" s="304"/>
      <c r="K945" s="149"/>
      <c r="L945" s="150"/>
      <c r="M945" s="34"/>
      <c r="N945" s="34"/>
      <c r="O945" s="34"/>
      <c r="T945" s="34"/>
      <c r="U945" s="34"/>
      <c r="V945" s="33"/>
      <c r="AW945" s="34"/>
      <c r="AX945" s="34"/>
    </row>
    <row r="946" spans="8:50" s="35" customFormat="1" hidden="1" x14ac:dyDescent="0.25">
      <c r="H946" s="304"/>
      <c r="K946" s="149"/>
      <c r="L946" s="150"/>
      <c r="M946" s="34"/>
      <c r="N946" s="34"/>
      <c r="O946" s="34"/>
      <c r="T946" s="34"/>
      <c r="U946" s="34"/>
      <c r="V946" s="33"/>
      <c r="AW946" s="34"/>
      <c r="AX946" s="34"/>
    </row>
    <row r="947" spans="8:50" s="35" customFormat="1" hidden="1" x14ac:dyDescent="0.25">
      <c r="H947" s="304"/>
      <c r="K947" s="149"/>
      <c r="L947" s="150"/>
      <c r="M947" s="34"/>
      <c r="N947" s="34"/>
      <c r="O947" s="34"/>
      <c r="T947" s="34"/>
      <c r="U947" s="34"/>
      <c r="V947" s="33"/>
      <c r="AW947" s="34"/>
      <c r="AX947" s="34"/>
    </row>
    <row r="948" spans="8:50" s="35" customFormat="1" hidden="1" x14ac:dyDescent="0.25">
      <c r="H948" s="304"/>
      <c r="K948" s="149"/>
      <c r="L948" s="150"/>
      <c r="M948" s="34"/>
      <c r="N948" s="34"/>
      <c r="O948" s="34"/>
      <c r="T948" s="34"/>
      <c r="U948" s="34"/>
      <c r="V948" s="33"/>
      <c r="AW948" s="34"/>
      <c r="AX948" s="34"/>
    </row>
    <row r="949" spans="8:50" s="35" customFormat="1" hidden="1" x14ac:dyDescent="0.25">
      <c r="H949" s="304"/>
      <c r="K949" s="149"/>
      <c r="L949" s="150"/>
      <c r="M949" s="34"/>
      <c r="N949" s="34"/>
      <c r="O949" s="34"/>
      <c r="T949" s="34"/>
      <c r="U949" s="34"/>
      <c r="V949" s="33"/>
      <c r="AW949" s="34"/>
      <c r="AX949" s="34"/>
    </row>
    <row r="950" spans="8:50" s="35" customFormat="1" hidden="1" x14ac:dyDescent="0.25">
      <c r="H950" s="304"/>
      <c r="K950" s="149"/>
      <c r="L950" s="150"/>
      <c r="M950" s="34"/>
      <c r="N950" s="34"/>
      <c r="O950" s="34"/>
      <c r="T950" s="34"/>
      <c r="U950" s="34"/>
      <c r="V950" s="33"/>
      <c r="AW950" s="34"/>
      <c r="AX950" s="34"/>
    </row>
    <row r="951" spans="8:50" s="35" customFormat="1" hidden="1" x14ac:dyDescent="0.25">
      <c r="H951" s="304"/>
      <c r="K951" s="149"/>
      <c r="L951" s="150"/>
      <c r="M951" s="34"/>
      <c r="N951" s="34"/>
      <c r="O951" s="34"/>
      <c r="T951" s="34"/>
      <c r="U951" s="34"/>
      <c r="V951" s="33"/>
      <c r="AW951" s="34"/>
      <c r="AX951" s="34"/>
    </row>
    <row r="952" spans="8:50" s="35" customFormat="1" hidden="1" x14ac:dyDescent="0.25">
      <c r="H952" s="304"/>
      <c r="K952" s="149"/>
      <c r="L952" s="150"/>
      <c r="M952" s="34"/>
      <c r="N952" s="34"/>
      <c r="O952" s="34"/>
      <c r="T952" s="34"/>
      <c r="U952" s="34"/>
      <c r="V952" s="33"/>
      <c r="AW952" s="34"/>
      <c r="AX952" s="34"/>
    </row>
    <row r="953" spans="8:50" s="35" customFormat="1" hidden="1" x14ac:dyDescent="0.25">
      <c r="H953" s="304"/>
      <c r="K953" s="149"/>
      <c r="L953" s="150"/>
      <c r="M953" s="34"/>
      <c r="N953" s="34"/>
      <c r="O953" s="34"/>
      <c r="T953" s="34"/>
      <c r="U953" s="34"/>
      <c r="V953" s="33"/>
      <c r="AW953" s="34"/>
      <c r="AX953" s="34"/>
    </row>
    <row r="954" spans="8:50" s="35" customFormat="1" hidden="1" x14ac:dyDescent="0.25">
      <c r="H954" s="304"/>
      <c r="K954" s="149"/>
      <c r="L954" s="150"/>
      <c r="M954" s="34"/>
      <c r="N954" s="34"/>
      <c r="O954" s="34"/>
      <c r="T954" s="34"/>
      <c r="U954" s="34"/>
      <c r="V954" s="33"/>
      <c r="AW954" s="34"/>
      <c r="AX954" s="34"/>
    </row>
    <row r="955" spans="8:50" s="35" customFormat="1" hidden="1" x14ac:dyDescent="0.25">
      <c r="H955" s="304"/>
      <c r="K955" s="149"/>
      <c r="L955" s="150"/>
      <c r="M955" s="34"/>
      <c r="N955" s="34"/>
      <c r="O955" s="34"/>
      <c r="T955" s="34"/>
      <c r="U955" s="34"/>
      <c r="V955" s="33"/>
      <c r="AW955" s="34"/>
      <c r="AX955" s="34"/>
    </row>
    <row r="956" spans="8:50" s="35" customFormat="1" hidden="1" x14ac:dyDescent="0.25">
      <c r="H956" s="304"/>
      <c r="K956" s="149"/>
      <c r="L956" s="150"/>
      <c r="M956" s="34"/>
      <c r="N956" s="34"/>
      <c r="O956" s="34"/>
      <c r="T956" s="34"/>
      <c r="U956" s="34"/>
      <c r="V956" s="33"/>
      <c r="AW956" s="34"/>
      <c r="AX956" s="34"/>
    </row>
    <row r="957" spans="8:50" s="35" customFormat="1" hidden="1" x14ac:dyDescent="0.25">
      <c r="H957" s="304"/>
      <c r="K957" s="149"/>
      <c r="L957" s="150"/>
      <c r="M957" s="34"/>
      <c r="N957" s="34"/>
      <c r="O957" s="34"/>
      <c r="T957" s="34"/>
      <c r="U957" s="34"/>
      <c r="V957" s="33"/>
      <c r="AW957" s="34"/>
      <c r="AX957" s="34"/>
    </row>
    <row r="958" spans="8:50" s="35" customFormat="1" hidden="1" x14ac:dyDescent="0.25">
      <c r="H958" s="304"/>
      <c r="K958" s="149"/>
      <c r="L958" s="150"/>
      <c r="M958" s="34"/>
      <c r="N958" s="34"/>
      <c r="O958" s="34"/>
      <c r="T958" s="34"/>
      <c r="U958" s="34"/>
      <c r="V958" s="33"/>
      <c r="AW958" s="34"/>
      <c r="AX958" s="34"/>
    </row>
    <row r="959" spans="8:50" s="35" customFormat="1" hidden="1" x14ac:dyDescent="0.25">
      <c r="H959" s="304"/>
      <c r="K959" s="149"/>
      <c r="L959" s="150"/>
      <c r="M959" s="34"/>
      <c r="N959" s="34"/>
      <c r="O959" s="34"/>
      <c r="T959" s="34"/>
      <c r="U959" s="34"/>
      <c r="V959" s="33"/>
      <c r="AW959" s="34"/>
      <c r="AX959" s="34"/>
    </row>
    <row r="960" spans="8:50" s="35" customFormat="1" hidden="1" x14ac:dyDescent="0.25">
      <c r="H960" s="304"/>
      <c r="K960" s="149"/>
      <c r="L960" s="150"/>
      <c r="M960" s="34"/>
      <c r="N960" s="34"/>
      <c r="O960" s="34"/>
      <c r="T960" s="34"/>
      <c r="U960" s="34"/>
      <c r="V960" s="33"/>
      <c r="AW960" s="34"/>
      <c r="AX960" s="34"/>
    </row>
    <row r="961" spans="8:50" s="35" customFormat="1" hidden="1" x14ac:dyDescent="0.25">
      <c r="H961" s="304"/>
      <c r="K961" s="149"/>
      <c r="L961" s="150"/>
      <c r="M961" s="34"/>
      <c r="N961" s="34"/>
      <c r="O961" s="34"/>
      <c r="T961" s="34"/>
      <c r="U961" s="34"/>
      <c r="V961" s="33"/>
      <c r="AW961" s="34"/>
      <c r="AX961" s="34"/>
    </row>
    <row r="962" spans="8:50" s="35" customFormat="1" hidden="1" x14ac:dyDescent="0.25">
      <c r="H962" s="304"/>
      <c r="K962" s="149"/>
      <c r="L962" s="150"/>
      <c r="M962" s="34"/>
      <c r="N962" s="34"/>
      <c r="O962" s="34"/>
      <c r="T962" s="34"/>
      <c r="U962" s="34"/>
      <c r="V962" s="33"/>
      <c r="AW962" s="34"/>
      <c r="AX962" s="34"/>
    </row>
    <row r="963" spans="8:50" s="35" customFormat="1" hidden="1" x14ac:dyDescent="0.25">
      <c r="H963" s="304"/>
      <c r="K963" s="149"/>
      <c r="L963" s="150"/>
      <c r="M963" s="34"/>
      <c r="N963" s="34"/>
      <c r="O963" s="34"/>
      <c r="T963" s="34"/>
      <c r="U963" s="34"/>
      <c r="V963" s="33"/>
      <c r="AW963" s="34"/>
      <c r="AX963" s="34"/>
    </row>
    <row r="964" spans="8:50" s="35" customFormat="1" hidden="1" x14ac:dyDescent="0.25">
      <c r="H964" s="304"/>
      <c r="K964" s="149"/>
      <c r="L964" s="150"/>
      <c r="M964" s="34"/>
      <c r="N964" s="34"/>
      <c r="O964" s="34"/>
      <c r="T964" s="34"/>
      <c r="U964" s="34"/>
      <c r="V964" s="33"/>
      <c r="AW964" s="34"/>
      <c r="AX964" s="34"/>
    </row>
    <row r="965" spans="8:50" s="35" customFormat="1" hidden="1" x14ac:dyDescent="0.25">
      <c r="H965" s="304"/>
      <c r="K965" s="149"/>
      <c r="L965" s="150"/>
      <c r="M965" s="34"/>
      <c r="N965" s="34"/>
      <c r="O965" s="34"/>
      <c r="T965" s="34"/>
      <c r="U965" s="34"/>
      <c r="V965" s="33"/>
      <c r="AW965" s="34"/>
      <c r="AX965" s="34"/>
    </row>
    <row r="966" spans="8:50" s="35" customFormat="1" hidden="1" x14ac:dyDescent="0.25">
      <c r="H966" s="304"/>
      <c r="K966" s="149"/>
      <c r="L966" s="150"/>
      <c r="M966" s="34"/>
      <c r="N966" s="34"/>
      <c r="O966" s="34"/>
      <c r="T966" s="34"/>
      <c r="U966" s="34"/>
      <c r="V966" s="33"/>
      <c r="AW966" s="34"/>
      <c r="AX966" s="34"/>
    </row>
    <row r="967" spans="8:50" s="35" customFormat="1" hidden="1" x14ac:dyDescent="0.25">
      <c r="H967" s="304"/>
      <c r="K967" s="149"/>
      <c r="L967" s="150"/>
      <c r="M967" s="34"/>
      <c r="N967" s="34"/>
      <c r="O967" s="34"/>
      <c r="T967" s="34"/>
      <c r="U967" s="34"/>
      <c r="V967" s="33"/>
      <c r="AW967" s="34"/>
      <c r="AX967" s="34"/>
    </row>
    <row r="968" spans="8:50" s="35" customFormat="1" hidden="1" x14ac:dyDescent="0.25">
      <c r="H968" s="304"/>
      <c r="K968" s="149"/>
      <c r="L968" s="150"/>
      <c r="M968" s="34"/>
      <c r="N968" s="34"/>
      <c r="O968" s="34"/>
      <c r="T968" s="34"/>
      <c r="U968" s="34"/>
      <c r="V968" s="33"/>
      <c r="AW968" s="34"/>
      <c r="AX968" s="34"/>
    </row>
    <row r="969" spans="8:50" s="35" customFormat="1" hidden="1" x14ac:dyDescent="0.25">
      <c r="H969" s="304"/>
      <c r="K969" s="149"/>
      <c r="L969" s="150"/>
      <c r="M969" s="34"/>
      <c r="N969" s="34"/>
      <c r="O969" s="34"/>
      <c r="T969" s="34"/>
      <c r="U969" s="34"/>
      <c r="V969" s="33"/>
      <c r="AW969" s="34"/>
      <c r="AX969" s="34"/>
    </row>
    <row r="970" spans="8:50" s="35" customFormat="1" hidden="1" x14ac:dyDescent="0.25">
      <c r="H970" s="304"/>
      <c r="K970" s="149"/>
      <c r="L970" s="150"/>
      <c r="M970" s="34"/>
      <c r="N970" s="34"/>
      <c r="O970" s="34"/>
      <c r="T970" s="34"/>
      <c r="U970" s="34"/>
      <c r="V970" s="33"/>
      <c r="AW970" s="34"/>
      <c r="AX970" s="34"/>
    </row>
    <row r="971" spans="8:50" s="35" customFormat="1" hidden="1" x14ac:dyDescent="0.25">
      <c r="H971" s="304"/>
      <c r="K971" s="149"/>
      <c r="L971" s="150"/>
      <c r="M971" s="34"/>
      <c r="N971" s="34"/>
      <c r="O971" s="34"/>
      <c r="T971" s="34"/>
      <c r="U971" s="34"/>
      <c r="V971" s="33"/>
      <c r="AW971" s="34"/>
      <c r="AX971" s="34"/>
    </row>
    <row r="972" spans="8:50" s="35" customFormat="1" hidden="1" x14ac:dyDescent="0.25">
      <c r="H972" s="304"/>
      <c r="K972" s="149"/>
      <c r="L972" s="150"/>
      <c r="M972" s="34"/>
      <c r="N972" s="34"/>
      <c r="O972" s="34"/>
      <c r="T972" s="34"/>
      <c r="U972" s="34"/>
      <c r="V972" s="33"/>
      <c r="AW972" s="34"/>
      <c r="AX972" s="34"/>
    </row>
  </sheetData>
  <mergeCells count="299">
    <mergeCell ref="A9:AY9"/>
    <mergeCell ref="A10:AY10"/>
    <mergeCell ref="A11:AY11"/>
    <mergeCell ref="A7:AY7"/>
    <mergeCell ref="AX37:AX46"/>
    <mergeCell ref="M24:M27"/>
    <mergeCell ref="M28:M31"/>
    <mergeCell ref="M32:M35"/>
    <mergeCell ref="O22:O35"/>
    <mergeCell ref="N37:N46"/>
    <mergeCell ref="P24:P27"/>
    <mergeCell ref="P28:P31"/>
    <mergeCell ref="P32:P35"/>
    <mergeCell ref="Q24:Q27"/>
    <mergeCell ref="Q28:Q31"/>
    <mergeCell ref="Q32:Q35"/>
    <mergeCell ref="M45:M46"/>
    <mergeCell ref="AW45:AW46"/>
    <mergeCell ref="AQ45:AQ46"/>
    <mergeCell ref="R28:R31"/>
    <mergeCell ref="R32:R35"/>
    <mergeCell ref="S24:S27"/>
    <mergeCell ref="S28:S31"/>
    <mergeCell ref="S32:S35"/>
    <mergeCell ref="T32:T35"/>
    <mergeCell ref="V22:V35"/>
    <mergeCell ref="B20:G20"/>
    <mergeCell ref="E38:E44"/>
    <mergeCell ref="E45:E46"/>
    <mergeCell ref="E47:E53"/>
    <mergeCell ref="E56:E64"/>
    <mergeCell ref="C56:C64"/>
    <mergeCell ref="B22:B35"/>
    <mergeCell ref="D24:D35"/>
    <mergeCell ref="B37:B53"/>
    <mergeCell ref="C38:C44"/>
    <mergeCell ref="D22:D23"/>
    <mergeCell ref="D55:D64"/>
    <mergeCell ref="C45:C46"/>
    <mergeCell ref="D47:D53"/>
    <mergeCell ref="C47:C53"/>
    <mergeCell ref="D37:D46"/>
    <mergeCell ref="C24:C35"/>
    <mergeCell ref="E32:E35"/>
    <mergeCell ref="M47:M53"/>
    <mergeCell ref="T47:T53"/>
    <mergeCell ref="T56:T64"/>
    <mergeCell ref="N22:N23"/>
    <mergeCell ref="N24:N35"/>
    <mergeCell ref="Q45:Q46"/>
    <mergeCell ref="G28:G31"/>
    <mergeCell ref="F28:F31"/>
    <mergeCell ref="E24:E27"/>
    <mergeCell ref="G24:G27"/>
    <mergeCell ref="F24:F27"/>
    <mergeCell ref="P38:P44"/>
    <mergeCell ref="Q38:Q44"/>
    <mergeCell ref="F47:F53"/>
    <mergeCell ref="G47:G53"/>
    <mergeCell ref="F56:F64"/>
    <mergeCell ref="G56:G64"/>
    <mergeCell ref="G38:G44"/>
    <mergeCell ref="F38:F44"/>
    <mergeCell ref="F45:F46"/>
    <mergeCell ref="G45:G46"/>
    <mergeCell ref="F32:F35"/>
    <mergeCell ref="G32:G35"/>
    <mergeCell ref="E28:E31"/>
    <mergeCell ref="T24:T27"/>
    <mergeCell ref="T28:T31"/>
    <mergeCell ref="N47:N53"/>
    <mergeCell ref="P56:P64"/>
    <mergeCell ref="M56:M64"/>
    <mergeCell ref="W45:W46"/>
    <mergeCell ref="AP45:AP46"/>
    <mergeCell ref="Q47:Q53"/>
    <mergeCell ref="P47:P53"/>
    <mergeCell ref="P45:P46"/>
    <mergeCell ref="W47:W53"/>
    <mergeCell ref="O37:O53"/>
    <mergeCell ref="M38:M44"/>
    <mergeCell ref="O55:O65"/>
    <mergeCell ref="V37:V53"/>
    <mergeCell ref="X45:X46"/>
    <mergeCell ref="Y45:Y46"/>
    <mergeCell ref="Z45:Z46"/>
    <mergeCell ref="AA45:AA46"/>
    <mergeCell ref="AB45:AB46"/>
    <mergeCell ref="AC45:AC46"/>
    <mergeCell ref="AD45:AD46"/>
    <mergeCell ref="V55:V65"/>
    <mergeCell ref="R45:R46"/>
    <mergeCell ref="S45:S46"/>
    <mergeCell ref="W38:W44"/>
    <mergeCell ref="AX47:AX53"/>
    <mergeCell ref="AX56:AX65"/>
    <mergeCell ref="B55:B65"/>
    <mergeCell ref="N55:N64"/>
    <mergeCell ref="U22:U23"/>
    <mergeCell ref="U24:U35"/>
    <mergeCell ref="T38:T44"/>
    <mergeCell ref="U38:U44"/>
    <mergeCell ref="T45:T46"/>
    <mergeCell ref="U45:U46"/>
    <mergeCell ref="U47:U53"/>
    <mergeCell ref="U55:U64"/>
    <mergeCell ref="Q56:Q64"/>
    <mergeCell ref="R56:R64"/>
    <mergeCell ref="S56:S64"/>
    <mergeCell ref="R47:R53"/>
    <mergeCell ref="S47:S53"/>
    <mergeCell ref="AW47:AW53"/>
    <mergeCell ref="AW56:AW64"/>
    <mergeCell ref="AP47:AP53"/>
    <mergeCell ref="AR45:AR46"/>
    <mergeCell ref="AW38:AW44"/>
    <mergeCell ref="R38:R44"/>
    <mergeCell ref="S38:S44"/>
    <mergeCell ref="R24:R27"/>
    <mergeCell ref="AP24:AP27"/>
    <mergeCell ref="AQ24:AQ27"/>
    <mergeCell ref="AR24:AR27"/>
    <mergeCell ref="AW24:AW27"/>
    <mergeCell ref="W28:W31"/>
    <mergeCell ref="X28:X31"/>
    <mergeCell ref="Y28:Y31"/>
    <mergeCell ref="Z28:Z31"/>
    <mergeCell ref="AA28:AA31"/>
    <mergeCell ref="AB28:AB31"/>
    <mergeCell ref="AO24:AO27"/>
    <mergeCell ref="AO28:AO31"/>
    <mergeCell ref="W24:W27"/>
    <mergeCell ref="X24:X27"/>
    <mergeCell ref="Y24:Y27"/>
    <mergeCell ref="Z24:Z27"/>
    <mergeCell ref="AA24:AA27"/>
    <mergeCell ref="AB24:AB27"/>
    <mergeCell ref="AC24:AC27"/>
    <mergeCell ref="AD24:AD27"/>
    <mergeCell ref="AE24:AE27"/>
    <mergeCell ref="AC28:AC31"/>
    <mergeCell ref="AI24:AI27"/>
    <mergeCell ref="W32:W35"/>
    <mergeCell ref="X32:X35"/>
    <mergeCell ref="Y32:Y35"/>
    <mergeCell ref="Z32:Z35"/>
    <mergeCell ref="AA32:AA35"/>
    <mergeCell ref="AB32:AB35"/>
    <mergeCell ref="AC32:AC35"/>
    <mergeCell ref="AD32:AD35"/>
    <mergeCell ref="AE32:AE35"/>
    <mergeCell ref="AX22:AX23"/>
    <mergeCell ref="AX24:AX35"/>
    <mergeCell ref="AS24:AS27"/>
    <mergeCell ref="AT24:AT27"/>
    <mergeCell ref="AU24:AU27"/>
    <mergeCell ref="AV24:AV27"/>
    <mergeCell ref="AD28:AD31"/>
    <mergeCell ref="AE28:AE31"/>
    <mergeCell ref="AP28:AP31"/>
    <mergeCell ref="AQ28:AQ31"/>
    <mergeCell ref="AR28:AR31"/>
    <mergeCell ref="AW28:AW31"/>
    <mergeCell ref="AO32:AO35"/>
    <mergeCell ref="AP32:AP35"/>
    <mergeCell ref="AQ32:AQ35"/>
    <mergeCell ref="AR32:AR35"/>
    <mergeCell ref="AW32:AW35"/>
    <mergeCell ref="AJ32:AJ35"/>
    <mergeCell ref="AK28:AK31"/>
    <mergeCell ref="AK32:AK35"/>
    <mergeCell ref="AL32:AL35"/>
    <mergeCell ref="AF24:AF27"/>
    <mergeCell ref="AG24:AG27"/>
    <mergeCell ref="X38:X44"/>
    <mergeCell ref="Y38:Y44"/>
    <mergeCell ref="Z38:Z44"/>
    <mergeCell ref="AA38:AA44"/>
    <mergeCell ref="AB38:AB44"/>
    <mergeCell ref="AC38:AC44"/>
    <mergeCell ref="AD38:AD44"/>
    <mergeCell ref="AE38:AE44"/>
    <mergeCell ref="Z47:Z53"/>
    <mergeCell ref="AA47:AA53"/>
    <mergeCell ref="AB47:AB53"/>
    <mergeCell ref="AC47:AC53"/>
    <mergeCell ref="AD47:AD53"/>
    <mergeCell ref="AE47:AE53"/>
    <mergeCell ref="AY37:AY53"/>
    <mergeCell ref="AJ24:AJ27"/>
    <mergeCell ref="AJ28:AJ31"/>
    <mergeCell ref="AK24:AK27"/>
    <mergeCell ref="AE45:AE46"/>
    <mergeCell ref="AJ45:AJ46"/>
    <mergeCell ref="AK45:AK46"/>
    <mergeCell ref="AL45:AL46"/>
    <mergeCell ref="AM45:AM46"/>
    <mergeCell ref="AN45:AN46"/>
    <mergeCell ref="AO45:AO46"/>
    <mergeCell ref="AL47:AL53"/>
    <mergeCell ref="AM47:AM53"/>
    <mergeCell ref="AN47:AN53"/>
    <mergeCell ref="AO47:AO53"/>
    <mergeCell ref="AK47:AK53"/>
    <mergeCell ref="AJ38:AJ44"/>
    <mergeCell ref="AF28:AF31"/>
    <mergeCell ref="AG28:AG31"/>
    <mergeCell ref="AH28:AH31"/>
    <mergeCell ref="AF32:AF35"/>
    <mergeCell ref="AG32:AG35"/>
    <mergeCell ref="AH32:AH35"/>
    <mergeCell ref="AY22:AY35"/>
    <mergeCell ref="B19:AY19"/>
    <mergeCell ref="W20:AY20"/>
    <mergeCell ref="H20:O20"/>
    <mergeCell ref="AP56:AP64"/>
    <mergeCell ref="AQ56:AQ64"/>
    <mergeCell ref="AR56:AR64"/>
    <mergeCell ref="AY55:AY65"/>
    <mergeCell ref="W56:W64"/>
    <mergeCell ref="X56:X64"/>
    <mergeCell ref="Y56:Y64"/>
    <mergeCell ref="Z56:Z64"/>
    <mergeCell ref="AA56:AA64"/>
    <mergeCell ref="AB56:AB64"/>
    <mergeCell ref="AC56:AC64"/>
    <mergeCell ref="AD56:AD64"/>
    <mergeCell ref="AE56:AE64"/>
    <mergeCell ref="AJ56:AJ64"/>
    <mergeCell ref="AK56:AK64"/>
    <mergeCell ref="AL56:AL64"/>
    <mergeCell ref="AM56:AM64"/>
    <mergeCell ref="AN56:AN64"/>
    <mergeCell ref="AO56:AO64"/>
    <mergeCell ref="X47:X53"/>
    <mergeCell ref="Y47:Y53"/>
    <mergeCell ref="AV28:AV31"/>
    <mergeCell ref="AV32:AV35"/>
    <mergeCell ref="AS28:AS31"/>
    <mergeCell ref="AT28:AT31"/>
    <mergeCell ref="AU28:AU31"/>
    <mergeCell ref="AS32:AS35"/>
    <mergeCell ref="AT32:AT35"/>
    <mergeCell ref="AU32:AU35"/>
    <mergeCell ref="AM32:AM35"/>
    <mergeCell ref="AN32:AN35"/>
    <mergeCell ref="AL24:AL27"/>
    <mergeCell ref="AM24:AM27"/>
    <mergeCell ref="AN24:AN27"/>
    <mergeCell ref="AL28:AL31"/>
    <mergeCell ref="AM28:AM31"/>
    <mergeCell ref="AN28:AN31"/>
    <mergeCell ref="AG56:AG64"/>
    <mergeCell ref="AH56:AH64"/>
    <mergeCell ref="AS38:AS44"/>
    <mergeCell ref="AI56:AI64"/>
    <mergeCell ref="AS47:AS53"/>
    <mergeCell ref="AH24:AH27"/>
    <mergeCell ref="AS45:AS46"/>
    <mergeCell ref="AI28:AI31"/>
    <mergeCell ref="AI32:AI35"/>
    <mergeCell ref="AJ47:AJ53"/>
    <mergeCell ref="AQ47:AQ53"/>
    <mergeCell ref="AR47:AR53"/>
    <mergeCell ref="AT45:AT46"/>
    <mergeCell ref="AU45:AU46"/>
    <mergeCell ref="AV45:AV46"/>
    <mergeCell ref="AK38:AK44"/>
    <mergeCell ref="AL38:AL44"/>
    <mergeCell ref="AM38:AM44"/>
    <mergeCell ref="AN38:AN44"/>
    <mergeCell ref="AO38:AO44"/>
    <mergeCell ref="AP38:AP44"/>
    <mergeCell ref="AQ38:AQ44"/>
    <mergeCell ref="AR38:AR44"/>
    <mergeCell ref="P20:V20"/>
    <mergeCell ref="AT47:AT53"/>
    <mergeCell ref="AU47:AU53"/>
    <mergeCell ref="AV47:AV53"/>
    <mergeCell ref="AS56:AS64"/>
    <mergeCell ref="AT56:AT64"/>
    <mergeCell ref="AU56:AU64"/>
    <mergeCell ref="AV56:AV64"/>
    <mergeCell ref="AF38:AF44"/>
    <mergeCell ref="AF47:AF53"/>
    <mergeCell ref="AF45:AF46"/>
    <mergeCell ref="AG38:AG44"/>
    <mergeCell ref="AG45:AG46"/>
    <mergeCell ref="AG47:AG53"/>
    <mergeCell ref="AH38:AH44"/>
    <mergeCell ref="AI38:AI44"/>
    <mergeCell ref="AH45:AH46"/>
    <mergeCell ref="AI45:AI46"/>
    <mergeCell ref="AH47:AH53"/>
    <mergeCell ref="AI47:AI53"/>
    <mergeCell ref="AF56:AF64"/>
    <mergeCell ref="AT38:AT44"/>
    <mergeCell ref="AU38:AU44"/>
    <mergeCell ref="AV38:AV44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697D-72E2-4785-B51D-58B143E36F33}">
  <dimension ref="A1:U67"/>
  <sheetViews>
    <sheetView topLeftCell="A10" zoomScaleNormal="100" workbookViewId="0">
      <pane xSplit="1" topLeftCell="B1" activePane="topRight" state="frozen"/>
      <selection activeCell="A13" sqref="A13"/>
      <selection pane="topRight" activeCell="R43" sqref="R1:XFD1048576"/>
    </sheetView>
  </sheetViews>
  <sheetFormatPr baseColWidth="10" defaultColWidth="0" defaultRowHeight="15" zeroHeight="1" x14ac:dyDescent="0.25"/>
  <cols>
    <col min="1" max="1" width="5.140625" style="37" customWidth="1"/>
    <col min="2" max="3" width="11.42578125" style="37" customWidth="1"/>
    <col min="4" max="4" width="15" style="37" customWidth="1"/>
    <col min="5" max="5" width="16.42578125" style="37" customWidth="1"/>
    <col min="6" max="6" width="12.28515625" style="37" customWidth="1"/>
    <col min="7" max="8" width="12" style="37" bestFit="1" customWidth="1"/>
    <col min="9" max="9" width="12.85546875" style="37" customWidth="1"/>
    <col min="10" max="10" width="16.140625" style="37" customWidth="1"/>
    <col min="11" max="11" width="12.7109375" style="37" customWidth="1"/>
    <col min="12" max="14" width="12" style="37" bestFit="1" customWidth="1"/>
    <col min="15" max="15" width="13" style="37" bestFit="1" customWidth="1"/>
    <col min="16" max="17" width="11.42578125" style="37" customWidth="1"/>
    <col min="18" max="21" width="0" style="37" hidden="1"/>
    <col min="22" max="16384" width="11.42578125" hidden="1"/>
  </cols>
  <sheetData>
    <row r="1" spans="2:15" x14ac:dyDescent="0.25"/>
    <row r="2" spans="2:15" x14ac:dyDescent="0.25"/>
    <row r="3" spans="2:15" x14ac:dyDescent="0.25"/>
    <row r="4" spans="2:15" x14ac:dyDescent="0.25"/>
    <row r="5" spans="2:15" x14ac:dyDescent="0.25"/>
    <row r="6" spans="2:15" x14ac:dyDescent="0.25"/>
    <row r="7" spans="2:15" x14ac:dyDescent="0.25">
      <c r="B7" s="1064" t="s">
        <v>73</v>
      </c>
      <c r="C7" s="1064"/>
      <c r="D7" s="1064"/>
      <c r="E7" s="1064"/>
      <c r="F7" s="1064"/>
      <c r="G7" s="1064"/>
      <c r="H7" s="1064"/>
      <c r="I7" s="1064"/>
      <c r="J7" s="1064"/>
      <c r="K7" s="1064"/>
      <c r="L7" s="1064"/>
      <c r="M7" s="1064"/>
      <c r="N7" s="1064"/>
      <c r="O7" s="1064"/>
    </row>
    <row r="8" spans="2:15" x14ac:dyDescent="0.25">
      <c r="B8" s="1064" t="s">
        <v>580</v>
      </c>
      <c r="C8" s="1064"/>
      <c r="D8" s="1064"/>
      <c r="E8" s="1064"/>
      <c r="F8" s="1064"/>
      <c r="G8" s="1064"/>
      <c r="H8" s="1064"/>
      <c r="I8" s="1064"/>
      <c r="J8" s="1064"/>
      <c r="K8" s="1064"/>
      <c r="L8" s="1064"/>
      <c r="M8" s="1064"/>
      <c r="N8" s="1064"/>
      <c r="O8" s="1064"/>
    </row>
    <row r="9" spans="2:15" x14ac:dyDescent="0.25">
      <c r="B9" s="1064" t="s">
        <v>581</v>
      </c>
      <c r="C9" s="1064"/>
      <c r="D9" s="1064"/>
      <c r="E9" s="1064"/>
      <c r="F9" s="1064"/>
      <c r="G9" s="1064"/>
      <c r="H9" s="1064"/>
      <c r="I9" s="1064"/>
      <c r="J9" s="1064"/>
      <c r="K9" s="1064"/>
      <c r="L9" s="1064"/>
      <c r="M9" s="1064"/>
      <c r="N9" s="1064"/>
      <c r="O9" s="1064"/>
    </row>
    <row r="10" spans="2:15" x14ac:dyDescent="0.25"/>
    <row r="11" spans="2:15" x14ac:dyDescent="0.25"/>
    <row r="12" spans="2:15" ht="15.75" thickBot="1" x14ac:dyDescent="0.3"/>
    <row r="13" spans="2:15" x14ac:dyDescent="0.25">
      <c r="B13" s="1220" t="s">
        <v>255</v>
      </c>
      <c r="C13" s="1221"/>
      <c r="D13" s="1221"/>
      <c r="E13" s="1221"/>
      <c r="F13" s="1221"/>
      <c r="G13" s="1221"/>
      <c r="H13" s="1221"/>
      <c r="I13" s="1221"/>
      <c r="J13" s="1221"/>
      <c r="K13" s="1221"/>
      <c r="L13" s="1221"/>
      <c r="M13" s="1221"/>
      <c r="N13" s="1221"/>
      <c r="O13" s="1222"/>
    </row>
    <row r="14" spans="2:15" ht="36.75" customHeight="1" x14ac:dyDescent="0.25">
      <c r="B14" s="1223"/>
      <c r="C14" s="1224"/>
      <c r="D14" s="1224"/>
      <c r="E14" s="1224"/>
      <c r="F14" s="1224"/>
      <c r="G14" s="1224"/>
      <c r="H14" s="1224"/>
      <c r="I14" s="1224"/>
      <c r="J14" s="1224"/>
      <c r="K14" s="1224"/>
      <c r="L14" s="1224"/>
      <c r="M14" s="1224"/>
      <c r="N14" s="1224"/>
      <c r="O14" s="1225"/>
    </row>
    <row r="15" spans="2:15" ht="75" x14ac:dyDescent="0.25">
      <c r="B15" s="155" t="s">
        <v>1</v>
      </c>
      <c r="C15" s="212" t="s">
        <v>99</v>
      </c>
      <c r="D15" s="212" t="s">
        <v>96</v>
      </c>
      <c r="E15" s="134" t="s">
        <v>175</v>
      </c>
      <c r="F15" s="134" t="s">
        <v>136</v>
      </c>
      <c r="G15" s="135" t="s">
        <v>160</v>
      </c>
      <c r="H15" s="151" t="s">
        <v>243</v>
      </c>
      <c r="I15" s="38" t="s">
        <v>137</v>
      </c>
      <c r="J15" s="39" t="s">
        <v>161</v>
      </c>
      <c r="K15" s="38" t="s">
        <v>202</v>
      </c>
      <c r="L15" s="354" t="s">
        <v>622</v>
      </c>
      <c r="M15" s="354" t="s">
        <v>625</v>
      </c>
      <c r="N15" s="354" t="s">
        <v>626</v>
      </c>
      <c r="O15" s="356" t="s">
        <v>627</v>
      </c>
    </row>
    <row r="16" spans="2:15" ht="15" customHeight="1" x14ac:dyDescent="0.25">
      <c r="B16" s="1290" t="s">
        <v>0</v>
      </c>
      <c r="C16" s="1292" t="s">
        <v>100</v>
      </c>
      <c r="D16" s="1269" t="s">
        <v>97</v>
      </c>
      <c r="E16" s="219" t="s">
        <v>176</v>
      </c>
      <c r="F16" s="214">
        <f>+'MATRIZ ABC'!M22</f>
        <v>1.1072530864197532</v>
      </c>
      <c r="G16" s="1273">
        <f>+F16+F17</f>
        <v>1.152391975308642</v>
      </c>
      <c r="H16" s="1273">
        <f>+G16+G18</f>
        <v>244.12114197530863</v>
      </c>
      <c r="I16" s="218">
        <f>+'MATRIZ ABC'!T22</f>
        <v>6327.1666666666679</v>
      </c>
      <c r="J16" s="1259">
        <f>+I16+I17</f>
        <v>10545.277777777781</v>
      </c>
      <c r="K16" s="1255">
        <f>+J16+J18</f>
        <v>101234.66666666667</v>
      </c>
      <c r="L16" s="355">
        <f>+'MATRIZ ABC'!AW22</f>
        <v>304.16666666666663</v>
      </c>
      <c r="M16" s="1257">
        <f>+L16+L17</f>
        <v>698.49537037037032</v>
      </c>
      <c r="N16" s="1257">
        <f>+M16+M18</f>
        <v>23867.299382716046</v>
      </c>
      <c r="O16" s="1236">
        <f>+H16+K16+N16</f>
        <v>125346.08719135803</v>
      </c>
    </row>
    <row r="17" spans="2:15" ht="15" customHeight="1" x14ac:dyDescent="0.25">
      <c r="B17" s="1290"/>
      <c r="C17" s="1293"/>
      <c r="D17" s="1269"/>
      <c r="E17" s="219" t="s">
        <v>177</v>
      </c>
      <c r="F17" s="214">
        <f>+'MATRIZ ABC'!M23</f>
        <v>4.5138888888888888E-2</v>
      </c>
      <c r="G17" s="1273"/>
      <c r="H17" s="1273"/>
      <c r="I17" s="218">
        <f>+'MATRIZ ABC'!T23</f>
        <v>4218.1111111111122</v>
      </c>
      <c r="J17" s="1259"/>
      <c r="K17" s="1255"/>
      <c r="L17" s="355">
        <f>+'MATRIZ ABC'!AW23</f>
        <v>394.3287037037037</v>
      </c>
      <c r="M17" s="1257"/>
      <c r="N17" s="1257"/>
      <c r="O17" s="1238"/>
    </row>
    <row r="18" spans="2:15" x14ac:dyDescent="0.25">
      <c r="B18" s="1290"/>
      <c r="C18" s="1292" t="s">
        <v>100</v>
      </c>
      <c r="D18" s="1269" t="s">
        <v>158</v>
      </c>
      <c r="E18" s="1281" t="s">
        <v>178</v>
      </c>
      <c r="F18" s="1273">
        <f>+SUM('MATRIZ ABC'!L24:L27)</f>
        <v>129.89004629629628</v>
      </c>
      <c r="G18" s="1273">
        <f>+F18+F22+F26</f>
        <v>242.96875</v>
      </c>
      <c r="H18" s="1273"/>
      <c r="I18" s="1259">
        <f>+SUM('MATRIZ ABC'!S24:S27)</f>
        <v>74871.472222222234</v>
      </c>
      <c r="J18" s="1259">
        <f>+I18+I22+I26</f>
        <v>90689.388888888891</v>
      </c>
      <c r="K18" s="1255"/>
      <c r="L18" s="1257">
        <f>+SUM('MATRIZ ABC'!AW24:AW27)</f>
        <v>8218.5050154320979</v>
      </c>
      <c r="M18" s="1257">
        <f>L22+L26+L18</f>
        <v>23168.804012345678</v>
      </c>
      <c r="N18" s="1257"/>
      <c r="O18" s="1238"/>
    </row>
    <row r="19" spans="2:15" x14ac:dyDescent="0.25">
      <c r="B19" s="1290"/>
      <c r="C19" s="1314"/>
      <c r="D19" s="1269"/>
      <c r="E19" s="1288"/>
      <c r="F19" s="1273"/>
      <c r="G19" s="1273"/>
      <c r="H19" s="1273"/>
      <c r="I19" s="1259"/>
      <c r="J19" s="1259"/>
      <c r="K19" s="1255"/>
      <c r="L19" s="1257"/>
      <c r="M19" s="1257"/>
      <c r="N19" s="1257"/>
      <c r="O19" s="1238"/>
    </row>
    <row r="20" spans="2:15" x14ac:dyDescent="0.25">
      <c r="B20" s="1290"/>
      <c r="C20" s="1314"/>
      <c r="D20" s="1269"/>
      <c r="E20" s="1288"/>
      <c r="F20" s="1273"/>
      <c r="G20" s="1273"/>
      <c r="H20" s="1273"/>
      <c r="I20" s="1259"/>
      <c r="J20" s="1259"/>
      <c r="K20" s="1255"/>
      <c r="L20" s="1257"/>
      <c r="M20" s="1257"/>
      <c r="N20" s="1257"/>
      <c r="O20" s="1238"/>
    </row>
    <row r="21" spans="2:15" x14ac:dyDescent="0.25">
      <c r="B21" s="1290"/>
      <c r="C21" s="1314"/>
      <c r="D21" s="1269"/>
      <c r="E21" s="1282"/>
      <c r="F21" s="1273"/>
      <c r="G21" s="1273"/>
      <c r="H21" s="1273"/>
      <c r="I21" s="1259"/>
      <c r="J21" s="1259"/>
      <c r="K21" s="1255"/>
      <c r="L21" s="1257"/>
      <c r="M21" s="1257"/>
      <c r="N21" s="1257"/>
      <c r="O21" s="1238"/>
    </row>
    <row r="22" spans="2:15" x14ac:dyDescent="0.25">
      <c r="B22" s="1290"/>
      <c r="C22" s="1314"/>
      <c r="D22" s="1269"/>
      <c r="E22" s="1270" t="s">
        <v>179</v>
      </c>
      <c r="F22" s="1273">
        <f>+SUM('MATRIZ ABC'!L28:L31)</f>
        <v>92.660108024691354</v>
      </c>
      <c r="G22" s="1273"/>
      <c r="H22" s="1273"/>
      <c r="I22" s="1259">
        <f>+SUM('MATRIZ ABC'!S28:S31)</f>
        <v>12654.333333333336</v>
      </c>
      <c r="J22" s="1259"/>
      <c r="K22" s="1255"/>
      <c r="L22" s="1257">
        <f>+SUM('MATRIZ ABC'!AW28:AW31)</f>
        <v>6829.8148148148148</v>
      </c>
      <c r="M22" s="1257"/>
      <c r="N22" s="1257"/>
      <c r="O22" s="1238"/>
    </row>
    <row r="23" spans="2:15" x14ac:dyDescent="0.25">
      <c r="B23" s="1290"/>
      <c r="C23" s="1314"/>
      <c r="D23" s="1269"/>
      <c r="E23" s="1271"/>
      <c r="F23" s="1273"/>
      <c r="G23" s="1273"/>
      <c r="H23" s="1273"/>
      <c r="I23" s="1259"/>
      <c r="J23" s="1259"/>
      <c r="K23" s="1255"/>
      <c r="L23" s="1257"/>
      <c r="M23" s="1257"/>
      <c r="N23" s="1257"/>
      <c r="O23" s="1238"/>
    </row>
    <row r="24" spans="2:15" x14ac:dyDescent="0.25">
      <c r="B24" s="1290"/>
      <c r="C24" s="1314"/>
      <c r="D24" s="1269"/>
      <c r="E24" s="1271"/>
      <c r="F24" s="1273"/>
      <c r="G24" s="1273"/>
      <c r="H24" s="1273"/>
      <c r="I24" s="1259"/>
      <c r="J24" s="1259"/>
      <c r="K24" s="1255"/>
      <c r="L24" s="1257"/>
      <c r="M24" s="1257"/>
      <c r="N24" s="1257"/>
      <c r="O24" s="1238"/>
    </row>
    <row r="25" spans="2:15" x14ac:dyDescent="0.25">
      <c r="B25" s="1290"/>
      <c r="C25" s="1314"/>
      <c r="D25" s="1269"/>
      <c r="E25" s="1272"/>
      <c r="F25" s="1273"/>
      <c r="G25" s="1273"/>
      <c r="H25" s="1273"/>
      <c r="I25" s="1259"/>
      <c r="J25" s="1259"/>
      <c r="K25" s="1255"/>
      <c r="L25" s="1257"/>
      <c r="M25" s="1257"/>
      <c r="N25" s="1257"/>
      <c r="O25" s="1238"/>
    </row>
    <row r="26" spans="2:15" x14ac:dyDescent="0.25">
      <c r="B26" s="1290"/>
      <c r="C26" s="1314"/>
      <c r="D26" s="1269"/>
      <c r="E26" s="1270" t="s">
        <v>381</v>
      </c>
      <c r="F26" s="1273">
        <f>+SUM('MATRIZ ABC'!L32:L35)</f>
        <v>20.418595679012345</v>
      </c>
      <c r="G26" s="1273"/>
      <c r="H26" s="1273"/>
      <c r="I26" s="1259">
        <f>+SUM('MATRIZ ABC'!S32:S35)</f>
        <v>3163.5833333333339</v>
      </c>
      <c r="J26" s="1259"/>
      <c r="K26" s="1255"/>
      <c r="L26" s="1257">
        <f>+SUM('MATRIZ ABC'!AW32:AW35)</f>
        <v>8120.4841820987649</v>
      </c>
      <c r="M26" s="1257"/>
      <c r="N26" s="1257"/>
      <c r="O26" s="1238"/>
    </row>
    <row r="27" spans="2:15" x14ac:dyDescent="0.25">
      <c r="B27" s="1290"/>
      <c r="C27" s="1314"/>
      <c r="D27" s="1269"/>
      <c r="E27" s="1271"/>
      <c r="F27" s="1273"/>
      <c r="G27" s="1273"/>
      <c r="H27" s="1273"/>
      <c r="I27" s="1259"/>
      <c r="J27" s="1259"/>
      <c r="K27" s="1255"/>
      <c r="L27" s="1257"/>
      <c r="M27" s="1257"/>
      <c r="N27" s="1257"/>
      <c r="O27" s="1238"/>
    </row>
    <row r="28" spans="2:15" x14ac:dyDescent="0.25">
      <c r="B28" s="1290"/>
      <c r="C28" s="1314"/>
      <c r="D28" s="1269"/>
      <c r="E28" s="1271"/>
      <c r="F28" s="1273"/>
      <c r="G28" s="1273"/>
      <c r="H28" s="1273"/>
      <c r="I28" s="1259"/>
      <c r="J28" s="1259"/>
      <c r="K28" s="1255"/>
      <c r="L28" s="1257"/>
      <c r="M28" s="1257"/>
      <c r="N28" s="1257"/>
      <c r="O28" s="1238"/>
    </row>
    <row r="29" spans="2:15" ht="15.75" thickBot="1" x14ac:dyDescent="0.3">
      <c r="B29" s="1291"/>
      <c r="C29" s="1315"/>
      <c r="D29" s="1316"/>
      <c r="E29" s="1294"/>
      <c r="F29" s="1295"/>
      <c r="G29" s="1295"/>
      <c r="H29" s="1295"/>
      <c r="I29" s="1260"/>
      <c r="J29" s="1260"/>
      <c r="K29" s="1256"/>
      <c r="L29" s="1258"/>
      <c r="M29" s="1258"/>
      <c r="N29" s="1258"/>
      <c r="O29" s="1237"/>
    </row>
    <row r="30" spans="2:15" s="37" customFormat="1" ht="15.75" thickBot="1" x14ac:dyDescent="0.3">
      <c r="B30" s="35"/>
      <c r="C30" s="35"/>
      <c r="D30" s="35"/>
      <c r="E30" s="35"/>
    </row>
    <row r="31" spans="2:15" x14ac:dyDescent="0.25">
      <c r="B31" s="1274" t="s">
        <v>4</v>
      </c>
      <c r="C31" s="349" t="s">
        <v>104</v>
      </c>
      <c r="D31" s="1277" t="s">
        <v>156</v>
      </c>
      <c r="E31" s="350" t="s">
        <v>180</v>
      </c>
      <c r="F31" s="336">
        <f>+'MATRIZ ABC'!T37</f>
        <v>2300.537400555555</v>
      </c>
      <c r="G31" s="1261">
        <f>+F31+F32+F39</f>
        <v>23005.374005555554</v>
      </c>
      <c r="H31" s="1261">
        <f>+G31+G41</f>
        <v>31057.254907499999</v>
      </c>
      <c r="I31" s="337">
        <f>+'MATRIZ ABC'!T37</f>
        <v>2300.537400555555</v>
      </c>
      <c r="J31" s="1251">
        <f>SUM(I31:I40)</f>
        <v>23005.374005555554</v>
      </c>
      <c r="K31" s="1252">
        <f>SUM(J31+J41)</f>
        <v>31057.254907499999</v>
      </c>
      <c r="L31" s="353">
        <f>+'MATRIZ ABC'!AW37</f>
        <v>424.91030092592598</v>
      </c>
      <c r="M31" s="1242">
        <f>SUM(L31:L40)</f>
        <v>22505.709104938273</v>
      </c>
      <c r="N31" s="1242">
        <f>SUM(M31+M41)</f>
        <v>24003.989583333336</v>
      </c>
      <c r="O31" s="1243">
        <f>+N31+K31+H31</f>
        <v>86118.499398333341</v>
      </c>
    </row>
    <row r="32" spans="2:15" x14ac:dyDescent="0.25">
      <c r="B32" s="1275"/>
      <c r="C32" s="1280" t="s">
        <v>104</v>
      </c>
      <c r="D32" s="1278"/>
      <c r="E32" s="1270" t="s">
        <v>181</v>
      </c>
      <c r="F32" s="1265">
        <f>+SUM('MATRIZ ABC'!T38:T44)</f>
        <v>17254.030504166665</v>
      </c>
      <c r="G32" s="1262"/>
      <c r="H32" s="1262"/>
      <c r="I32" s="1247">
        <f>+SUM('MATRIZ ABC'!T38:T44)</f>
        <v>17254.030504166665</v>
      </c>
      <c r="J32" s="1247"/>
      <c r="K32" s="1253"/>
      <c r="L32" s="1239">
        <f>+SUM('MATRIZ ABC'!AW38:AW44)</f>
        <v>2404.5353009259256</v>
      </c>
      <c r="M32" s="1240"/>
      <c r="N32" s="1240"/>
      <c r="O32" s="1244"/>
    </row>
    <row r="33" spans="2:15" x14ac:dyDescent="0.25">
      <c r="B33" s="1275"/>
      <c r="C33" s="1280"/>
      <c r="D33" s="1278"/>
      <c r="E33" s="1271"/>
      <c r="F33" s="1262"/>
      <c r="G33" s="1262"/>
      <c r="H33" s="1262"/>
      <c r="I33" s="1247"/>
      <c r="J33" s="1247"/>
      <c r="K33" s="1253"/>
      <c r="L33" s="1240"/>
      <c r="M33" s="1240"/>
      <c r="N33" s="1240"/>
      <c r="O33" s="1244"/>
    </row>
    <row r="34" spans="2:15" x14ac:dyDescent="0.25">
      <c r="B34" s="1275"/>
      <c r="C34" s="1280"/>
      <c r="D34" s="1278"/>
      <c r="E34" s="1271"/>
      <c r="F34" s="1262"/>
      <c r="G34" s="1262"/>
      <c r="H34" s="1262"/>
      <c r="I34" s="1247"/>
      <c r="J34" s="1247"/>
      <c r="K34" s="1253"/>
      <c r="L34" s="1240"/>
      <c r="M34" s="1240"/>
      <c r="N34" s="1240"/>
      <c r="O34" s="1244"/>
    </row>
    <row r="35" spans="2:15" x14ac:dyDescent="0.25">
      <c r="B35" s="1275"/>
      <c r="C35" s="1280"/>
      <c r="D35" s="1278"/>
      <c r="E35" s="1271"/>
      <c r="F35" s="1262"/>
      <c r="G35" s="1262"/>
      <c r="H35" s="1262"/>
      <c r="I35" s="1247"/>
      <c r="J35" s="1247"/>
      <c r="K35" s="1253"/>
      <c r="L35" s="1240"/>
      <c r="M35" s="1240"/>
      <c r="N35" s="1240"/>
      <c r="O35" s="1244"/>
    </row>
    <row r="36" spans="2:15" x14ac:dyDescent="0.25">
      <c r="B36" s="1275"/>
      <c r="C36" s="1280"/>
      <c r="D36" s="1278"/>
      <c r="E36" s="1271"/>
      <c r="F36" s="1262"/>
      <c r="G36" s="1262"/>
      <c r="H36" s="1262"/>
      <c r="I36" s="1247"/>
      <c r="J36" s="1247"/>
      <c r="K36" s="1253"/>
      <c r="L36" s="1240"/>
      <c r="M36" s="1240"/>
      <c r="N36" s="1240"/>
      <c r="O36" s="1244"/>
    </row>
    <row r="37" spans="2:15" x14ac:dyDescent="0.25">
      <c r="B37" s="1275"/>
      <c r="C37" s="1280"/>
      <c r="D37" s="1278"/>
      <c r="E37" s="1271"/>
      <c r="F37" s="1262"/>
      <c r="G37" s="1262"/>
      <c r="H37" s="1262"/>
      <c r="I37" s="1247"/>
      <c r="J37" s="1247"/>
      <c r="K37" s="1253"/>
      <c r="L37" s="1240"/>
      <c r="M37" s="1240"/>
      <c r="N37" s="1240"/>
      <c r="O37" s="1244"/>
    </row>
    <row r="38" spans="2:15" x14ac:dyDescent="0.25">
      <c r="B38" s="1275"/>
      <c r="C38" s="1280"/>
      <c r="D38" s="1278"/>
      <c r="E38" s="1272"/>
      <c r="F38" s="1263"/>
      <c r="G38" s="1262"/>
      <c r="H38" s="1262"/>
      <c r="I38" s="1248"/>
      <c r="J38" s="1247"/>
      <c r="K38" s="1253"/>
      <c r="L38" s="1246"/>
      <c r="M38" s="1240"/>
      <c r="N38" s="1240"/>
      <c r="O38" s="1244"/>
    </row>
    <row r="39" spans="2:15" x14ac:dyDescent="0.25">
      <c r="B39" s="1275"/>
      <c r="C39" s="1280" t="s">
        <v>104</v>
      </c>
      <c r="D39" s="1278"/>
      <c r="E39" s="1281" t="s">
        <v>182</v>
      </c>
      <c r="F39" s="1265">
        <f>+SUM('MATRIZ ABC'!U45:U46)</f>
        <v>3450.8061008333329</v>
      </c>
      <c r="G39" s="1262"/>
      <c r="H39" s="1262"/>
      <c r="I39" s="1249">
        <f>+SUM('MATRIZ ABC'!T45:T46)</f>
        <v>3450.8061008333329</v>
      </c>
      <c r="J39" s="1247"/>
      <c r="K39" s="1253"/>
      <c r="L39" s="1239">
        <f>SUM('MATRIZ ABC'!AW45:AW46)</f>
        <v>19676.263503086422</v>
      </c>
      <c r="M39" s="1240"/>
      <c r="N39" s="1240"/>
      <c r="O39" s="1244"/>
    </row>
    <row r="40" spans="2:15" x14ac:dyDescent="0.25">
      <c r="B40" s="1275"/>
      <c r="C40" s="1280"/>
      <c r="D40" s="1279"/>
      <c r="E40" s="1282"/>
      <c r="F40" s="1263"/>
      <c r="G40" s="1263"/>
      <c r="H40" s="1262"/>
      <c r="I40" s="1248"/>
      <c r="J40" s="1248"/>
      <c r="K40" s="1253"/>
      <c r="L40" s="1246"/>
      <c r="M40" s="1246"/>
      <c r="N40" s="1240"/>
      <c r="O40" s="1244"/>
    </row>
    <row r="41" spans="2:15" x14ac:dyDescent="0.25">
      <c r="B41" s="1275"/>
      <c r="C41" s="1283" t="s">
        <v>104</v>
      </c>
      <c r="D41" s="1286" t="s">
        <v>157</v>
      </c>
      <c r="E41" s="1281" t="s">
        <v>183</v>
      </c>
      <c r="F41" s="1265">
        <f>+SUM('MATRIZ ABC'!T47:T53)</f>
        <v>8051.8809019444434</v>
      </c>
      <c r="G41" s="1265">
        <f>+F41</f>
        <v>8051.8809019444434</v>
      </c>
      <c r="H41" s="1262"/>
      <c r="I41" s="1249">
        <f>+SUM('MATRIZ ABC'!T47:T53)</f>
        <v>8051.8809019444434</v>
      </c>
      <c r="J41" s="1249">
        <f>+I41</f>
        <v>8051.8809019444434</v>
      </c>
      <c r="K41" s="1253"/>
      <c r="L41" s="1239">
        <f>SUM('MATRIZ ABC'!AW47:AW53)</f>
        <v>1498.2804783950619</v>
      </c>
      <c r="M41" s="1239">
        <f>+L41</f>
        <v>1498.2804783950619</v>
      </c>
      <c r="N41" s="1240"/>
      <c r="O41" s="1244"/>
    </row>
    <row r="42" spans="2:15" x14ac:dyDescent="0.25">
      <c r="B42" s="1275"/>
      <c r="C42" s="1284"/>
      <c r="D42" s="1278"/>
      <c r="E42" s="1288"/>
      <c r="F42" s="1262"/>
      <c r="G42" s="1262"/>
      <c r="H42" s="1262"/>
      <c r="I42" s="1247"/>
      <c r="J42" s="1247"/>
      <c r="K42" s="1253"/>
      <c r="L42" s="1240"/>
      <c r="M42" s="1240"/>
      <c r="N42" s="1240"/>
      <c r="O42" s="1244"/>
    </row>
    <row r="43" spans="2:15" x14ac:dyDescent="0.25">
      <c r="B43" s="1275"/>
      <c r="C43" s="1284"/>
      <c r="D43" s="1278"/>
      <c r="E43" s="1288"/>
      <c r="F43" s="1262"/>
      <c r="G43" s="1262"/>
      <c r="H43" s="1262"/>
      <c r="I43" s="1247"/>
      <c r="J43" s="1247"/>
      <c r="K43" s="1253"/>
      <c r="L43" s="1240"/>
      <c r="M43" s="1240"/>
      <c r="N43" s="1240"/>
      <c r="O43" s="1244"/>
    </row>
    <row r="44" spans="2:15" x14ac:dyDescent="0.25">
      <c r="B44" s="1275"/>
      <c r="C44" s="1284"/>
      <c r="D44" s="1278"/>
      <c r="E44" s="1288"/>
      <c r="F44" s="1262"/>
      <c r="G44" s="1262"/>
      <c r="H44" s="1262"/>
      <c r="I44" s="1247"/>
      <c r="J44" s="1247"/>
      <c r="K44" s="1253"/>
      <c r="L44" s="1240"/>
      <c r="M44" s="1240"/>
      <c r="N44" s="1240"/>
      <c r="O44" s="1244"/>
    </row>
    <row r="45" spans="2:15" x14ac:dyDescent="0.25">
      <c r="B45" s="1275"/>
      <c r="C45" s="1284"/>
      <c r="D45" s="1278"/>
      <c r="E45" s="1288"/>
      <c r="F45" s="1262"/>
      <c r="G45" s="1262"/>
      <c r="H45" s="1262"/>
      <c r="I45" s="1247"/>
      <c r="J45" s="1247"/>
      <c r="K45" s="1253"/>
      <c r="L45" s="1240"/>
      <c r="M45" s="1240"/>
      <c r="N45" s="1240"/>
      <c r="O45" s="1244"/>
    </row>
    <row r="46" spans="2:15" x14ac:dyDescent="0.25">
      <c r="B46" s="1275"/>
      <c r="C46" s="1284"/>
      <c r="D46" s="1278"/>
      <c r="E46" s="1288"/>
      <c r="F46" s="1262"/>
      <c r="G46" s="1262"/>
      <c r="H46" s="1262"/>
      <c r="I46" s="1247"/>
      <c r="J46" s="1247"/>
      <c r="K46" s="1253"/>
      <c r="L46" s="1240"/>
      <c r="M46" s="1240"/>
      <c r="N46" s="1240"/>
      <c r="O46" s="1244"/>
    </row>
    <row r="47" spans="2:15" ht="15.75" thickBot="1" x14ac:dyDescent="0.3">
      <c r="B47" s="1276"/>
      <c r="C47" s="1285"/>
      <c r="D47" s="1287"/>
      <c r="E47" s="1289"/>
      <c r="F47" s="1264"/>
      <c r="G47" s="1264"/>
      <c r="H47" s="1264"/>
      <c r="I47" s="1250"/>
      <c r="J47" s="1250"/>
      <c r="K47" s="1254"/>
      <c r="L47" s="1241"/>
      <c r="M47" s="1241"/>
      <c r="N47" s="1241"/>
      <c r="O47" s="1245"/>
    </row>
    <row r="48" spans="2:15" s="37" customFormat="1" ht="15.75" thickBot="1" x14ac:dyDescent="0.3">
      <c r="B48" s="35"/>
      <c r="C48" s="35"/>
      <c r="D48" s="35"/>
      <c r="E48" s="35"/>
    </row>
    <row r="49" spans="2:15" x14ac:dyDescent="0.25">
      <c r="B49" s="1266" t="s">
        <v>9</v>
      </c>
      <c r="C49" s="215" t="s">
        <v>105</v>
      </c>
      <c r="D49" s="1268" t="s">
        <v>154</v>
      </c>
      <c r="E49" s="350" t="s">
        <v>184</v>
      </c>
      <c r="F49" s="334">
        <f>+'MATRIZ ABC'!M55</f>
        <v>2222.2222222222222</v>
      </c>
      <c r="G49" s="1309">
        <f>SUM(F49+F50)</f>
        <v>2973.6786265432102</v>
      </c>
      <c r="H49" s="1309">
        <f>SUM(G49+G59)</f>
        <v>2975.9355709876545</v>
      </c>
      <c r="I49" s="335">
        <f>+'MATRIZ ABC'!T55</f>
        <v>2760.6448806666663</v>
      </c>
      <c r="J49" s="1313">
        <f>SUM(I49+I50)</f>
        <v>77758.164138777764</v>
      </c>
      <c r="K49" s="1296">
        <f>SUM(J49+J59)</f>
        <v>82819.346419999987</v>
      </c>
      <c r="L49" s="351">
        <f>+'MATRIZ ABC'!AW55</f>
        <v>19741.263888888891</v>
      </c>
      <c r="M49" s="1302">
        <f>SUM(L49+L50)</f>
        <v>48269.489197530864</v>
      </c>
      <c r="N49" s="1302">
        <f>SUM(M49+M59)</f>
        <v>49516.982253086418</v>
      </c>
      <c r="O49" s="1303">
        <f>+N49+K49+H49</f>
        <v>135312.26424407406</v>
      </c>
    </row>
    <row r="50" spans="2:15" x14ac:dyDescent="0.25">
      <c r="B50" s="1267"/>
      <c r="C50" s="1269" t="s">
        <v>105</v>
      </c>
      <c r="D50" s="1269"/>
      <c r="E50" s="1270" t="s">
        <v>185</v>
      </c>
      <c r="F50" s="1306">
        <f>SUM('MATRIZ ABC'!M56:M64)</f>
        <v>751.45640432098776</v>
      </c>
      <c r="G50" s="1307"/>
      <c r="H50" s="1307"/>
      <c r="I50" s="1310">
        <f>SUM('MATRIZ ABC'!T56:T64)</f>
        <v>74997.519258111104</v>
      </c>
      <c r="J50" s="1311"/>
      <c r="K50" s="1297"/>
      <c r="L50" s="1299">
        <f>SUM('MATRIZ ABC'!AW56:AW64)</f>
        <v>28528.225308641973</v>
      </c>
      <c r="M50" s="1300"/>
      <c r="N50" s="1300"/>
      <c r="O50" s="1304"/>
    </row>
    <row r="51" spans="2:15" x14ac:dyDescent="0.25">
      <c r="B51" s="1267"/>
      <c r="C51" s="1269"/>
      <c r="D51" s="1269"/>
      <c r="E51" s="1271"/>
      <c r="F51" s="1307"/>
      <c r="G51" s="1307"/>
      <c r="H51" s="1307"/>
      <c r="I51" s="1311"/>
      <c r="J51" s="1311"/>
      <c r="K51" s="1297"/>
      <c r="L51" s="1300"/>
      <c r="M51" s="1300"/>
      <c r="N51" s="1300"/>
      <c r="O51" s="1304"/>
    </row>
    <row r="52" spans="2:15" x14ac:dyDescent="0.25">
      <c r="B52" s="1267"/>
      <c r="C52" s="1269"/>
      <c r="D52" s="1269"/>
      <c r="E52" s="1271"/>
      <c r="F52" s="1307"/>
      <c r="G52" s="1307"/>
      <c r="H52" s="1307"/>
      <c r="I52" s="1311"/>
      <c r="J52" s="1311"/>
      <c r="K52" s="1297"/>
      <c r="L52" s="1300"/>
      <c r="M52" s="1300"/>
      <c r="N52" s="1300"/>
      <c r="O52" s="1304"/>
    </row>
    <row r="53" spans="2:15" x14ac:dyDescent="0.25">
      <c r="B53" s="1267"/>
      <c r="C53" s="1269"/>
      <c r="D53" s="1269"/>
      <c r="E53" s="1271"/>
      <c r="F53" s="1307"/>
      <c r="G53" s="1307"/>
      <c r="H53" s="1307"/>
      <c r="I53" s="1311"/>
      <c r="J53" s="1311"/>
      <c r="K53" s="1297"/>
      <c r="L53" s="1300"/>
      <c r="M53" s="1300"/>
      <c r="N53" s="1300"/>
      <c r="O53" s="1304"/>
    </row>
    <row r="54" spans="2:15" x14ac:dyDescent="0.25">
      <c r="B54" s="1267"/>
      <c r="C54" s="1269"/>
      <c r="D54" s="1269"/>
      <c r="E54" s="1271"/>
      <c r="F54" s="1307"/>
      <c r="G54" s="1307"/>
      <c r="H54" s="1307"/>
      <c r="I54" s="1311"/>
      <c r="J54" s="1311"/>
      <c r="K54" s="1297"/>
      <c r="L54" s="1300"/>
      <c r="M54" s="1300"/>
      <c r="N54" s="1300"/>
      <c r="O54" s="1304"/>
    </row>
    <row r="55" spans="2:15" x14ac:dyDescent="0.25">
      <c r="B55" s="1267"/>
      <c r="C55" s="1269"/>
      <c r="D55" s="1269"/>
      <c r="E55" s="1271"/>
      <c r="F55" s="1307"/>
      <c r="G55" s="1307"/>
      <c r="H55" s="1307"/>
      <c r="I55" s="1311"/>
      <c r="J55" s="1311"/>
      <c r="K55" s="1297"/>
      <c r="L55" s="1300"/>
      <c r="M55" s="1300"/>
      <c r="N55" s="1300"/>
      <c r="O55" s="1304"/>
    </row>
    <row r="56" spans="2:15" x14ac:dyDescent="0.25">
      <c r="B56" s="1267"/>
      <c r="C56" s="1269"/>
      <c r="D56" s="1269"/>
      <c r="E56" s="1271"/>
      <c r="F56" s="1307"/>
      <c r="G56" s="1307"/>
      <c r="H56" s="1307"/>
      <c r="I56" s="1311"/>
      <c r="J56" s="1311"/>
      <c r="K56" s="1297"/>
      <c r="L56" s="1300"/>
      <c r="M56" s="1300"/>
      <c r="N56" s="1300"/>
      <c r="O56" s="1304"/>
    </row>
    <row r="57" spans="2:15" x14ac:dyDescent="0.25">
      <c r="B57" s="1267"/>
      <c r="C57" s="1269"/>
      <c r="D57" s="1269"/>
      <c r="E57" s="1271"/>
      <c r="F57" s="1307"/>
      <c r="G57" s="1307"/>
      <c r="H57" s="1307"/>
      <c r="I57" s="1311"/>
      <c r="J57" s="1311"/>
      <c r="K57" s="1297"/>
      <c r="L57" s="1300"/>
      <c r="M57" s="1300"/>
      <c r="N57" s="1300"/>
      <c r="O57" s="1304"/>
    </row>
    <row r="58" spans="2:15" x14ac:dyDescent="0.25">
      <c r="B58" s="1267"/>
      <c r="C58" s="1269"/>
      <c r="D58" s="1269"/>
      <c r="E58" s="1272"/>
      <c r="F58" s="1308"/>
      <c r="G58" s="1308"/>
      <c r="H58" s="1307"/>
      <c r="I58" s="1312"/>
      <c r="J58" s="1312"/>
      <c r="K58" s="1297"/>
      <c r="L58" s="1301"/>
      <c r="M58" s="1301"/>
      <c r="N58" s="1300"/>
      <c r="O58" s="1304"/>
    </row>
    <row r="59" spans="2:15" ht="30" x14ac:dyDescent="0.25">
      <c r="B59" s="1267"/>
      <c r="C59" s="213" t="s">
        <v>105</v>
      </c>
      <c r="D59" s="213" t="s">
        <v>155</v>
      </c>
      <c r="E59" s="100" t="s">
        <v>186</v>
      </c>
      <c r="F59" s="153">
        <f>+'MATRIZ ABC'!M65</f>
        <v>2.2569444444444446</v>
      </c>
      <c r="G59" s="153">
        <f>+F59</f>
        <v>2.2569444444444446</v>
      </c>
      <c r="H59" s="1308"/>
      <c r="I59" s="154">
        <f>+'MATRIZ ABC'!T65</f>
        <v>5061.1822812222217</v>
      </c>
      <c r="J59" s="154">
        <f>+I59</f>
        <v>5061.1822812222217</v>
      </c>
      <c r="K59" s="1298"/>
      <c r="L59" s="352">
        <f>SUM('MATRIZ ABC'!AW65)</f>
        <v>1247.4930555555554</v>
      </c>
      <c r="M59" s="352">
        <f>+L59</f>
        <v>1247.4930555555554</v>
      </c>
      <c r="N59" s="1301"/>
      <c r="O59" s="1305"/>
    </row>
    <row r="60" spans="2:15" x14ac:dyDescent="0.25">
      <c r="B60" s="1226" t="s">
        <v>256</v>
      </c>
      <c r="C60" s="1227"/>
      <c r="D60" s="1227"/>
      <c r="E60" s="1227"/>
      <c r="F60" s="1230">
        <f>+SUM(F16:F59)</f>
        <v>34277.311620462955</v>
      </c>
      <c r="G60" s="1230">
        <f t="shared" ref="G60:N60" si="0">+SUM(G16:G59)</f>
        <v>34277.311620462962</v>
      </c>
      <c r="H60" s="1230">
        <f t="shared" si="0"/>
        <v>34277.311620462962</v>
      </c>
      <c r="I60" s="1232">
        <f t="shared" si="0"/>
        <v>215111.26799416664</v>
      </c>
      <c r="J60" s="1232">
        <f t="shared" si="0"/>
        <v>215111.26799416664</v>
      </c>
      <c r="K60" s="1232">
        <f t="shared" si="0"/>
        <v>215111.26799416667</v>
      </c>
      <c r="L60" s="1234">
        <f t="shared" si="0"/>
        <v>97388.271219135815</v>
      </c>
      <c r="M60" s="1234">
        <f t="shared" si="0"/>
        <v>97388.271219135815</v>
      </c>
      <c r="N60" s="1234">
        <f t="shared" si="0"/>
        <v>97388.2712191358</v>
      </c>
      <c r="O60" s="1236">
        <f>+SUM(O16:O59)</f>
        <v>346776.85083376546</v>
      </c>
    </row>
    <row r="61" spans="2:15" ht="15.75" thickBot="1" x14ac:dyDescent="0.3">
      <c r="B61" s="1228"/>
      <c r="C61" s="1229"/>
      <c r="D61" s="1229"/>
      <c r="E61" s="1229"/>
      <c r="F61" s="1231"/>
      <c r="G61" s="1231"/>
      <c r="H61" s="1231"/>
      <c r="I61" s="1233"/>
      <c r="J61" s="1233"/>
      <c r="K61" s="1233"/>
      <c r="L61" s="1235"/>
      <c r="M61" s="1235"/>
      <c r="N61" s="1235"/>
      <c r="O61" s="1237"/>
    </row>
    <row r="62" spans="2:15" x14ac:dyDescent="0.25"/>
    <row r="63" spans="2:15" x14ac:dyDescent="0.25"/>
    <row r="64" spans="2:15" x14ac:dyDescent="0.25"/>
    <row r="67" spans="9:9" hidden="1" x14ac:dyDescent="0.25">
      <c r="I67" s="348"/>
    </row>
  </sheetData>
  <mergeCells count="84">
    <mergeCell ref="B9:O9"/>
    <mergeCell ref="B7:O7"/>
    <mergeCell ref="B8:O8"/>
    <mergeCell ref="K49:K59"/>
    <mergeCell ref="L50:L58"/>
    <mergeCell ref="M49:M58"/>
    <mergeCell ref="N49:N59"/>
    <mergeCell ref="O49:O59"/>
    <mergeCell ref="F50:F58"/>
    <mergeCell ref="G49:G58"/>
    <mergeCell ref="H49:H59"/>
    <mergeCell ref="I50:I58"/>
    <mergeCell ref="J49:J58"/>
    <mergeCell ref="C18:C29"/>
    <mergeCell ref="D18:D29"/>
    <mergeCell ref="E18:E21"/>
    <mergeCell ref="C16:C17"/>
    <mergeCell ref="E22:E25"/>
    <mergeCell ref="E26:E29"/>
    <mergeCell ref="H16:H29"/>
    <mergeCell ref="F18:F21"/>
    <mergeCell ref="G18:G29"/>
    <mergeCell ref="F22:F25"/>
    <mergeCell ref="F26:F29"/>
    <mergeCell ref="B49:B59"/>
    <mergeCell ref="D49:D58"/>
    <mergeCell ref="C50:C58"/>
    <mergeCell ref="E50:E58"/>
    <mergeCell ref="G16:G17"/>
    <mergeCell ref="B31:B47"/>
    <mergeCell ref="D31:D40"/>
    <mergeCell ref="C32:C38"/>
    <mergeCell ref="E32:E38"/>
    <mergeCell ref="C39:C40"/>
    <mergeCell ref="E39:E40"/>
    <mergeCell ref="C41:C47"/>
    <mergeCell ref="D41:D47"/>
    <mergeCell ref="E41:E47"/>
    <mergeCell ref="B16:B29"/>
    <mergeCell ref="D16:D17"/>
    <mergeCell ref="G31:G40"/>
    <mergeCell ref="H31:H47"/>
    <mergeCell ref="F32:F38"/>
    <mergeCell ref="F39:F40"/>
    <mergeCell ref="F41:F47"/>
    <mergeCell ref="G41:G47"/>
    <mergeCell ref="K16:K29"/>
    <mergeCell ref="N16:N29"/>
    <mergeCell ref="I18:I21"/>
    <mergeCell ref="I22:I25"/>
    <mergeCell ref="J16:J17"/>
    <mergeCell ref="I26:I29"/>
    <mergeCell ref="J18:J29"/>
    <mergeCell ref="M16:M17"/>
    <mergeCell ref="L18:L21"/>
    <mergeCell ref="L22:L25"/>
    <mergeCell ref="L26:L29"/>
    <mergeCell ref="M18:M29"/>
    <mergeCell ref="L32:L38"/>
    <mergeCell ref="L39:L40"/>
    <mergeCell ref="L41:L47"/>
    <mergeCell ref="I32:I38"/>
    <mergeCell ref="M31:M40"/>
    <mergeCell ref="I39:I40"/>
    <mergeCell ref="I41:I47"/>
    <mergeCell ref="J31:J40"/>
    <mergeCell ref="J41:J47"/>
    <mergeCell ref="K31:K47"/>
    <mergeCell ref="B13:O14"/>
    <mergeCell ref="B60:E61"/>
    <mergeCell ref="F60:F61"/>
    <mergeCell ref="G60:G61"/>
    <mergeCell ref="H60:H61"/>
    <mergeCell ref="I60:I61"/>
    <mergeCell ref="J60:J61"/>
    <mergeCell ref="K60:K61"/>
    <mergeCell ref="L60:L61"/>
    <mergeCell ref="M60:M61"/>
    <mergeCell ref="N60:N61"/>
    <mergeCell ref="O60:O61"/>
    <mergeCell ref="O16:O29"/>
    <mergeCell ref="M41:M47"/>
    <mergeCell ref="N31:N47"/>
    <mergeCell ref="O31:O47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22EA-74B3-4278-9FDB-5D6A8A19B923}">
  <dimension ref="A1:Q68"/>
  <sheetViews>
    <sheetView topLeftCell="I1" zoomScale="80" zoomScaleNormal="80" workbookViewId="0">
      <selection activeCell="P44" sqref="P1:XFD1048576"/>
    </sheetView>
  </sheetViews>
  <sheetFormatPr baseColWidth="10" defaultColWidth="0" defaultRowHeight="15" zeroHeight="1" x14ac:dyDescent="0.25"/>
  <cols>
    <col min="1" max="2" width="17.28515625" style="37" customWidth="1"/>
    <col min="3" max="13" width="17.28515625" style="147" customWidth="1"/>
    <col min="14" max="14" width="11.42578125" style="37" customWidth="1"/>
    <col min="15" max="15" width="13.140625" style="37" bestFit="1" customWidth="1"/>
    <col min="16" max="17" width="0" style="37" hidden="1"/>
    <col min="18" max="16384" width="11.42578125" hidden="1"/>
  </cols>
  <sheetData>
    <row r="1" spans="1:17" x14ac:dyDescent="0.25"/>
    <row r="2" spans="1:17" x14ac:dyDescent="0.25"/>
    <row r="3" spans="1:17" x14ac:dyDescent="0.25"/>
    <row r="4" spans="1:17" x14ac:dyDescent="0.25"/>
    <row r="5" spans="1:17" x14ac:dyDescent="0.25"/>
    <row r="6" spans="1:17" x14ac:dyDescent="0.25"/>
    <row r="7" spans="1:17" s="389" customFormat="1" ht="23.25" x14ac:dyDescent="0.35">
      <c r="A7" s="388"/>
      <c r="B7" s="1373" t="s">
        <v>71</v>
      </c>
      <c r="C7" s="1373"/>
      <c r="D7" s="1373"/>
      <c r="E7" s="1373"/>
      <c r="F7" s="1373"/>
      <c r="G7" s="1373"/>
      <c r="H7" s="1373"/>
      <c r="I7" s="1373"/>
      <c r="J7" s="1373"/>
      <c r="K7" s="1373"/>
      <c r="L7" s="1373"/>
      <c r="M7" s="1373"/>
      <c r="N7" s="388"/>
      <c r="O7" s="388"/>
      <c r="P7" s="388"/>
      <c r="Q7" s="388"/>
    </row>
    <row r="8" spans="1:17" s="389" customFormat="1" ht="23.25" x14ac:dyDescent="0.35">
      <c r="A8" s="388"/>
      <c r="B8" s="1373" t="s">
        <v>580</v>
      </c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388"/>
      <c r="O8" s="388"/>
      <c r="P8" s="388"/>
      <c r="Q8" s="388"/>
    </row>
    <row r="9" spans="1:17" s="389" customFormat="1" ht="23.25" x14ac:dyDescent="0.35">
      <c r="A9" s="388"/>
      <c r="B9" s="1373" t="s">
        <v>582</v>
      </c>
      <c r="C9" s="1373"/>
      <c r="D9" s="1373"/>
      <c r="E9" s="1373"/>
      <c r="F9" s="1373"/>
      <c r="G9" s="1373"/>
      <c r="H9" s="1373"/>
      <c r="I9" s="1373"/>
      <c r="J9" s="1373"/>
      <c r="K9" s="1373"/>
      <c r="L9" s="1373"/>
      <c r="M9" s="1373"/>
      <c r="N9" s="388"/>
      <c r="O9" s="388"/>
      <c r="P9" s="388"/>
      <c r="Q9" s="388"/>
    </row>
    <row r="10" spans="1:17" x14ac:dyDescent="0.25"/>
    <row r="11" spans="1:17" x14ac:dyDescent="0.25"/>
    <row r="12" spans="1:17" ht="15.75" thickBot="1" x14ac:dyDescent="0.3"/>
    <row r="13" spans="1:17" x14ac:dyDescent="0.25">
      <c r="B13" s="1220" t="s">
        <v>382</v>
      </c>
      <c r="C13" s="1221"/>
      <c r="D13" s="1221"/>
      <c r="E13" s="1221"/>
      <c r="F13" s="1221"/>
      <c r="G13" s="1221"/>
      <c r="H13" s="1221"/>
      <c r="I13" s="1221"/>
      <c r="J13" s="1221"/>
      <c r="K13" s="1221"/>
      <c r="L13" s="1221"/>
      <c r="M13" s="1222"/>
    </row>
    <row r="14" spans="1:17" ht="36.75" customHeight="1" thickBot="1" x14ac:dyDescent="0.3">
      <c r="B14" s="1374"/>
      <c r="C14" s="1375"/>
      <c r="D14" s="1375"/>
      <c r="E14" s="1375"/>
      <c r="F14" s="1375"/>
      <c r="G14" s="1375"/>
      <c r="H14" s="1375"/>
      <c r="I14" s="1375"/>
      <c r="J14" s="1375"/>
      <c r="K14" s="1375"/>
      <c r="L14" s="1375"/>
      <c r="M14" s="1376"/>
    </row>
    <row r="15" spans="1:17" ht="60" x14ac:dyDescent="0.25">
      <c r="B15" s="366" t="s">
        <v>1</v>
      </c>
      <c r="C15" s="367" t="s">
        <v>96</v>
      </c>
      <c r="D15" s="215" t="s">
        <v>375</v>
      </c>
      <c r="E15" s="350" t="s">
        <v>376</v>
      </c>
      <c r="F15" s="370" t="s">
        <v>322</v>
      </c>
      <c r="G15" s="350" t="s">
        <v>377</v>
      </c>
      <c r="H15" s="371" t="s">
        <v>379</v>
      </c>
      <c r="I15" s="372" t="s">
        <v>322</v>
      </c>
      <c r="J15" s="372" t="s">
        <v>378</v>
      </c>
      <c r="K15" s="383" t="s">
        <v>630</v>
      </c>
      <c r="L15" s="383" t="s">
        <v>245</v>
      </c>
      <c r="M15" s="384" t="s">
        <v>629</v>
      </c>
    </row>
    <row r="16" spans="1:17" ht="15" customHeight="1" x14ac:dyDescent="0.25">
      <c r="B16" s="1290" t="s">
        <v>0</v>
      </c>
      <c r="C16" s="1269" t="s">
        <v>97</v>
      </c>
      <c r="D16" s="216" t="s">
        <v>176</v>
      </c>
      <c r="E16" s="214">
        <f>+' R. MATRIZ DIARIA '!F16</f>
        <v>1.1072530864197532</v>
      </c>
      <c r="F16" s="222">
        <v>30</v>
      </c>
      <c r="G16" s="214">
        <f>+E16*F16</f>
        <v>33.217592592592595</v>
      </c>
      <c r="H16" s="218">
        <f>+' R. MATRIZ DIARIA '!I16</f>
        <v>6327.1666666666679</v>
      </c>
      <c r="I16" s="223">
        <v>30</v>
      </c>
      <c r="J16" s="218">
        <f>+H16*I16</f>
        <v>189815.00000000003</v>
      </c>
      <c r="K16" s="355">
        <f>+' R. MATRIZ DIARIA '!L16</f>
        <v>304.16666666666663</v>
      </c>
      <c r="L16" s="380">
        <v>30</v>
      </c>
      <c r="M16" s="385">
        <f>+L16*K16</f>
        <v>9124.9999999999982</v>
      </c>
    </row>
    <row r="17" spans="2:13" ht="15" customHeight="1" x14ac:dyDescent="0.25">
      <c r="B17" s="1290"/>
      <c r="C17" s="1269"/>
      <c r="D17" s="216" t="s">
        <v>177</v>
      </c>
      <c r="E17" s="214">
        <f>+' R. MATRIZ DIARIA '!F17</f>
        <v>4.5138888888888888E-2</v>
      </c>
      <c r="F17" s="222">
        <v>30</v>
      </c>
      <c r="G17" s="214">
        <f>+E17*F17</f>
        <v>1.3541666666666667</v>
      </c>
      <c r="H17" s="218">
        <f>+' R. MATRIZ DIARIA '!I17</f>
        <v>4218.1111111111122</v>
      </c>
      <c r="I17" s="223">
        <v>30</v>
      </c>
      <c r="J17" s="218">
        <f>+H17*I17</f>
        <v>126543.33333333337</v>
      </c>
      <c r="K17" s="355">
        <f>+' R. MATRIZ DIARIA '!L17</f>
        <v>394.3287037037037</v>
      </c>
      <c r="L17" s="380">
        <v>30</v>
      </c>
      <c r="M17" s="385">
        <f>+L17*K17</f>
        <v>11829.861111111111</v>
      </c>
    </row>
    <row r="18" spans="2:13" x14ac:dyDescent="0.25">
      <c r="B18" s="1290"/>
      <c r="C18" s="1269" t="s">
        <v>158</v>
      </c>
      <c r="D18" s="1292" t="s">
        <v>178</v>
      </c>
      <c r="E18" s="1265">
        <f>+' R. MATRIZ DIARIA '!F18:F21</f>
        <v>129.89004629629628</v>
      </c>
      <c r="F18" s="1370">
        <v>30</v>
      </c>
      <c r="G18" s="1346">
        <f>+E18*F18</f>
        <v>3896.7013888888882</v>
      </c>
      <c r="H18" s="1249">
        <f>+' R. MATRIZ DIARIA '!I18:I21</f>
        <v>74871.472222222234</v>
      </c>
      <c r="I18" s="1334">
        <v>30</v>
      </c>
      <c r="J18" s="1249">
        <f>+I18*H18</f>
        <v>2246144.166666667</v>
      </c>
      <c r="K18" s="1239">
        <f>+' R. MATRIZ DIARIA '!L18:L21</f>
        <v>8218.5050154320979</v>
      </c>
      <c r="L18" s="1330">
        <v>30</v>
      </c>
      <c r="M18" s="1359">
        <f>+L18*K18</f>
        <v>246555.15046296295</v>
      </c>
    </row>
    <row r="19" spans="2:13" x14ac:dyDescent="0.25">
      <c r="B19" s="1290"/>
      <c r="C19" s="1269"/>
      <c r="D19" s="1314"/>
      <c r="E19" s="1262"/>
      <c r="F19" s="1350"/>
      <c r="G19" s="1347"/>
      <c r="H19" s="1247"/>
      <c r="I19" s="1335"/>
      <c r="J19" s="1247"/>
      <c r="K19" s="1240"/>
      <c r="L19" s="1364"/>
      <c r="M19" s="1353"/>
    </row>
    <row r="20" spans="2:13" x14ac:dyDescent="0.25">
      <c r="B20" s="1290"/>
      <c r="C20" s="1269"/>
      <c r="D20" s="1314"/>
      <c r="E20" s="1262"/>
      <c r="F20" s="1350"/>
      <c r="G20" s="1347"/>
      <c r="H20" s="1247"/>
      <c r="I20" s="1335"/>
      <c r="J20" s="1247"/>
      <c r="K20" s="1240"/>
      <c r="L20" s="1364"/>
      <c r="M20" s="1353"/>
    </row>
    <row r="21" spans="2:13" x14ac:dyDescent="0.25">
      <c r="B21" s="1290"/>
      <c r="C21" s="1269"/>
      <c r="D21" s="1293"/>
      <c r="E21" s="1263"/>
      <c r="F21" s="1371"/>
      <c r="G21" s="1348"/>
      <c r="H21" s="1248"/>
      <c r="I21" s="1336"/>
      <c r="J21" s="1248"/>
      <c r="K21" s="1246"/>
      <c r="L21" s="1331"/>
      <c r="M21" s="1360"/>
    </row>
    <row r="22" spans="2:13" x14ac:dyDescent="0.25">
      <c r="B22" s="1290"/>
      <c r="C22" s="1269"/>
      <c r="D22" s="1269" t="s">
        <v>179</v>
      </c>
      <c r="E22" s="1273">
        <f>+' R. MATRIZ DIARIA '!F22:F25</f>
        <v>92.660108024691354</v>
      </c>
      <c r="F22" s="1345">
        <v>30</v>
      </c>
      <c r="G22" s="1346">
        <f>+E22*F22</f>
        <v>2779.8032407407404</v>
      </c>
      <c r="H22" s="1249">
        <f>+' R. MATRIZ DIARIA '!I22:I25</f>
        <v>12654.333333333336</v>
      </c>
      <c r="I22" s="1349">
        <v>30</v>
      </c>
      <c r="J22" s="1259">
        <f>+I22*H22</f>
        <v>379630.00000000006</v>
      </c>
      <c r="K22" s="1239">
        <f>+' R. MATRIZ DIARIA '!L22:L25</f>
        <v>6829.8148148148148</v>
      </c>
      <c r="L22" s="1358">
        <v>30</v>
      </c>
      <c r="M22" s="1359">
        <f>+L22*K22</f>
        <v>204894.44444444444</v>
      </c>
    </row>
    <row r="23" spans="2:13" x14ac:dyDescent="0.25">
      <c r="B23" s="1290"/>
      <c r="C23" s="1269"/>
      <c r="D23" s="1269"/>
      <c r="E23" s="1273"/>
      <c r="F23" s="1345"/>
      <c r="G23" s="1347"/>
      <c r="H23" s="1247"/>
      <c r="I23" s="1349"/>
      <c r="J23" s="1259"/>
      <c r="K23" s="1240"/>
      <c r="L23" s="1358"/>
      <c r="M23" s="1353"/>
    </row>
    <row r="24" spans="2:13" x14ac:dyDescent="0.25">
      <c r="B24" s="1290"/>
      <c r="C24" s="1269"/>
      <c r="D24" s="1269"/>
      <c r="E24" s="1273"/>
      <c r="F24" s="1345"/>
      <c r="G24" s="1347"/>
      <c r="H24" s="1247"/>
      <c r="I24" s="1349"/>
      <c r="J24" s="1259"/>
      <c r="K24" s="1240"/>
      <c r="L24" s="1358"/>
      <c r="M24" s="1353"/>
    </row>
    <row r="25" spans="2:13" x14ac:dyDescent="0.25">
      <c r="B25" s="1290"/>
      <c r="C25" s="1269"/>
      <c r="D25" s="1269"/>
      <c r="E25" s="1273"/>
      <c r="F25" s="1345"/>
      <c r="G25" s="1348"/>
      <c r="H25" s="1248"/>
      <c r="I25" s="1349"/>
      <c r="J25" s="1259"/>
      <c r="K25" s="1246"/>
      <c r="L25" s="1358"/>
      <c r="M25" s="1360"/>
    </row>
    <row r="26" spans="2:13" x14ac:dyDescent="0.25">
      <c r="B26" s="1290"/>
      <c r="C26" s="1269"/>
      <c r="D26" s="1269" t="s">
        <v>381</v>
      </c>
      <c r="E26" s="1262">
        <f>+' R. MATRIZ DIARIA '!F26:F29</f>
        <v>20.418595679012345</v>
      </c>
      <c r="F26" s="1350">
        <v>30</v>
      </c>
      <c r="G26" s="1346">
        <f>+E26*F26</f>
        <v>612.55787037037032</v>
      </c>
      <c r="H26" s="1249">
        <f>+' R. MATRIZ DIARIA '!I26:I29</f>
        <v>3163.5833333333339</v>
      </c>
      <c r="I26" s="1335">
        <v>30</v>
      </c>
      <c r="J26" s="1247">
        <f>+I26*H26</f>
        <v>94907.500000000015</v>
      </c>
      <c r="K26" s="1239">
        <f>+' R. MATRIZ DIARIA '!L26:L29</f>
        <v>8120.4841820987649</v>
      </c>
      <c r="L26" s="1364">
        <v>30</v>
      </c>
      <c r="M26" s="1353">
        <f>+K26*L26</f>
        <v>243614.52546296295</v>
      </c>
    </row>
    <row r="27" spans="2:13" x14ac:dyDescent="0.25">
      <c r="B27" s="1290"/>
      <c r="C27" s="1269"/>
      <c r="D27" s="1269"/>
      <c r="E27" s="1262"/>
      <c r="F27" s="1350"/>
      <c r="G27" s="1347"/>
      <c r="H27" s="1247"/>
      <c r="I27" s="1335"/>
      <c r="J27" s="1247"/>
      <c r="K27" s="1240"/>
      <c r="L27" s="1364"/>
      <c r="M27" s="1353"/>
    </row>
    <row r="28" spans="2:13" x14ac:dyDescent="0.25">
      <c r="B28" s="1290"/>
      <c r="C28" s="1269"/>
      <c r="D28" s="1269"/>
      <c r="E28" s="1262"/>
      <c r="F28" s="1350"/>
      <c r="G28" s="1347"/>
      <c r="H28" s="1247"/>
      <c r="I28" s="1335"/>
      <c r="J28" s="1247"/>
      <c r="K28" s="1240"/>
      <c r="L28" s="1364"/>
      <c r="M28" s="1353"/>
    </row>
    <row r="29" spans="2:13" ht="15.75" thickBot="1" x14ac:dyDescent="0.3">
      <c r="B29" s="1291"/>
      <c r="C29" s="1316"/>
      <c r="D29" s="1316"/>
      <c r="E29" s="1264"/>
      <c r="F29" s="1351"/>
      <c r="G29" s="1352"/>
      <c r="H29" s="1250"/>
      <c r="I29" s="1344"/>
      <c r="J29" s="1250"/>
      <c r="K29" s="1241"/>
      <c r="L29" s="1365"/>
      <c r="M29" s="1354"/>
    </row>
    <row r="30" spans="2:13" s="37" customFormat="1" ht="15.75" thickBot="1" x14ac:dyDescent="0.3">
      <c r="B30" s="35"/>
      <c r="C30" s="35"/>
      <c r="D30" s="35"/>
      <c r="E30" s="147"/>
      <c r="F30" s="147"/>
      <c r="G30" s="147"/>
      <c r="H30" s="147"/>
      <c r="I30" s="361"/>
      <c r="J30" s="147"/>
      <c r="K30" s="147"/>
      <c r="L30" s="362"/>
      <c r="M30" s="147"/>
    </row>
    <row r="31" spans="2:13" x14ac:dyDescent="0.25">
      <c r="B31" s="1274" t="s">
        <v>4</v>
      </c>
      <c r="C31" s="1366" t="s">
        <v>156</v>
      </c>
      <c r="D31" s="215" t="s">
        <v>180</v>
      </c>
      <c r="E31" s="336">
        <f>+' R. MATRIZ DIARIA '!F31</f>
        <v>2300.537400555555</v>
      </c>
      <c r="F31" s="369">
        <v>30</v>
      </c>
      <c r="G31" s="336">
        <f>+E31*F31</f>
        <v>69016.122016666646</v>
      </c>
      <c r="H31" s="373">
        <f>+' R. MATRIZ DIARIA '!I31</f>
        <v>2300.537400555555</v>
      </c>
      <c r="I31" s="374">
        <v>30</v>
      </c>
      <c r="J31" s="373">
        <f>+I31*H31</f>
        <v>69016.122016666646</v>
      </c>
      <c r="K31" s="353">
        <f>+' R. MATRIZ DIARIA '!L31</f>
        <v>424.91030092592598</v>
      </c>
      <c r="L31" s="377">
        <v>30</v>
      </c>
      <c r="M31" s="382">
        <f>+L31*K31</f>
        <v>12747.309027777779</v>
      </c>
    </row>
    <row r="32" spans="2:13" x14ac:dyDescent="0.25">
      <c r="B32" s="1275"/>
      <c r="C32" s="1324"/>
      <c r="D32" s="1323" t="s">
        <v>181</v>
      </c>
      <c r="E32" s="1265">
        <f>+' R. MATRIZ DIARIA '!F32:F38</f>
        <v>17254.030504166665</v>
      </c>
      <c r="F32" s="1370">
        <v>30</v>
      </c>
      <c r="G32" s="1265">
        <f>+E32*F32</f>
        <v>517620.91512499994</v>
      </c>
      <c r="H32" s="1249">
        <f>+' R. MATRIZ DIARIA '!I32:I38</f>
        <v>17254.030504166665</v>
      </c>
      <c r="I32" s="1334">
        <v>30</v>
      </c>
      <c r="J32" s="1249">
        <f>+I32*H32</f>
        <v>517620.91512499994</v>
      </c>
      <c r="K32" s="1239">
        <f>+' R. MATRIZ DIARIA '!L32:L38</f>
        <v>2404.5353009259256</v>
      </c>
      <c r="L32" s="1330">
        <v>30</v>
      </c>
      <c r="M32" s="1359">
        <f>+L32*K32</f>
        <v>72136.059027777766</v>
      </c>
    </row>
    <row r="33" spans="2:13" x14ac:dyDescent="0.25">
      <c r="B33" s="1275"/>
      <c r="C33" s="1324"/>
      <c r="D33" s="1324"/>
      <c r="E33" s="1262"/>
      <c r="F33" s="1350"/>
      <c r="G33" s="1262"/>
      <c r="H33" s="1247"/>
      <c r="I33" s="1335"/>
      <c r="J33" s="1247"/>
      <c r="K33" s="1240"/>
      <c r="L33" s="1364"/>
      <c r="M33" s="1353"/>
    </row>
    <row r="34" spans="2:13" x14ac:dyDescent="0.25">
      <c r="B34" s="1275"/>
      <c r="C34" s="1324"/>
      <c r="D34" s="1324"/>
      <c r="E34" s="1262"/>
      <c r="F34" s="1350"/>
      <c r="G34" s="1262"/>
      <c r="H34" s="1247"/>
      <c r="I34" s="1335"/>
      <c r="J34" s="1247"/>
      <c r="K34" s="1240"/>
      <c r="L34" s="1364"/>
      <c r="M34" s="1353"/>
    </row>
    <row r="35" spans="2:13" x14ac:dyDescent="0.25">
      <c r="B35" s="1275"/>
      <c r="C35" s="1324"/>
      <c r="D35" s="1324"/>
      <c r="E35" s="1262"/>
      <c r="F35" s="1350"/>
      <c r="G35" s="1262"/>
      <c r="H35" s="1247"/>
      <c r="I35" s="1335"/>
      <c r="J35" s="1247"/>
      <c r="K35" s="1240"/>
      <c r="L35" s="1364"/>
      <c r="M35" s="1353"/>
    </row>
    <row r="36" spans="2:13" x14ac:dyDescent="0.25">
      <c r="B36" s="1275"/>
      <c r="C36" s="1324"/>
      <c r="D36" s="1324"/>
      <c r="E36" s="1262"/>
      <c r="F36" s="1350"/>
      <c r="G36" s="1262"/>
      <c r="H36" s="1247"/>
      <c r="I36" s="1335"/>
      <c r="J36" s="1247"/>
      <c r="K36" s="1240"/>
      <c r="L36" s="1364"/>
      <c r="M36" s="1353"/>
    </row>
    <row r="37" spans="2:13" x14ac:dyDescent="0.25">
      <c r="B37" s="1275"/>
      <c r="C37" s="1324"/>
      <c r="D37" s="1324"/>
      <c r="E37" s="1262"/>
      <c r="F37" s="1350"/>
      <c r="G37" s="1262"/>
      <c r="H37" s="1247"/>
      <c r="I37" s="1335"/>
      <c r="J37" s="1247"/>
      <c r="K37" s="1240"/>
      <c r="L37" s="1364"/>
      <c r="M37" s="1353"/>
    </row>
    <row r="38" spans="2:13" x14ac:dyDescent="0.25">
      <c r="B38" s="1275"/>
      <c r="C38" s="1324"/>
      <c r="D38" s="1325"/>
      <c r="E38" s="1263"/>
      <c r="F38" s="1371"/>
      <c r="G38" s="1263"/>
      <c r="H38" s="1248"/>
      <c r="I38" s="1336"/>
      <c r="J38" s="1248"/>
      <c r="K38" s="1246"/>
      <c r="L38" s="1331"/>
      <c r="M38" s="1360"/>
    </row>
    <row r="39" spans="2:13" x14ac:dyDescent="0.25">
      <c r="B39" s="1275"/>
      <c r="C39" s="1324"/>
      <c r="D39" s="1292" t="s">
        <v>182</v>
      </c>
      <c r="E39" s="1265">
        <f>+' R. MATRIZ DIARIA '!F39:F40</f>
        <v>3450.8061008333329</v>
      </c>
      <c r="F39" s="1370">
        <v>30</v>
      </c>
      <c r="G39" s="1265">
        <f>+E39*F39</f>
        <v>103524.18302499999</v>
      </c>
      <c r="H39" s="1249">
        <f>+' R. MATRIZ DIARIA '!I39:I40</f>
        <v>3450.8061008333329</v>
      </c>
      <c r="I39" s="1334">
        <v>30</v>
      </c>
      <c r="J39" s="1249">
        <f>+I39*H39</f>
        <v>103524.18302499999</v>
      </c>
      <c r="K39" s="1239">
        <f>+' R. MATRIZ DIARIA '!L39:L40</f>
        <v>19676.263503086422</v>
      </c>
      <c r="L39" s="1330">
        <v>30</v>
      </c>
      <c r="M39" s="1359">
        <f>+L39*K39</f>
        <v>590287.9050925927</v>
      </c>
    </row>
    <row r="40" spans="2:13" x14ac:dyDescent="0.25">
      <c r="B40" s="1275"/>
      <c r="C40" s="1325"/>
      <c r="D40" s="1293"/>
      <c r="E40" s="1263"/>
      <c r="F40" s="1371"/>
      <c r="G40" s="1263"/>
      <c r="H40" s="1248"/>
      <c r="I40" s="1336"/>
      <c r="J40" s="1248"/>
      <c r="K40" s="1246"/>
      <c r="L40" s="1331"/>
      <c r="M40" s="1360"/>
    </row>
    <row r="41" spans="2:13" x14ac:dyDescent="0.25">
      <c r="B41" s="1275"/>
      <c r="C41" s="1323" t="s">
        <v>157</v>
      </c>
      <c r="D41" s="1292" t="s">
        <v>183</v>
      </c>
      <c r="E41" s="1265">
        <f>+' R. MATRIZ DIARIA '!F41:F47</f>
        <v>8051.8809019444434</v>
      </c>
      <c r="F41" s="1370">
        <v>30</v>
      </c>
      <c r="G41" s="1265">
        <f>+E41*F41</f>
        <v>241556.4270583333</v>
      </c>
      <c r="H41" s="1249">
        <f>+' R. MATRIZ DIARIA '!I41:I47</f>
        <v>8051.8809019444434</v>
      </c>
      <c r="I41" s="1334">
        <v>30</v>
      </c>
      <c r="J41" s="1249">
        <f>+I41*H41</f>
        <v>241556.4270583333</v>
      </c>
      <c r="K41" s="1239">
        <f>+' R. MATRIZ DIARIA '!L41:L47</f>
        <v>1498.2804783950619</v>
      </c>
      <c r="L41" s="1330">
        <v>30</v>
      </c>
      <c r="M41" s="1359">
        <f>+L41*K41</f>
        <v>44948.414351851854</v>
      </c>
    </row>
    <row r="42" spans="2:13" x14ac:dyDescent="0.25">
      <c r="B42" s="1275"/>
      <c r="C42" s="1324"/>
      <c r="D42" s="1314"/>
      <c r="E42" s="1262"/>
      <c r="F42" s="1350"/>
      <c r="G42" s="1262"/>
      <c r="H42" s="1247"/>
      <c r="I42" s="1335"/>
      <c r="J42" s="1247"/>
      <c r="K42" s="1240"/>
      <c r="L42" s="1364"/>
      <c r="M42" s="1353"/>
    </row>
    <row r="43" spans="2:13" x14ac:dyDescent="0.25">
      <c r="B43" s="1275"/>
      <c r="C43" s="1324"/>
      <c r="D43" s="1314"/>
      <c r="E43" s="1262"/>
      <c r="F43" s="1350"/>
      <c r="G43" s="1262"/>
      <c r="H43" s="1247"/>
      <c r="I43" s="1335"/>
      <c r="J43" s="1247"/>
      <c r="K43" s="1240"/>
      <c r="L43" s="1364"/>
      <c r="M43" s="1353"/>
    </row>
    <row r="44" spans="2:13" x14ac:dyDescent="0.25">
      <c r="B44" s="1275"/>
      <c r="C44" s="1324"/>
      <c r="D44" s="1314"/>
      <c r="E44" s="1262"/>
      <c r="F44" s="1350"/>
      <c r="G44" s="1262"/>
      <c r="H44" s="1247"/>
      <c r="I44" s="1335"/>
      <c r="J44" s="1247"/>
      <c r="K44" s="1240"/>
      <c r="L44" s="1364"/>
      <c r="M44" s="1353"/>
    </row>
    <row r="45" spans="2:13" x14ac:dyDescent="0.25">
      <c r="B45" s="1275"/>
      <c r="C45" s="1324"/>
      <c r="D45" s="1314"/>
      <c r="E45" s="1262"/>
      <c r="F45" s="1350"/>
      <c r="G45" s="1262"/>
      <c r="H45" s="1247"/>
      <c r="I45" s="1335"/>
      <c r="J45" s="1247"/>
      <c r="K45" s="1240"/>
      <c r="L45" s="1364"/>
      <c r="M45" s="1353"/>
    </row>
    <row r="46" spans="2:13" x14ac:dyDescent="0.25">
      <c r="B46" s="1275"/>
      <c r="C46" s="1324"/>
      <c r="D46" s="1314"/>
      <c r="E46" s="1262"/>
      <c r="F46" s="1350"/>
      <c r="G46" s="1262"/>
      <c r="H46" s="1247"/>
      <c r="I46" s="1335"/>
      <c r="J46" s="1247"/>
      <c r="K46" s="1240"/>
      <c r="L46" s="1364"/>
      <c r="M46" s="1353"/>
    </row>
    <row r="47" spans="2:13" ht="15.75" thickBot="1" x14ac:dyDescent="0.3">
      <c r="B47" s="1276"/>
      <c r="C47" s="1372"/>
      <c r="D47" s="1315"/>
      <c r="E47" s="1264"/>
      <c r="F47" s="1351"/>
      <c r="G47" s="1264"/>
      <c r="H47" s="1250"/>
      <c r="I47" s="1344"/>
      <c r="J47" s="1250"/>
      <c r="K47" s="1241"/>
      <c r="L47" s="1365"/>
      <c r="M47" s="1354"/>
    </row>
    <row r="48" spans="2:13" s="37" customFormat="1" ht="15.75" thickBot="1" x14ac:dyDescent="0.3">
      <c r="B48" s="332"/>
      <c r="C48" s="333"/>
      <c r="D48" s="333"/>
      <c r="E48" s="147"/>
      <c r="F48" s="147"/>
      <c r="G48" s="147"/>
      <c r="H48" s="147"/>
      <c r="I48" s="358"/>
      <c r="J48" s="147"/>
      <c r="K48" s="147"/>
      <c r="L48" s="148"/>
      <c r="M48" s="147"/>
    </row>
    <row r="49" spans="2:15" x14ac:dyDescent="0.25">
      <c r="B49" s="1266" t="s">
        <v>9</v>
      </c>
      <c r="C49" s="1268" t="s">
        <v>154</v>
      </c>
      <c r="D49" s="215" t="s">
        <v>184</v>
      </c>
      <c r="E49" s="368">
        <f>+' R. MATRIZ DIARIA '!F49</f>
        <v>2222.2222222222222</v>
      </c>
      <c r="F49" s="369">
        <v>30</v>
      </c>
      <c r="G49" s="368">
        <f>+E49*F49</f>
        <v>66666.666666666672</v>
      </c>
      <c r="H49" s="375">
        <f>+' R. MATRIZ DIARIA '!I49</f>
        <v>2760.6448806666663</v>
      </c>
      <c r="I49" s="374">
        <v>30</v>
      </c>
      <c r="J49" s="375">
        <f>+H49*I49</f>
        <v>82819.346419999987</v>
      </c>
      <c r="K49" s="376">
        <f>+' R. MATRIZ DIARIA '!L49</f>
        <v>19741.263888888891</v>
      </c>
      <c r="L49" s="377">
        <v>30</v>
      </c>
      <c r="M49" s="378">
        <f>+L49*K49</f>
        <v>592237.91666666674</v>
      </c>
    </row>
    <row r="50" spans="2:15" x14ac:dyDescent="0.25">
      <c r="B50" s="1267"/>
      <c r="C50" s="1269"/>
      <c r="D50" s="1323" t="s">
        <v>185</v>
      </c>
      <c r="E50" s="1367">
        <f>+' R. MATRIZ DIARIA '!F50:F58</f>
        <v>751.45640432098776</v>
      </c>
      <c r="F50" s="1370">
        <v>30</v>
      </c>
      <c r="G50" s="1367">
        <f>+E50*F50</f>
        <v>22543.692129629631</v>
      </c>
      <c r="H50" s="1337">
        <f>+' R. MATRIZ DIARIA '!I50:I58</f>
        <v>74997.519258111104</v>
      </c>
      <c r="I50" s="1334">
        <v>30</v>
      </c>
      <c r="J50" s="1337">
        <f>+I50*H50</f>
        <v>2249925.5777433333</v>
      </c>
      <c r="K50" s="1361">
        <f>+' R. MATRIZ DIARIA '!L50:L58</f>
        <v>28528.225308641973</v>
      </c>
      <c r="L50" s="1330">
        <v>30</v>
      </c>
      <c r="M50" s="1355">
        <f>+K50*L50</f>
        <v>855846.75925925921</v>
      </c>
    </row>
    <row r="51" spans="2:15" x14ac:dyDescent="0.25">
      <c r="B51" s="1267"/>
      <c r="C51" s="1269"/>
      <c r="D51" s="1324"/>
      <c r="E51" s="1368"/>
      <c r="F51" s="1350"/>
      <c r="G51" s="1368"/>
      <c r="H51" s="1338"/>
      <c r="I51" s="1335"/>
      <c r="J51" s="1338"/>
      <c r="K51" s="1362"/>
      <c r="L51" s="1364"/>
      <c r="M51" s="1356"/>
    </row>
    <row r="52" spans="2:15" x14ac:dyDescent="0.25">
      <c r="B52" s="1267"/>
      <c r="C52" s="1269"/>
      <c r="D52" s="1324"/>
      <c r="E52" s="1368"/>
      <c r="F52" s="1350"/>
      <c r="G52" s="1368"/>
      <c r="H52" s="1338"/>
      <c r="I52" s="1335"/>
      <c r="J52" s="1338"/>
      <c r="K52" s="1362"/>
      <c r="L52" s="1364"/>
      <c r="M52" s="1356"/>
    </row>
    <row r="53" spans="2:15" x14ac:dyDescent="0.25">
      <c r="B53" s="1267"/>
      <c r="C53" s="1269"/>
      <c r="D53" s="1324"/>
      <c r="E53" s="1368"/>
      <c r="F53" s="1350"/>
      <c r="G53" s="1368"/>
      <c r="H53" s="1338"/>
      <c r="I53" s="1335"/>
      <c r="J53" s="1338"/>
      <c r="K53" s="1362"/>
      <c r="L53" s="1364"/>
      <c r="M53" s="1356"/>
    </row>
    <row r="54" spans="2:15" x14ac:dyDescent="0.25">
      <c r="B54" s="1267"/>
      <c r="C54" s="1269"/>
      <c r="D54" s="1324"/>
      <c r="E54" s="1368"/>
      <c r="F54" s="1350"/>
      <c r="G54" s="1368"/>
      <c r="H54" s="1338"/>
      <c r="I54" s="1335"/>
      <c r="J54" s="1338"/>
      <c r="K54" s="1362"/>
      <c r="L54" s="1364"/>
      <c r="M54" s="1356"/>
      <c r="O54" s="360"/>
    </row>
    <row r="55" spans="2:15" x14ac:dyDescent="0.25">
      <c r="B55" s="1267"/>
      <c r="C55" s="1269"/>
      <c r="D55" s="1324"/>
      <c r="E55" s="1368"/>
      <c r="F55" s="1350"/>
      <c r="G55" s="1368"/>
      <c r="H55" s="1338"/>
      <c r="I55" s="1335"/>
      <c r="J55" s="1338"/>
      <c r="K55" s="1362"/>
      <c r="L55" s="1364"/>
      <c r="M55" s="1356"/>
    </row>
    <row r="56" spans="2:15" x14ac:dyDescent="0.25">
      <c r="B56" s="1267"/>
      <c r="C56" s="1269"/>
      <c r="D56" s="1324"/>
      <c r="E56" s="1368"/>
      <c r="F56" s="1350"/>
      <c r="G56" s="1368"/>
      <c r="H56" s="1338"/>
      <c r="I56" s="1335"/>
      <c r="J56" s="1338"/>
      <c r="K56" s="1362"/>
      <c r="L56" s="1364"/>
      <c r="M56" s="1356"/>
    </row>
    <row r="57" spans="2:15" x14ac:dyDescent="0.25">
      <c r="B57" s="1267"/>
      <c r="C57" s="1269"/>
      <c r="D57" s="1324"/>
      <c r="E57" s="1368"/>
      <c r="F57" s="1350"/>
      <c r="G57" s="1368"/>
      <c r="H57" s="1338"/>
      <c r="I57" s="1335"/>
      <c r="J57" s="1338"/>
      <c r="K57" s="1362"/>
      <c r="L57" s="1364"/>
      <c r="M57" s="1356"/>
    </row>
    <row r="58" spans="2:15" x14ac:dyDescent="0.25">
      <c r="B58" s="1267"/>
      <c r="C58" s="1269"/>
      <c r="D58" s="1325"/>
      <c r="E58" s="1369"/>
      <c r="F58" s="1371"/>
      <c r="G58" s="1369"/>
      <c r="H58" s="1339"/>
      <c r="I58" s="1336"/>
      <c r="J58" s="1339"/>
      <c r="K58" s="1363"/>
      <c r="L58" s="1331"/>
      <c r="M58" s="1357"/>
    </row>
    <row r="59" spans="2:15" ht="30" x14ac:dyDescent="0.25">
      <c r="B59" s="1267"/>
      <c r="C59" s="213" t="s">
        <v>155</v>
      </c>
      <c r="D59" s="213" t="s">
        <v>186</v>
      </c>
      <c r="E59" s="157">
        <f>+' R. MATRIZ DIARIA '!F59</f>
        <v>2.2569444444444446</v>
      </c>
      <c r="F59" s="222">
        <v>30</v>
      </c>
      <c r="G59" s="157">
        <f>+E59*F59</f>
        <v>67.708333333333343</v>
      </c>
      <c r="H59" s="159">
        <f>+' R. MATRIZ DIARIA '!I59</f>
        <v>5061.1822812222217</v>
      </c>
      <c r="I59" s="223">
        <v>30</v>
      </c>
      <c r="J59" s="159">
        <f>+I59*H59</f>
        <v>151835.46843666665</v>
      </c>
      <c r="K59" s="379">
        <f>+' R. MATRIZ DIARIA '!L59</f>
        <v>1247.4930555555554</v>
      </c>
      <c r="L59" s="380">
        <v>30</v>
      </c>
      <c r="M59" s="381">
        <f>+L59*K59</f>
        <v>37424.791666666664</v>
      </c>
    </row>
    <row r="60" spans="2:15" x14ac:dyDescent="0.25">
      <c r="B60" s="1317" t="s">
        <v>559</v>
      </c>
      <c r="C60" s="1318"/>
      <c r="D60" s="1318"/>
      <c r="E60" s="1318"/>
      <c r="F60" s="1319"/>
      <c r="G60" s="1332">
        <f>+SUM(G16:G59)</f>
        <v>1028319.3486138888</v>
      </c>
      <c r="H60" s="1340" t="s">
        <v>558</v>
      </c>
      <c r="I60" s="1341"/>
      <c r="J60" s="1326">
        <f>+SUM(J16:J59)</f>
        <v>6453338.0398249999</v>
      </c>
      <c r="K60" s="1340" t="s">
        <v>628</v>
      </c>
      <c r="L60" s="1341"/>
      <c r="M60" s="1328">
        <f>+SUM(M16:M59)</f>
        <v>2921648.1365740742</v>
      </c>
    </row>
    <row r="61" spans="2:15" ht="15.75" thickBot="1" x14ac:dyDescent="0.3">
      <c r="B61" s="1320"/>
      <c r="C61" s="1321"/>
      <c r="D61" s="1321"/>
      <c r="E61" s="1321"/>
      <c r="F61" s="1322"/>
      <c r="G61" s="1333"/>
      <c r="H61" s="1342"/>
      <c r="I61" s="1343"/>
      <c r="J61" s="1327"/>
      <c r="K61" s="1342"/>
      <c r="L61" s="1343"/>
      <c r="M61" s="1329"/>
    </row>
    <row r="62" spans="2:15" x14ac:dyDescent="0.25"/>
    <row r="63" spans="2:15" x14ac:dyDescent="0.25"/>
    <row r="64" spans="2:15" x14ac:dyDescent="0.25"/>
    <row r="65" x14ac:dyDescent="0.25"/>
    <row r="66" x14ac:dyDescent="0.25"/>
    <row r="67" x14ac:dyDescent="0.25"/>
    <row r="68" x14ac:dyDescent="0.25"/>
  </sheetData>
  <mergeCells count="88">
    <mergeCell ref="B7:M7"/>
    <mergeCell ref="B8:M8"/>
    <mergeCell ref="B9:M9"/>
    <mergeCell ref="B13:M14"/>
    <mergeCell ref="B16:B29"/>
    <mergeCell ref="C16:C17"/>
    <mergeCell ref="C18:C29"/>
    <mergeCell ref="D18:D21"/>
    <mergeCell ref="E18:E21"/>
    <mergeCell ref="H18:H21"/>
    <mergeCell ref="K18:K21"/>
    <mergeCell ref="L18:L21"/>
    <mergeCell ref="M18:M21"/>
    <mergeCell ref="E26:E29"/>
    <mergeCell ref="E22:E25"/>
    <mergeCell ref="F18:F21"/>
    <mergeCell ref="G18:G21"/>
    <mergeCell ref="I18:I21"/>
    <mergeCell ref="J18:J21"/>
    <mergeCell ref="K32:K38"/>
    <mergeCell ref="D39:D40"/>
    <mergeCell ref="F32:F38"/>
    <mergeCell ref="E39:E40"/>
    <mergeCell ref="G32:G38"/>
    <mergeCell ref="I32:I38"/>
    <mergeCell ref="F39:F40"/>
    <mergeCell ref="G39:G40"/>
    <mergeCell ref="J32:J38"/>
    <mergeCell ref="J39:J40"/>
    <mergeCell ref="B31:B47"/>
    <mergeCell ref="C31:C40"/>
    <mergeCell ref="E50:E58"/>
    <mergeCell ref="H50:H58"/>
    <mergeCell ref="F50:F58"/>
    <mergeCell ref="G50:G58"/>
    <mergeCell ref="D32:D38"/>
    <mergeCell ref="B49:B59"/>
    <mergeCell ref="C49:C58"/>
    <mergeCell ref="F41:F47"/>
    <mergeCell ref="G41:G47"/>
    <mergeCell ref="C41:C47"/>
    <mergeCell ref="D41:D47"/>
    <mergeCell ref="E41:E47"/>
    <mergeCell ref="E32:E38"/>
    <mergeCell ref="H32:H38"/>
    <mergeCell ref="M26:M29"/>
    <mergeCell ref="M50:M58"/>
    <mergeCell ref="K60:L61"/>
    <mergeCell ref="L22:L25"/>
    <mergeCell ref="M22:M25"/>
    <mergeCell ref="K39:K40"/>
    <mergeCell ref="K50:K58"/>
    <mergeCell ref="M39:M40"/>
    <mergeCell ref="M41:M47"/>
    <mergeCell ref="L50:L58"/>
    <mergeCell ref="L41:L47"/>
    <mergeCell ref="K41:K47"/>
    <mergeCell ref="L32:L38"/>
    <mergeCell ref="M32:M38"/>
    <mergeCell ref="L26:L29"/>
    <mergeCell ref="K22:K25"/>
    <mergeCell ref="J41:J47"/>
    <mergeCell ref="D22:D25"/>
    <mergeCell ref="D26:D29"/>
    <mergeCell ref="F22:F25"/>
    <mergeCell ref="G22:G25"/>
    <mergeCell ref="I22:I25"/>
    <mergeCell ref="H26:H29"/>
    <mergeCell ref="H22:H25"/>
    <mergeCell ref="F26:F29"/>
    <mergeCell ref="G26:G29"/>
    <mergeCell ref="H41:H47"/>
    <mergeCell ref="B60:F61"/>
    <mergeCell ref="D50:D58"/>
    <mergeCell ref="J60:J61"/>
    <mergeCell ref="J22:J25"/>
    <mergeCell ref="M60:M61"/>
    <mergeCell ref="K26:K29"/>
    <mergeCell ref="L39:L40"/>
    <mergeCell ref="G60:G61"/>
    <mergeCell ref="I50:I58"/>
    <mergeCell ref="J50:J58"/>
    <mergeCell ref="H60:I61"/>
    <mergeCell ref="I26:I29"/>
    <mergeCell ref="J26:J29"/>
    <mergeCell ref="H39:H40"/>
    <mergeCell ref="I39:I40"/>
    <mergeCell ref="I41:I47"/>
  </mergeCells>
  <phoneticPr fontId="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081C-0F09-487F-8720-1C94A8345047}">
  <dimension ref="A1:AN64"/>
  <sheetViews>
    <sheetView topLeftCell="K13" zoomScale="98" zoomScaleNormal="98" workbookViewId="0">
      <selection activeCell="Z1" sqref="Z1:XFD1048576"/>
    </sheetView>
  </sheetViews>
  <sheetFormatPr baseColWidth="10" defaultColWidth="0" defaultRowHeight="15" zeroHeight="1" x14ac:dyDescent="0.25"/>
  <cols>
    <col min="1" max="2" width="11.42578125" style="37" customWidth="1"/>
    <col min="3" max="3" width="15" style="37" customWidth="1"/>
    <col min="4" max="4" width="19.140625" style="37" customWidth="1"/>
    <col min="5" max="5" width="12.28515625" style="37" hidden="1" customWidth="1"/>
    <col min="6" max="6" width="12" style="37" hidden="1" customWidth="1"/>
    <col min="7" max="7" width="14.5703125" style="35" bestFit="1" customWidth="1"/>
    <col min="8" max="8" width="10" style="35" customWidth="1"/>
    <col min="9" max="9" width="14.5703125" style="35" customWidth="1"/>
    <col min="10" max="10" width="15.5703125" style="34" bestFit="1" customWidth="1"/>
    <col min="11" max="11" width="15.28515625" style="35" bestFit="1" customWidth="1"/>
    <col min="12" max="12" width="5.140625" style="35" bestFit="1" customWidth="1"/>
    <col min="13" max="13" width="14.5703125" style="35" bestFit="1" customWidth="1"/>
    <col min="14" max="14" width="8.85546875" style="95" customWidth="1"/>
    <col min="15" max="15" width="15.5703125" style="35" bestFit="1" customWidth="1"/>
    <col min="16" max="16" width="16.28515625" style="34" customWidth="1"/>
    <col min="17" max="17" width="12" style="35" hidden="1" customWidth="1"/>
    <col min="18" max="18" width="5.140625" style="35" hidden="1" customWidth="1"/>
    <col min="19" max="19" width="14.5703125" style="35" bestFit="1" customWidth="1"/>
    <col min="20" max="20" width="11.42578125" style="35" customWidth="1"/>
    <col min="21" max="21" width="15.5703125" style="394" bestFit="1" customWidth="1"/>
    <col min="22" max="22" width="15.5703125" style="396" customWidth="1"/>
    <col min="23" max="23" width="24.140625" style="96" customWidth="1"/>
    <col min="24" max="25" width="11.42578125" style="37" customWidth="1"/>
    <col min="26" max="40" width="0" style="37" hidden="1"/>
    <col min="41" max="16384" width="11.42578125" hidden="1"/>
  </cols>
  <sheetData>
    <row r="1" spans="2:23" x14ac:dyDescent="0.25"/>
    <row r="2" spans="2:23" x14ac:dyDescent="0.25"/>
    <row r="3" spans="2:23" x14ac:dyDescent="0.25"/>
    <row r="4" spans="2:23" x14ac:dyDescent="0.25"/>
    <row r="5" spans="2:23" x14ac:dyDescent="0.25"/>
    <row r="6" spans="2:23" x14ac:dyDescent="0.25"/>
    <row r="7" spans="2:23" ht="18.75" x14ac:dyDescent="0.3">
      <c r="B7" s="1437" t="s">
        <v>71</v>
      </c>
      <c r="C7" s="1437"/>
      <c r="D7" s="1437"/>
      <c r="E7" s="1437"/>
      <c r="F7" s="1437"/>
      <c r="G7" s="1437"/>
      <c r="H7" s="1437"/>
      <c r="I7" s="1437"/>
      <c r="J7" s="1437"/>
      <c r="K7" s="1437"/>
      <c r="L7" s="1437"/>
      <c r="M7" s="1437"/>
      <c r="N7" s="1437"/>
      <c r="O7" s="1437"/>
      <c r="P7" s="1437"/>
      <c r="Q7" s="1437"/>
      <c r="R7" s="1437"/>
      <c r="S7" s="1437"/>
      <c r="T7" s="1437"/>
      <c r="U7" s="1437"/>
      <c r="V7" s="1437"/>
      <c r="W7" s="1437"/>
    </row>
    <row r="8" spans="2:23" ht="18.75" x14ac:dyDescent="0.3">
      <c r="B8" s="1437" t="s">
        <v>586</v>
      </c>
      <c r="C8" s="1437"/>
      <c r="D8" s="1437"/>
      <c r="E8" s="1437"/>
      <c r="F8" s="1437"/>
      <c r="G8" s="1437"/>
      <c r="H8" s="1437"/>
      <c r="I8" s="1437"/>
      <c r="J8" s="1437"/>
      <c r="K8" s="1437"/>
      <c r="L8" s="1437"/>
      <c r="M8" s="1437"/>
      <c r="N8" s="1437"/>
      <c r="O8" s="1437"/>
      <c r="P8" s="1437"/>
      <c r="Q8" s="1437"/>
      <c r="R8" s="1437"/>
      <c r="S8" s="1437"/>
      <c r="T8" s="1437"/>
      <c r="U8" s="1437"/>
      <c r="V8" s="1437"/>
      <c r="W8" s="1437"/>
    </row>
    <row r="9" spans="2:23" ht="18.75" x14ac:dyDescent="0.3">
      <c r="B9" s="1437" t="s">
        <v>585</v>
      </c>
      <c r="C9" s="1437"/>
      <c r="D9" s="1437"/>
      <c r="E9" s="1437"/>
      <c r="F9" s="1437"/>
      <c r="G9" s="1437"/>
      <c r="H9" s="1437"/>
      <c r="I9" s="1437"/>
      <c r="J9" s="1437"/>
      <c r="K9" s="1437"/>
      <c r="L9" s="1437"/>
      <c r="M9" s="1437"/>
      <c r="N9" s="1437"/>
      <c r="O9" s="1437"/>
      <c r="P9" s="1437"/>
      <c r="Q9" s="1437"/>
      <c r="R9" s="1437"/>
      <c r="S9" s="1437"/>
      <c r="T9" s="1437"/>
      <c r="U9" s="1437"/>
      <c r="V9" s="1437"/>
      <c r="W9" s="1437"/>
    </row>
    <row r="10" spans="2:23" x14ac:dyDescent="0.25"/>
    <row r="11" spans="2:23" x14ac:dyDescent="0.25"/>
    <row r="12" spans="2:23" ht="15.75" thickBot="1" x14ac:dyDescent="0.3"/>
    <row r="13" spans="2:23" ht="15" customHeight="1" x14ac:dyDescent="0.25">
      <c r="B13" s="1385" t="s">
        <v>561</v>
      </c>
      <c r="C13" s="1386"/>
      <c r="D13" s="1386"/>
      <c r="E13" s="1386"/>
      <c r="F13" s="1386"/>
      <c r="G13" s="1386"/>
      <c r="H13" s="1386"/>
      <c r="I13" s="1386"/>
      <c r="J13" s="1386"/>
      <c r="K13" s="1386"/>
      <c r="L13" s="1386"/>
      <c r="M13" s="1386"/>
      <c r="N13" s="1386"/>
      <c r="O13" s="1386"/>
      <c r="P13" s="1386"/>
      <c r="Q13" s="1386"/>
      <c r="R13" s="1386"/>
      <c r="S13" s="1386"/>
      <c r="T13" s="1386"/>
      <c r="U13" s="1386"/>
      <c r="V13" s="1386"/>
      <c r="W13" s="1387"/>
    </row>
    <row r="14" spans="2:23" ht="36.75" customHeight="1" x14ac:dyDescent="0.25">
      <c r="B14" s="1388"/>
      <c r="C14" s="1389"/>
      <c r="D14" s="1389"/>
      <c r="E14" s="1389"/>
      <c r="F14" s="1389"/>
      <c r="G14" s="1389"/>
      <c r="H14" s="1389"/>
      <c r="I14" s="1389"/>
      <c r="J14" s="1389"/>
      <c r="K14" s="1389"/>
      <c r="L14" s="1389"/>
      <c r="M14" s="1389"/>
      <c r="N14" s="1389"/>
      <c r="O14" s="1389"/>
      <c r="P14" s="1389"/>
      <c r="Q14" s="1389"/>
      <c r="R14" s="1389"/>
      <c r="S14" s="1389"/>
      <c r="T14" s="1389"/>
      <c r="U14" s="1389"/>
      <c r="V14" s="1389"/>
      <c r="W14" s="1390"/>
    </row>
    <row r="15" spans="2:23" ht="75" x14ac:dyDescent="0.25">
      <c r="B15" s="155" t="s">
        <v>1</v>
      </c>
      <c r="C15" s="405" t="s">
        <v>96</v>
      </c>
      <c r="D15" s="404" t="s">
        <v>375</v>
      </c>
      <c r="E15" s="340" t="s">
        <v>376</v>
      </c>
      <c r="F15" s="341" t="s">
        <v>322</v>
      </c>
      <c r="G15" s="134" t="s">
        <v>377</v>
      </c>
      <c r="H15" s="152" t="s">
        <v>312</v>
      </c>
      <c r="I15" s="134" t="s">
        <v>383</v>
      </c>
      <c r="J15" s="152" t="s">
        <v>386</v>
      </c>
      <c r="K15" s="39" t="s">
        <v>379</v>
      </c>
      <c r="L15" s="38" t="s">
        <v>322</v>
      </c>
      <c r="M15" s="38" t="s">
        <v>378</v>
      </c>
      <c r="N15" s="408" t="s">
        <v>312</v>
      </c>
      <c r="O15" s="38" t="s">
        <v>384</v>
      </c>
      <c r="P15" s="38" t="s">
        <v>387</v>
      </c>
      <c r="Q15" s="340" t="s">
        <v>380</v>
      </c>
      <c r="R15" s="340" t="s">
        <v>245</v>
      </c>
      <c r="S15" s="354" t="s">
        <v>629</v>
      </c>
      <c r="T15" s="421" t="s">
        <v>312</v>
      </c>
      <c r="U15" s="422" t="s">
        <v>631</v>
      </c>
      <c r="V15" s="422" t="s">
        <v>632</v>
      </c>
      <c r="W15" s="423" t="s">
        <v>385</v>
      </c>
    </row>
    <row r="16" spans="2:23" ht="15" customHeight="1" x14ac:dyDescent="0.25">
      <c r="B16" s="1290" t="s">
        <v>0</v>
      </c>
      <c r="C16" s="1417" t="s">
        <v>97</v>
      </c>
      <c r="D16" s="406" t="s">
        <v>176</v>
      </c>
      <c r="E16" s="343">
        <f>+' R. MATRIZ DIARIA '!F16</f>
        <v>1.1072530864197532</v>
      </c>
      <c r="F16" s="390">
        <v>30</v>
      </c>
      <c r="G16" s="214">
        <f>+E16*F16</f>
        <v>33.217592592592595</v>
      </c>
      <c r="H16" s="156">
        <v>12</v>
      </c>
      <c r="I16" s="214">
        <f>+G16*H16</f>
        <v>398.61111111111114</v>
      </c>
      <c r="J16" s="1453">
        <f>+SUM(I16:I29)</f>
        <v>87883.611111111095</v>
      </c>
      <c r="K16" s="218">
        <f>+' R. MATRIZ DIARIA '!I16</f>
        <v>6327.1666666666679</v>
      </c>
      <c r="L16" s="223">
        <v>30</v>
      </c>
      <c r="M16" s="218">
        <f>+K16*L16</f>
        <v>189815.00000000003</v>
      </c>
      <c r="N16" s="409">
        <v>12</v>
      </c>
      <c r="O16" s="218">
        <f>+M16*N16</f>
        <v>2277780.0000000005</v>
      </c>
      <c r="P16" s="1460">
        <f>+SUM(O16:O29)</f>
        <v>36444480.000000007</v>
      </c>
      <c r="Q16" s="343">
        <f>+' R. MATRIZ DIARIA '!L16</f>
        <v>304.16666666666663</v>
      </c>
      <c r="R16" s="357">
        <v>30</v>
      </c>
      <c r="S16" s="420">
        <f>+R16*Q16</f>
        <v>9124.9999999999982</v>
      </c>
      <c r="T16" s="415">
        <v>12</v>
      </c>
      <c r="U16" s="355">
        <f>+S16*T16</f>
        <v>109499.99999999997</v>
      </c>
      <c r="V16" s="1464">
        <f>+SUM(U16:U29)</f>
        <v>8592227.777777778</v>
      </c>
      <c r="W16" s="1446">
        <f>+SUM(J16+P16+V16)</f>
        <v>45124591.388888896</v>
      </c>
    </row>
    <row r="17" spans="2:23" ht="15" customHeight="1" x14ac:dyDescent="0.25">
      <c r="B17" s="1290"/>
      <c r="C17" s="1417"/>
      <c r="D17" s="406" t="s">
        <v>177</v>
      </c>
      <c r="E17" s="343">
        <f>+' R. MATRIZ DIARIA '!F17</f>
        <v>4.5138888888888888E-2</v>
      </c>
      <c r="F17" s="390">
        <v>30</v>
      </c>
      <c r="G17" s="214">
        <f>+E17*F17</f>
        <v>1.3541666666666667</v>
      </c>
      <c r="H17" s="156">
        <v>12</v>
      </c>
      <c r="I17" s="214">
        <f>+G17*H17</f>
        <v>16.25</v>
      </c>
      <c r="J17" s="1454"/>
      <c r="K17" s="218">
        <f>+' R. MATRIZ DIARIA '!I17</f>
        <v>4218.1111111111122</v>
      </c>
      <c r="L17" s="223">
        <v>30</v>
      </c>
      <c r="M17" s="218">
        <f>+K17*L17</f>
        <v>126543.33333333337</v>
      </c>
      <c r="N17" s="409">
        <v>12</v>
      </c>
      <c r="O17" s="218">
        <f>+M17*N17</f>
        <v>1518520.0000000005</v>
      </c>
      <c r="P17" s="1253"/>
      <c r="Q17" s="343">
        <f>+' R. MATRIZ DIARIA '!L17</f>
        <v>394.3287037037037</v>
      </c>
      <c r="R17" s="357">
        <v>30</v>
      </c>
      <c r="S17" s="420">
        <f>+R17*Q17</f>
        <v>11829.861111111111</v>
      </c>
      <c r="T17" s="415">
        <v>12</v>
      </c>
      <c r="U17" s="355">
        <f>+S17*T17</f>
        <v>141958.33333333334</v>
      </c>
      <c r="V17" s="1465"/>
      <c r="W17" s="1447"/>
    </row>
    <row r="18" spans="2:23" x14ac:dyDescent="0.25">
      <c r="B18" s="1290"/>
      <c r="C18" s="1417" t="s">
        <v>158</v>
      </c>
      <c r="D18" s="1422" t="s">
        <v>178</v>
      </c>
      <c r="E18" s="1403">
        <f>+' R. MATRIZ DIARIA '!F18:F21</f>
        <v>129.89004629629628</v>
      </c>
      <c r="F18" s="1406">
        <v>30</v>
      </c>
      <c r="G18" s="1346">
        <f>+E18*F18</f>
        <v>3896.7013888888882</v>
      </c>
      <c r="H18" s="1392">
        <v>12</v>
      </c>
      <c r="I18" s="1346">
        <f>+G18*H18</f>
        <v>46760.416666666657</v>
      </c>
      <c r="J18" s="1454"/>
      <c r="K18" s="1249">
        <f>+' R. MATRIZ DIARIA '!I18:I21</f>
        <v>74871.472222222234</v>
      </c>
      <c r="L18" s="1334">
        <v>30</v>
      </c>
      <c r="M18" s="1249">
        <f>+L18*K18</f>
        <v>2246144.166666667</v>
      </c>
      <c r="N18" s="1395">
        <v>12</v>
      </c>
      <c r="O18" s="1249">
        <f>+M18*N18</f>
        <v>26953730.000000004</v>
      </c>
      <c r="P18" s="1253"/>
      <c r="Q18" s="1403">
        <f>+' R. MATRIZ DIARIA '!L18:L21</f>
        <v>8218.5050154320979</v>
      </c>
      <c r="R18" s="1406">
        <v>30</v>
      </c>
      <c r="S18" s="1401">
        <f>+R18*Q18</f>
        <v>246555.15046296295</v>
      </c>
      <c r="T18" s="1377">
        <v>12</v>
      </c>
      <c r="U18" s="1239">
        <f>+S18*T18</f>
        <v>2958661.8055555555</v>
      </c>
      <c r="V18" s="1465"/>
      <c r="W18" s="1447"/>
    </row>
    <row r="19" spans="2:23" x14ac:dyDescent="0.25">
      <c r="B19" s="1290"/>
      <c r="C19" s="1417"/>
      <c r="D19" s="1423"/>
      <c r="E19" s="1404"/>
      <c r="F19" s="1407"/>
      <c r="G19" s="1347"/>
      <c r="H19" s="1393"/>
      <c r="I19" s="1347"/>
      <c r="J19" s="1454"/>
      <c r="K19" s="1247"/>
      <c r="L19" s="1335"/>
      <c r="M19" s="1247"/>
      <c r="N19" s="1396"/>
      <c r="O19" s="1247"/>
      <c r="P19" s="1253"/>
      <c r="Q19" s="1404"/>
      <c r="R19" s="1407"/>
      <c r="S19" s="1383"/>
      <c r="T19" s="1378"/>
      <c r="U19" s="1240"/>
      <c r="V19" s="1465"/>
      <c r="W19" s="1447"/>
    </row>
    <row r="20" spans="2:23" x14ac:dyDescent="0.25">
      <c r="B20" s="1290"/>
      <c r="C20" s="1417"/>
      <c r="D20" s="1423"/>
      <c r="E20" s="1404"/>
      <c r="F20" s="1407"/>
      <c r="G20" s="1347"/>
      <c r="H20" s="1393"/>
      <c r="I20" s="1347"/>
      <c r="J20" s="1454"/>
      <c r="K20" s="1247"/>
      <c r="L20" s="1335"/>
      <c r="M20" s="1247"/>
      <c r="N20" s="1396"/>
      <c r="O20" s="1247"/>
      <c r="P20" s="1253"/>
      <c r="Q20" s="1404"/>
      <c r="R20" s="1407"/>
      <c r="S20" s="1383"/>
      <c r="T20" s="1378"/>
      <c r="U20" s="1240"/>
      <c r="V20" s="1465"/>
      <c r="W20" s="1447"/>
    </row>
    <row r="21" spans="2:23" x14ac:dyDescent="0.25">
      <c r="B21" s="1290"/>
      <c r="C21" s="1417"/>
      <c r="D21" s="1425"/>
      <c r="E21" s="1405"/>
      <c r="F21" s="1408"/>
      <c r="G21" s="1348"/>
      <c r="H21" s="1398"/>
      <c r="I21" s="1348"/>
      <c r="J21" s="1454"/>
      <c r="K21" s="1248"/>
      <c r="L21" s="1336"/>
      <c r="M21" s="1248"/>
      <c r="N21" s="1400"/>
      <c r="O21" s="1248"/>
      <c r="P21" s="1253"/>
      <c r="Q21" s="1405"/>
      <c r="R21" s="1408"/>
      <c r="S21" s="1402"/>
      <c r="T21" s="1391"/>
      <c r="U21" s="1246"/>
      <c r="V21" s="1465"/>
      <c r="W21" s="1447"/>
    </row>
    <row r="22" spans="2:23" x14ac:dyDescent="0.25">
      <c r="B22" s="1290"/>
      <c r="C22" s="1417"/>
      <c r="D22" s="1417" t="s">
        <v>179</v>
      </c>
      <c r="E22" s="1431">
        <f>+' R. MATRIZ DIARIA '!F22:F25</f>
        <v>92.660108024691354</v>
      </c>
      <c r="F22" s="1432">
        <v>30</v>
      </c>
      <c r="G22" s="1346">
        <f>+E22*F22</f>
        <v>2779.8032407407404</v>
      </c>
      <c r="H22" s="1392">
        <v>12</v>
      </c>
      <c r="I22" s="1346">
        <f t="shared" ref="I22" si="0">+G22*H22</f>
        <v>33357.638888888883</v>
      </c>
      <c r="J22" s="1454"/>
      <c r="K22" s="1249">
        <f>+' R. MATRIZ DIARIA '!I22:I25</f>
        <v>12654.333333333336</v>
      </c>
      <c r="L22" s="1349">
        <v>30</v>
      </c>
      <c r="M22" s="1259">
        <f>+L22*K22</f>
        <v>379630.00000000006</v>
      </c>
      <c r="N22" s="1395">
        <v>12</v>
      </c>
      <c r="O22" s="1249">
        <f>+M22*N22</f>
        <v>4555560.0000000009</v>
      </c>
      <c r="P22" s="1253"/>
      <c r="Q22" s="1403">
        <f>+' R. MATRIZ DIARIA '!L22:L25</f>
        <v>6829.8148148148148</v>
      </c>
      <c r="R22" s="1432">
        <v>30</v>
      </c>
      <c r="S22" s="1401">
        <f>+R22*Q22</f>
        <v>204894.44444444444</v>
      </c>
      <c r="T22" s="1377">
        <v>12</v>
      </c>
      <c r="U22" s="1239">
        <f t="shared" ref="U22" si="1">+S22*T22</f>
        <v>2458733.333333333</v>
      </c>
      <c r="V22" s="1465"/>
      <c r="W22" s="1447"/>
    </row>
    <row r="23" spans="2:23" x14ac:dyDescent="0.25">
      <c r="B23" s="1290"/>
      <c r="C23" s="1417"/>
      <c r="D23" s="1417"/>
      <c r="E23" s="1431"/>
      <c r="F23" s="1432"/>
      <c r="G23" s="1347"/>
      <c r="H23" s="1393"/>
      <c r="I23" s="1347"/>
      <c r="J23" s="1454"/>
      <c r="K23" s="1247"/>
      <c r="L23" s="1349"/>
      <c r="M23" s="1259"/>
      <c r="N23" s="1396"/>
      <c r="O23" s="1247"/>
      <c r="P23" s="1253"/>
      <c r="Q23" s="1404"/>
      <c r="R23" s="1432"/>
      <c r="S23" s="1383"/>
      <c r="T23" s="1378"/>
      <c r="U23" s="1240"/>
      <c r="V23" s="1465"/>
      <c r="W23" s="1447"/>
    </row>
    <row r="24" spans="2:23" x14ac:dyDescent="0.25">
      <c r="B24" s="1290"/>
      <c r="C24" s="1417"/>
      <c r="D24" s="1417"/>
      <c r="E24" s="1431"/>
      <c r="F24" s="1432"/>
      <c r="G24" s="1347"/>
      <c r="H24" s="1393"/>
      <c r="I24" s="1347"/>
      <c r="J24" s="1454"/>
      <c r="K24" s="1247"/>
      <c r="L24" s="1349"/>
      <c r="M24" s="1259"/>
      <c r="N24" s="1396"/>
      <c r="O24" s="1247"/>
      <c r="P24" s="1253"/>
      <c r="Q24" s="1404"/>
      <c r="R24" s="1432"/>
      <c r="S24" s="1383"/>
      <c r="T24" s="1378"/>
      <c r="U24" s="1240"/>
      <c r="V24" s="1465"/>
      <c r="W24" s="1447"/>
    </row>
    <row r="25" spans="2:23" x14ac:dyDescent="0.25">
      <c r="B25" s="1290"/>
      <c r="C25" s="1417"/>
      <c r="D25" s="1417"/>
      <c r="E25" s="1431"/>
      <c r="F25" s="1432"/>
      <c r="G25" s="1348"/>
      <c r="H25" s="1398"/>
      <c r="I25" s="1348"/>
      <c r="J25" s="1454"/>
      <c r="K25" s="1248"/>
      <c r="L25" s="1349"/>
      <c r="M25" s="1259"/>
      <c r="N25" s="1400"/>
      <c r="O25" s="1248"/>
      <c r="P25" s="1253"/>
      <c r="Q25" s="1405"/>
      <c r="R25" s="1432"/>
      <c r="S25" s="1402"/>
      <c r="T25" s="1391"/>
      <c r="U25" s="1246"/>
      <c r="V25" s="1465"/>
      <c r="W25" s="1447"/>
    </row>
    <row r="26" spans="2:23" x14ac:dyDescent="0.25">
      <c r="B26" s="1290"/>
      <c r="C26" s="1417"/>
      <c r="D26" s="1417" t="s">
        <v>381</v>
      </c>
      <c r="E26" s="1404">
        <f>+' R. MATRIZ DIARIA '!F26:F29</f>
        <v>20.418595679012345</v>
      </c>
      <c r="F26" s="1407">
        <v>30</v>
      </c>
      <c r="G26" s="1346">
        <f>+E26*F26</f>
        <v>612.55787037037032</v>
      </c>
      <c r="H26" s="1392">
        <v>12</v>
      </c>
      <c r="I26" s="1346">
        <f t="shared" ref="I26" si="2">+G26*H26</f>
        <v>7350.6944444444434</v>
      </c>
      <c r="J26" s="1454"/>
      <c r="K26" s="1249">
        <f>+' R. MATRIZ DIARIA '!I26:I29</f>
        <v>3163.5833333333339</v>
      </c>
      <c r="L26" s="1335">
        <v>30</v>
      </c>
      <c r="M26" s="1247">
        <f>+L26*K26</f>
        <v>94907.500000000015</v>
      </c>
      <c r="N26" s="1395">
        <v>12</v>
      </c>
      <c r="O26" s="1249">
        <f>+M26*N26</f>
        <v>1138890.0000000002</v>
      </c>
      <c r="P26" s="1253"/>
      <c r="Q26" s="1403">
        <f>+' R. MATRIZ DIARIA '!L26:L29</f>
        <v>8120.4841820987649</v>
      </c>
      <c r="R26" s="1407">
        <v>30</v>
      </c>
      <c r="S26" s="1383">
        <f>+Q26*R26</f>
        <v>243614.52546296295</v>
      </c>
      <c r="T26" s="1377">
        <v>12</v>
      </c>
      <c r="U26" s="1239">
        <f t="shared" ref="U26" si="3">+S26*T26</f>
        <v>2923374.3055555555</v>
      </c>
      <c r="V26" s="1465"/>
      <c r="W26" s="1447"/>
    </row>
    <row r="27" spans="2:23" x14ac:dyDescent="0.25">
      <c r="B27" s="1290"/>
      <c r="C27" s="1417"/>
      <c r="D27" s="1417"/>
      <c r="E27" s="1404"/>
      <c r="F27" s="1407"/>
      <c r="G27" s="1347"/>
      <c r="H27" s="1393"/>
      <c r="I27" s="1347"/>
      <c r="J27" s="1454"/>
      <c r="K27" s="1247"/>
      <c r="L27" s="1335"/>
      <c r="M27" s="1247"/>
      <c r="N27" s="1396"/>
      <c r="O27" s="1247"/>
      <c r="P27" s="1253"/>
      <c r="Q27" s="1404"/>
      <c r="R27" s="1407"/>
      <c r="S27" s="1383"/>
      <c r="T27" s="1378"/>
      <c r="U27" s="1240"/>
      <c r="V27" s="1465"/>
      <c r="W27" s="1447"/>
    </row>
    <row r="28" spans="2:23" x14ac:dyDescent="0.25">
      <c r="B28" s="1290"/>
      <c r="C28" s="1417"/>
      <c r="D28" s="1417"/>
      <c r="E28" s="1404"/>
      <c r="F28" s="1407"/>
      <c r="G28" s="1347"/>
      <c r="H28" s="1393"/>
      <c r="I28" s="1347"/>
      <c r="J28" s="1454"/>
      <c r="K28" s="1247"/>
      <c r="L28" s="1335"/>
      <c r="M28" s="1247"/>
      <c r="N28" s="1396"/>
      <c r="O28" s="1247"/>
      <c r="P28" s="1253"/>
      <c r="Q28" s="1404"/>
      <c r="R28" s="1407"/>
      <c r="S28" s="1383"/>
      <c r="T28" s="1378"/>
      <c r="U28" s="1240"/>
      <c r="V28" s="1465"/>
      <c r="W28" s="1447"/>
    </row>
    <row r="29" spans="2:23" ht="15.75" thickBot="1" x14ac:dyDescent="0.3">
      <c r="B29" s="1291"/>
      <c r="C29" s="1430"/>
      <c r="D29" s="1430"/>
      <c r="E29" s="1409"/>
      <c r="F29" s="1410"/>
      <c r="G29" s="1352"/>
      <c r="H29" s="1394"/>
      <c r="I29" s="1352"/>
      <c r="J29" s="1455"/>
      <c r="K29" s="1250"/>
      <c r="L29" s="1344"/>
      <c r="M29" s="1250"/>
      <c r="N29" s="1397"/>
      <c r="O29" s="1250"/>
      <c r="P29" s="1254"/>
      <c r="Q29" s="1409"/>
      <c r="R29" s="1410"/>
      <c r="S29" s="1384"/>
      <c r="T29" s="1379"/>
      <c r="U29" s="1241"/>
      <c r="V29" s="1466"/>
      <c r="W29" s="1448"/>
    </row>
    <row r="30" spans="2:23" s="37" customFormat="1" ht="15.75" thickBot="1" x14ac:dyDescent="0.3">
      <c r="B30" s="35"/>
      <c r="C30" s="35"/>
      <c r="D30" s="35"/>
      <c r="G30" s="35"/>
      <c r="H30" s="397"/>
      <c r="I30" s="35"/>
      <c r="J30" s="34"/>
      <c r="K30" s="35"/>
      <c r="L30" s="397"/>
      <c r="M30" s="35"/>
      <c r="N30" s="398"/>
      <c r="O30" s="35"/>
      <c r="P30" s="34"/>
      <c r="Q30" s="35"/>
      <c r="R30" s="398"/>
      <c r="S30" s="35"/>
      <c r="T30" s="35"/>
      <c r="U30" s="399"/>
      <c r="V30" s="392"/>
      <c r="W30" s="96"/>
    </row>
    <row r="31" spans="2:23" x14ac:dyDescent="0.25">
      <c r="B31" s="1426" t="s">
        <v>4</v>
      </c>
      <c r="C31" s="1429" t="s">
        <v>156</v>
      </c>
      <c r="D31" s="402" t="s">
        <v>180</v>
      </c>
      <c r="E31" s="344">
        <f>+' R. MATRIZ DIARIA '!F31</f>
        <v>2300.537400555555</v>
      </c>
      <c r="F31" s="364">
        <v>30</v>
      </c>
      <c r="G31" s="336">
        <f>+E31*F31</f>
        <v>69016.122016666646</v>
      </c>
      <c r="H31" s="407">
        <v>12</v>
      </c>
      <c r="I31" s="336">
        <f>+G31*H31</f>
        <v>828193.46419999981</v>
      </c>
      <c r="J31" s="1456">
        <f>+SUM(I31:I47)</f>
        <v>11180611.7667</v>
      </c>
      <c r="K31" s="373">
        <f>+' R. MATRIZ DIARIA '!I31</f>
        <v>2300.537400555555</v>
      </c>
      <c r="L31" s="374">
        <v>30</v>
      </c>
      <c r="M31" s="373">
        <f>+L31*K31</f>
        <v>69016.122016666646</v>
      </c>
      <c r="N31" s="410">
        <v>12</v>
      </c>
      <c r="O31" s="373">
        <f>M31*N31</f>
        <v>828193.46419999981</v>
      </c>
      <c r="P31" s="1252">
        <f>+SUM(O31:O47)</f>
        <v>11180611.7667</v>
      </c>
      <c r="Q31" s="344">
        <f>+' R. MATRIZ DIARIA '!L31</f>
        <v>424.91030092592598</v>
      </c>
      <c r="R31" s="364">
        <v>30</v>
      </c>
      <c r="S31" s="417">
        <f>+R31*Q31</f>
        <v>12747.309027777779</v>
      </c>
      <c r="T31" s="413">
        <v>12</v>
      </c>
      <c r="U31" s="353">
        <f>+S31*T31</f>
        <v>152967.70833333334</v>
      </c>
      <c r="V31" s="1467">
        <f>+SUM(U31:U47)</f>
        <v>8641436.2500000019</v>
      </c>
      <c r="W31" s="1449">
        <f>+SUM(J31+P31+V31)</f>
        <v>31002659.783399999</v>
      </c>
    </row>
    <row r="32" spans="2:23" x14ac:dyDescent="0.25">
      <c r="B32" s="1427"/>
      <c r="C32" s="1419"/>
      <c r="D32" s="1418" t="s">
        <v>181</v>
      </c>
      <c r="E32" s="1403">
        <f>+' R. MATRIZ DIARIA '!F32:F38</f>
        <v>17254.030504166665</v>
      </c>
      <c r="F32" s="1406">
        <v>30</v>
      </c>
      <c r="G32" s="1265">
        <f>+E32*F32</f>
        <v>517620.91512499994</v>
      </c>
      <c r="H32" s="1392">
        <v>12</v>
      </c>
      <c r="I32" s="1399">
        <f>+H32*G32</f>
        <v>6211450.9814999998</v>
      </c>
      <c r="J32" s="1454"/>
      <c r="K32" s="1249">
        <f>+' R. MATRIZ DIARIA '!I32:I38</f>
        <v>17254.030504166665</v>
      </c>
      <c r="L32" s="1334">
        <v>30</v>
      </c>
      <c r="M32" s="1249">
        <f>+L32*K32</f>
        <v>517620.91512499994</v>
      </c>
      <c r="N32" s="1395">
        <v>12</v>
      </c>
      <c r="O32" s="1249">
        <f>N32*M32</f>
        <v>6211450.9814999998</v>
      </c>
      <c r="P32" s="1253"/>
      <c r="Q32" s="1403">
        <f>+' R. MATRIZ DIARIA '!L32:L38</f>
        <v>2404.5353009259256</v>
      </c>
      <c r="R32" s="1406">
        <v>30</v>
      </c>
      <c r="S32" s="1401">
        <f>+R32*Q32</f>
        <v>72136.059027777766</v>
      </c>
      <c r="T32" s="1377">
        <v>12</v>
      </c>
      <c r="U32" s="1239">
        <f>+T32*S32</f>
        <v>865632.70833333326</v>
      </c>
      <c r="V32" s="1468"/>
      <c r="W32" s="1450"/>
    </row>
    <row r="33" spans="2:23" x14ac:dyDescent="0.25">
      <c r="B33" s="1427"/>
      <c r="C33" s="1419"/>
      <c r="D33" s="1419"/>
      <c r="E33" s="1404"/>
      <c r="F33" s="1407"/>
      <c r="G33" s="1262"/>
      <c r="H33" s="1393"/>
      <c r="I33" s="1393"/>
      <c r="J33" s="1454"/>
      <c r="K33" s="1247"/>
      <c r="L33" s="1335"/>
      <c r="M33" s="1247"/>
      <c r="N33" s="1396"/>
      <c r="O33" s="1247"/>
      <c r="P33" s="1253"/>
      <c r="Q33" s="1404"/>
      <c r="R33" s="1407"/>
      <c r="S33" s="1383"/>
      <c r="T33" s="1378"/>
      <c r="U33" s="1240"/>
      <c r="V33" s="1468"/>
      <c r="W33" s="1450"/>
    </row>
    <row r="34" spans="2:23" x14ac:dyDescent="0.25">
      <c r="B34" s="1427"/>
      <c r="C34" s="1419"/>
      <c r="D34" s="1419"/>
      <c r="E34" s="1404"/>
      <c r="F34" s="1407"/>
      <c r="G34" s="1262"/>
      <c r="H34" s="1393"/>
      <c r="I34" s="1393"/>
      <c r="J34" s="1454"/>
      <c r="K34" s="1247"/>
      <c r="L34" s="1335"/>
      <c r="M34" s="1247"/>
      <c r="N34" s="1396"/>
      <c r="O34" s="1247"/>
      <c r="P34" s="1253"/>
      <c r="Q34" s="1404"/>
      <c r="R34" s="1407"/>
      <c r="S34" s="1383"/>
      <c r="T34" s="1378"/>
      <c r="U34" s="1240"/>
      <c r="V34" s="1468"/>
      <c r="W34" s="1450"/>
    </row>
    <row r="35" spans="2:23" x14ac:dyDescent="0.25">
      <c r="B35" s="1427"/>
      <c r="C35" s="1419"/>
      <c r="D35" s="1419"/>
      <c r="E35" s="1404"/>
      <c r="F35" s="1407"/>
      <c r="G35" s="1262"/>
      <c r="H35" s="1393"/>
      <c r="I35" s="1393"/>
      <c r="J35" s="1454"/>
      <c r="K35" s="1247"/>
      <c r="L35" s="1335"/>
      <c r="M35" s="1247"/>
      <c r="N35" s="1396"/>
      <c r="O35" s="1247"/>
      <c r="P35" s="1253"/>
      <c r="Q35" s="1404"/>
      <c r="R35" s="1407"/>
      <c r="S35" s="1383"/>
      <c r="T35" s="1378"/>
      <c r="U35" s="1240"/>
      <c r="V35" s="1468"/>
      <c r="W35" s="1450"/>
    </row>
    <row r="36" spans="2:23" x14ac:dyDescent="0.25">
      <c r="B36" s="1427"/>
      <c r="C36" s="1419"/>
      <c r="D36" s="1419"/>
      <c r="E36" s="1404"/>
      <c r="F36" s="1407"/>
      <c r="G36" s="1262"/>
      <c r="H36" s="1393"/>
      <c r="I36" s="1393"/>
      <c r="J36" s="1454"/>
      <c r="K36" s="1247"/>
      <c r="L36" s="1335"/>
      <c r="M36" s="1247"/>
      <c r="N36" s="1396"/>
      <c r="O36" s="1247"/>
      <c r="P36" s="1253"/>
      <c r="Q36" s="1404"/>
      <c r="R36" s="1407"/>
      <c r="S36" s="1383"/>
      <c r="T36" s="1378"/>
      <c r="U36" s="1240"/>
      <c r="V36" s="1468"/>
      <c r="W36" s="1450"/>
    </row>
    <row r="37" spans="2:23" x14ac:dyDescent="0.25">
      <c r="B37" s="1427"/>
      <c r="C37" s="1419"/>
      <c r="D37" s="1419"/>
      <c r="E37" s="1404"/>
      <c r="F37" s="1407"/>
      <c r="G37" s="1262"/>
      <c r="H37" s="1393"/>
      <c r="I37" s="1393"/>
      <c r="J37" s="1454"/>
      <c r="K37" s="1247"/>
      <c r="L37" s="1335"/>
      <c r="M37" s="1247"/>
      <c r="N37" s="1396"/>
      <c r="O37" s="1247"/>
      <c r="P37" s="1253"/>
      <c r="Q37" s="1404"/>
      <c r="R37" s="1407"/>
      <c r="S37" s="1383"/>
      <c r="T37" s="1378"/>
      <c r="U37" s="1240"/>
      <c r="V37" s="1468"/>
      <c r="W37" s="1450"/>
    </row>
    <row r="38" spans="2:23" x14ac:dyDescent="0.25">
      <c r="B38" s="1427"/>
      <c r="C38" s="1419"/>
      <c r="D38" s="1420"/>
      <c r="E38" s="1405"/>
      <c r="F38" s="1408"/>
      <c r="G38" s="1263"/>
      <c r="H38" s="1398"/>
      <c r="I38" s="1398"/>
      <c r="J38" s="1454"/>
      <c r="K38" s="1248"/>
      <c r="L38" s="1336"/>
      <c r="M38" s="1248"/>
      <c r="N38" s="1400"/>
      <c r="O38" s="1248"/>
      <c r="P38" s="1253"/>
      <c r="Q38" s="1405"/>
      <c r="R38" s="1408"/>
      <c r="S38" s="1402"/>
      <c r="T38" s="1391"/>
      <c r="U38" s="1246"/>
      <c r="V38" s="1468"/>
      <c r="W38" s="1450"/>
    </row>
    <row r="39" spans="2:23" x14ac:dyDescent="0.25">
      <c r="B39" s="1427"/>
      <c r="C39" s="1419"/>
      <c r="D39" s="1422" t="s">
        <v>182</v>
      </c>
      <c r="E39" s="1403">
        <f>+' R. MATRIZ DIARIA '!F39:F40</f>
        <v>3450.8061008333329</v>
      </c>
      <c r="F39" s="1406">
        <v>30</v>
      </c>
      <c r="G39" s="1265">
        <f>+E39*F39</f>
        <v>103524.18302499999</v>
      </c>
      <c r="H39" s="1392">
        <v>12</v>
      </c>
      <c r="I39" s="1265">
        <f>+H39*G39</f>
        <v>1242290.1963</v>
      </c>
      <c r="J39" s="1454"/>
      <c r="K39" s="1249">
        <f>+' R. MATRIZ DIARIA '!I39:I40</f>
        <v>3450.8061008333329</v>
      </c>
      <c r="L39" s="1334">
        <v>30</v>
      </c>
      <c r="M39" s="1249">
        <f>+L39*K39</f>
        <v>103524.18302499999</v>
      </c>
      <c r="N39" s="1395">
        <v>12</v>
      </c>
      <c r="O39" s="1249">
        <f>N39*M39</f>
        <v>1242290.1963</v>
      </c>
      <c r="P39" s="1253"/>
      <c r="Q39" s="1403">
        <f>+' R. MATRIZ DIARIA '!L39:L40</f>
        <v>19676.263503086422</v>
      </c>
      <c r="R39" s="1406">
        <v>30</v>
      </c>
      <c r="S39" s="1401">
        <f>+R39*Q39</f>
        <v>590287.9050925927</v>
      </c>
      <c r="T39" s="1377">
        <v>12</v>
      </c>
      <c r="U39" s="1239">
        <f>+S39*T39</f>
        <v>7083454.8611111119</v>
      </c>
      <c r="V39" s="1468"/>
      <c r="W39" s="1450"/>
    </row>
    <row r="40" spans="2:23" x14ac:dyDescent="0.25">
      <c r="B40" s="1427"/>
      <c r="C40" s="1420"/>
      <c r="D40" s="1425"/>
      <c r="E40" s="1405"/>
      <c r="F40" s="1408"/>
      <c r="G40" s="1263"/>
      <c r="H40" s="1398"/>
      <c r="I40" s="1263"/>
      <c r="J40" s="1454"/>
      <c r="K40" s="1248"/>
      <c r="L40" s="1336"/>
      <c r="M40" s="1248"/>
      <c r="N40" s="1400"/>
      <c r="O40" s="1248"/>
      <c r="P40" s="1253"/>
      <c r="Q40" s="1405"/>
      <c r="R40" s="1408"/>
      <c r="S40" s="1402"/>
      <c r="T40" s="1391"/>
      <c r="U40" s="1246"/>
      <c r="V40" s="1468"/>
      <c r="W40" s="1450"/>
    </row>
    <row r="41" spans="2:23" x14ac:dyDescent="0.25">
      <c r="B41" s="1427"/>
      <c r="C41" s="1418" t="s">
        <v>157</v>
      </c>
      <c r="D41" s="1422" t="s">
        <v>183</v>
      </c>
      <c r="E41" s="1403">
        <f>+' R. MATRIZ DIARIA '!F41:F47</f>
        <v>8051.8809019444434</v>
      </c>
      <c r="F41" s="1406">
        <v>30</v>
      </c>
      <c r="G41" s="1265">
        <f>+E41*F41</f>
        <v>241556.4270583333</v>
      </c>
      <c r="H41" s="1392">
        <v>12</v>
      </c>
      <c r="I41" s="1265">
        <f>+H41*G41</f>
        <v>2898677.1246999996</v>
      </c>
      <c r="J41" s="1454"/>
      <c r="K41" s="1249">
        <f>+' R. MATRIZ DIARIA '!I41:I47</f>
        <v>8051.8809019444434</v>
      </c>
      <c r="L41" s="1334">
        <v>30</v>
      </c>
      <c r="M41" s="1249">
        <f>+L41*K41</f>
        <v>241556.4270583333</v>
      </c>
      <c r="N41" s="1395">
        <v>12</v>
      </c>
      <c r="O41" s="1249">
        <f>N41*M41</f>
        <v>2898677.1246999996</v>
      </c>
      <c r="P41" s="1253"/>
      <c r="Q41" s="1403">
        <f>+' R. MATRIZ DIARIA '!L41:L47</f>
        <v>1498.2804783950619</v>
      </c>
      <c r="R41" s="1406">
        <v>30</v>
      </c>
      <c r="S41" s="1401">
        <f>+R41*Q41</f>
        <v>44948.414351851854</v>
      </c>
      <c r="T41" s="1377">
        <v>12</v>
      </c>
      <c r="U41" s="1239">
        <f>+T41*S41</f>
        <v>539380.97222222225</v>
      </c>
      <c r="V41" s="1468"/>
      <c r="W41" s="1450"/>
    </row>
    <row r="42" spans="2:23" x14ac:dyDescent="0.25">
      <c r="B42" s="1427"/>
      <c r="C42" s="1419"/>
      <c r="D42" s="1423"/>
      <c r="E42" s="1404"/>
      <c r="F42" s="1407"/>
      <c r="G42" s="1262"/>
      <c r="H42" s="1393"/>
      <c r="I42" s="1262"/>
      <c r="J42" s="1454"/>
      <c r="K42" s="1247"/>
      <c r="L42" s="1335"/>
      <c r="M42" s="1247"/>
      <c r="N42" s="1396"/>
      <c r="O42" s="1247"/>
      <c r="P42" s="1253"/>
      <c r="Q42" s="1404"/>
      <c r="R42" s="1407"/>
      <c r="S42" s="1383"/>
      <c r="T42" s="1378"/>
      <c r="U42" s="1240"/>
      <c r="V42" s="1468"/>
      <c r="W42" s="1450"/>
    </row>
    <row r="43" spans="2:23" x14ac:dyDescent="0.25">
      <c r="B43" s="1427"/>
      <c r="C43" s="1419"/>
      <c r="D43" s="1423"/>
      <c r="E43" s="1404"/>
      <c r="F43" s="1407"/>
      <c r="G43" s="1262"/>
      <c r="H43" s="1393"/>
      <c r="I43" s="1262"/>
      <c r="J43" s="1454"/>
      <c r="K43" s="1247"/>
      <c r="L43" s="1335"/>
      <c r="M43" s="1247"/>
      <c r="N43" s="1396"/>
      <c r="O43" s="1247"/>
      <c r="P43" s="1253"/>
      <c r="Q43" s="1404"/>
      <c r="R43" s="1407"/>
      <c r="S43" s="1383"/>
      <c r="T43" s="1378"/>
      <c r="U43" s="1240"/>
      <c r="V43" s="1468"/>
      <c r="W43" s="1450"/>
    </row>
    <row r="44" spans="2:23" x14ac:dyDescent="0.25">
      <c r="B44" s="1427"/>
      <c r="C44" s="1419"/>
      <c r="D44" s="1423"/>
      <c r="E44" s="1404"/>
      <c r="F44" s="1407"/>
      <c r="G44" s="1262"/>
      <c r="H44" s="1393"/>
      <c r="I44" s="1262"/>
      <c r="J44" s="1454"/>
      <c r="K44" s="1247"/>
      <c r="L44" s="1335"/>
      <c r="M44" s="1247"/>
      <c r="N44" s="1396"/>
      <c r="O44" s="1247"/>
      <c r="P44" s="1253"/>
      <c r="Q44" s="1404"/>
      <c r="R44" s="1407"/>
      <c r="S44" s="1383"/>
      <c r="T44" s="1378"/>
      <c r="U44" s="1240"/>
      <c r="V44" s="1468"/>
      <c r="W44" s="1450"/>
    </row>
    <row r="45" spans="2:23" x14ac:dyDescent="0.25">
      <c r="B45" s="1427"/>
      <c r="C45" s="1419"/>
      <c r="D45" s="1423"/>
      <c r="E45" s="1404"/>
      <c r="F45" s="1407"/>
      <c r="G45" s="1262"/>
      <c r="H45" s="1393"/>
      <c r="I45" s="1262"/>
      <c r="J45" s="1454"/>
      <c r="K45" s="1247"/>
      <c r="L45" s="1335"/>
      <c r="M45" s="1247"/>
      <c r="N45" s="1396"/>
      <c r="O45" s="1247"/>
      <c r="P45" s="1253"/>
      <c r="Q45" s="1404"/>
      <c r="R45" s="1407"/>
      <c r="S45" s="1383"/>
      <c r="T45" s="1378"/>
      <c r="U45" s="1240"/>
      <c r="V45" s="1468"/>
      <c r="W45" s="1450"/>
    </row>
    <row r="46" spans="2:23" x14ac:dyDescent="0.25">
      <c r="B46" s="1427"/>
      <c r="C46" s="1419"/>
      <c r="D46" s="1423"/>
      <c r="E46" s="1404"/>
      <c r="F46" s="1407"/>
      <c r="G46" s="1262"/>
      <c r="H46" s="1393"/>
      <c r="I46" s="1262"/>
      <c r="J46" s="1454"/>
      <c r="K46" s="1247"/>
      <c r="L46" s="1335"/>
      <c r="M46" s="1247"/>
      <c r="N46" s="1396"/>
      <c r="O46" s="1247"/>
      <c r="P46" s="1253"/>
      <c r="Q46" s="1404"/>
      <c r="R46" s="1407"/>
      <c r="S46" s="1383"/>
      <c r="T46" s="1378"/>
      <c r="U46" s="1240"/>
      <c r="V46" s="1468"/>
      <c r="W46" s="1450"/>
    </row>
    <row r="47" spans="2:23" ht="15.75" thickBot="1" x14ac:dyDescent="0.3">
      <c r="B47" s="1428"/>
      <c r="C47" s="1421"/>
      <c r="D47" s="1424"/>
      <c r="E47" s="1409"/>
      <c r="F47" s="1410"/>
      <c r="G47" s="1264"/>
      <c r="H47" s="1394"/>
      <c r="I47" s="1264"/>
      <c r="J47" s="1455"/>
      <c r="K47" s="1250"/>
      <c r="L47" s="1344"/>
      <c r="M47" s="1250"/>
      <c r="N47" s="1397"/>
      <c r="O47" s="1250"/>
      <c r="P47" s="1254"/>
      <c r="Q47" s="1409"/>
      <c r="R47" s="1410"/>
      <c r="S47" s="1384"/>
      <c r="T47" s="1379"/>
      <c r="U47" s="1241"/>
      <c r="V47" s="1469"/>
      <c r="W47" s="1451"/>
    </row>
    <row r="48" spans="2:23" s="37" customFormat="1" ht="15.75" thickBot="1" x14ac:dyDescent="0.3">
      <c r="B48" s="35"/>
      <c r="C48" s="35"/>
      <c r="D48" s="35"/>
      <c r="G48" s="35"/>
      <c r="H48" s="397"/>
      <c r="I48" s="35"/>
      <c r="J48" s="34"/>
      <c r="K48" s="35"/>
      <c r="L48" s="397"/>
      <c r="M48" s="35"/>
      <c r="N48" s="398"/>
      <c r="O48" s="35"/>
      <c r="P48" s="34"/>
      <c r="Q48" s="35"/>
      <c r="R48" s="398"/>
      <c r="S48" s="35"/>
      <c r="T48" s="35"/>
      <c r="U48" s="399"/>
      <c r="V48" s="392"/>
      <c r="W48" s="96"/>
    </row>
    <row r="49" spans="2:23" x14ac:dyDescent="0.25">
      <c r="B49" s="1414" t="s">
        <v>9</v>
      </c>
      <c r="C49" s="1416" t="s">
        <v>154</v>
      </c>
      <c r="D49" s="402" t="s">
        <v>184</v>
      </c>
      <c r="E49" s="345">
        <f>+' R. MATRIZ DIARIA '!F49</f>
        <v>2222.2222222222222</v>
      </c>
      <c r="F49" s="401">
        <v>30</v>
      </c>
      <c r="G49" s="368">
        <f>+E49*F49</f>
        <v>66666.666666666672</v>
      </c>
      <c r="H49" s="407">
        <v>12</v>
      </c>
      <c r="I49" s="368">
        <f>+G49*H49</f>
        <v>800000</v>
      </c>
      <c r="J49" s="1457">
        <f>+SUM(I49:I59)</f>
        <v>1071336.8055555555</v>
      </c>
      <c r="K49" s="375">
        <f>+' R. MATRIZ DIARIA '!I49</f>
        <v>2760.6448806666663</v>
      </c>
      <c r="L49" s="374">
        <v>30</v>
      </c>
      <c r="M49" s="375">
        <f>+K49*L49</f>
        <v>82819.346419999987</v>
      </c>
      <c r="N49" s="410">
        <v>12</v>
      </c>
      <c r="O49" s="375">
        <f>+M49*N49</f>
        <v>993832.15703999985</v>
      </c>
      <c r="P49" s="1461">
        <f>+SUM(O49:O59)</f>
        <v>29814964.711200003</v>
      </c>
      <c r="Q49" s="363">
        <f>+' R. MATRIZ DIARIA '!L49</f>
        <v>19741.263888888891</v>
      </c>
      <c r="R49" s="364">
        <v>30</v>
      </c>
      <c r="S49" s="412">
        <f>+R49*Q49</f>
        <v>592237.91666666674</v>
      </c>
      <c r="T49" s="413">
        <v>12</v>
      </c>
      <c r="U49" s="353">
        <f>+S49*T49</f>
        <v>7106855.0000000009</v>
      </c>
      <c r="V49" s="1467">
        <f>+SUM(U49:U59)</f>
        <v>17826113.611111112</v>
      </c>
      <c r="W49" s="1452">
        <f>+SUM(J49+P49+V49)</f>
        <v>48712415.12786667</v>
      </c>
    </row>
    <row r="50" spans="2:23" x14ac:dyDescent="0.25">
      <c r="B50" s="1415"/>
      <c r="C50" s="1417"/>
      <c r="D50" s="1418" t="s">
        <v>185</v>
      </c>
      <c r="E50" s="1411">
        <f>+' R. MATRIZ DIARIA '!F50:F58</f>
        <v>751.45640432098776</v>
      </c>
      <c r="F50" s="1406">
        <v>30</v>
      </c>
      <c r="G50" s="1367">
        <f>+E50*F50</f>
        <v>22543.692129629631</v>
      </c>
      <c r="H50" s="1392">
        <v>12</v>
      </c>
      <c r="I50" s="1367">
        <f>+G50*H50</f>
        <v>270524.30555555556</v>
      </c>
      <c r="J50" s="1458"/>
      <c r="K50" s="1337">
        <f>+' R. MATRIZ DIARIA '!I50:I58</f>
        <v>74997.519258111104</v>
      </c>
      <c r="L50" s="1334">
        <v>30</v>
      </c>
      <c r="M50" s="1337">
        <f>+L50*K50</f>
        <v>2249925.5777433333</v>
      </c>
      <c r="N50" s="1395">
        <v>12</v>
      </c>
      <c r="O50" s="1337">
        <f>+M50*N50</f>
        <v>26999106.932920001</v>
      </c>
      <c r="P50" s="1462"/>
      <c r="Q50" s="1411">
        <f>+' R. MATRIZ DIARIA '!L50:L58</f>
        <v>28528.225308641973</v>
      </c>
      <c r="R50" s="1406">
        <v>30</v>
      </c>
      <c r="S50" s="1380">
        <f>+Q50*R50</f>
        <v>855846.75925925921</v>
      </c>
      <c r="T50" s="1377">
        <v>12</v>
      </c>
      <c r="U50" s="1239">
        <f>+S50*T50</f>
        <v>10270161.11111111</v>
      </c>
      <c r="V50" s="1468"/>
      <c r="W50" s="1450"/>
    </row>
    <row r="51" spans="2:23" x14ac:dyDescent="0.25">
      <c r="B51" s="1415"/>
      <c r="C51" s="1417"/>
      <c r="D51" s="1419"/>
      <c r="E51" s="1412"/>
      <c r="F51" s="1407"/>
      <c r="G51" s="1368"/>
      <c r="H51" s="1393"/>
      <c r="I51" s="1368"/>
      <c r="J51" s="1458"/>
      <c r="K51" s="1338"/>
      <c r="L51" s="1335"/>
      <c r="M51" s="1338"/>
      <c r="N51" s="1396"/>
      <c r="O51" s="1338"/>
      <c r="P51" s="1462"/>
      <c r="Q51" s="1412"/>
      <c r="R51" s="1407"/>
      <c r="S51" s="1381"/>
      <c r="T51" s="1378"/>
      <c r="U51" s="1240"/>
      <c r="V51" s="1468"/>
      <c r="W51" s="1450"/>
    </row>
    <row r="52" spans="2:23" x14ac:dyDescent="0.25">
      <c r="B52" s="1415"/>
      <c r="C52" s="1417"/>
      <c r="D52" s="1419"/>
      <c r="E52" s="1412"/>
      <c r="F52" s="1407"/>
      <c r="G52" s="1368"/>
      <c r="H52" s="1393"/>
      <c r="I52" s="1368"/>
      <c r="J52" s="1458"/>
      <c r="K52" s="1338"/>
      <c r="L52" s="1335"/>
      <c r="M52" s="1338"/>
      <c r="N52" s="1396"/>
      <c r="O52" s="1338"/>
      <c r="P52" s="1462"/>
      <c r="Q52" s="1412"/>
      <c r="R52" s="1407"/>
      <c r="S52" s="1381"/>
      <c r="T52" s="1378"/>
      <c r="U52" s="1240"/>
      <c r="V52" s="1468"/>
      <c r="W52" s="1450"/>
    </row>
    <row r="53" spans="2:23" x14ac:dyDescent="0.25">
      <c r="B53" s="1415"/>
      <c r="C53" s="1417"/>
      <c r="D53" s="1419"/>
      <c r="E53" s="1412"/>
      <c r="F53" s="1407"/>
      <c r="G53" s="1368"/>
      <c r="H53" s="1393"/>
      <c r="I53" s="1368"/>
      <c r="J53" s="1458"/>
      <c r="K53" s="1338"/>
      <c r="L53" s="1335"/>
      <c r="M53" s="1338"/>
      <c r="N53" s="1396"/>
      <c r="O53" s="1338"/>
      <c r="P53" s="1462"/>
      <c r="Q53" s="1412"/>
      <c r="R53" s="1407"/>
      <c r="S53" s="1381"/>
      <c r="T53" s="1378"/>
      <c r="U53" s="1240"/>
      <c r="V53" s="1468"/>
      <c r="W53" s="1450"/>
    </row>
    <row r="54" spans="2:23" x14ac:dyDescent="0.25">
      <c r="B54" s="1415"/>
      <c r="C54" s="1417"/>
      <c r="D54" s="1419"/>
      <c r="E54" s="1412"/>
      <c r="F54" s="1407"/>
      <c r="G54" s="1368"/>
      <c r="H54" s="1393"/>
      <c r="I54" s="1368"/>
      <c r="J54" s="1458"/>
      <c r="K54" s="1338"/>
      <c r="L54" s="1335"/>
      <c r="M54" s="1338"/>
      <c r="N54" s="1396"/>
      <c r="O54" s="1338"/>
      <c r="P54" s="1462"/>
      <c r="Q54" s="1412"/>
      <c r="R54" s="1407"/>
      <c r="S54" s="1381"/>
      <c r="T54" s="1378"/>
      <c r="U54" s="1240"/>
      <c r="V54" s="1468"/>
      <c r="W54" s="1450"/>
    </row>
    <row r="55" spans="2:23" x14ac:dyDescent="0.25">
      <c r="B55" s="1415"/>
      <c r="C55" s="1417"/>
      <c r="D55" s="1419"/>
      <c r="E55" s="1412"/>
      <c r="F55" s="1407"/>
      <c r="G55" s="1368"/>
      <c r="H55" s="1393"/>
      <c r="I55" s="1368"/>
      <c r="J55" s="1458"/>
      <c r="K55" s="1338"/>
      <c r="L55" s="1335"/>
      <c r="M55" s="1338"/>
      <c r="N55" s="1396"/>
      <c r="O55" s="1338"/>
      <c r="P55" s="1462"/>
      <c r="Q55" s="1412"/>
      <c r="R55" s="1407"/>
      <c r="S55" s="1381"/>
      <c r="T55" s="1378"/>
      <c r="U55" s="1240"/>
      <c r="V55" s="1468"/>
      <c r="W55" s="1450"/>
    </row>
    <row r="56" spans="2:23" x14ac:dyDescent="0.25">
      <c r="B56" s="1415"/>
      <c r="C56" s="1417"/>
      <c r="D56" s="1419"/>
      <c r="E56" s="1412"/>
      <c r="F56" s="1407"/>
      <c r="G56" s="1368"/>
      <c r="H56" s="1393"/>
      <c r="I56" s="1368"/>
      <c r="J56" s="1458"/>
      <c r="K56" s="1338"/>
      <c r="L56" s="1335"/>
      <c r="M56" s="1338"/>
      <c r="N56" s="1396"/>
      <c r="O56" s="1338"/>
      <c r="P56" s="1462"/>
      <c r="Q56" s="1412"/>
      <c r="R56" s="1407"/>
      <c r="S56" s="1381"/>
      <c r="T56" s="1378"/>
      <c r="U56" s="1240"/>
      <c r="V56" s="1468"/>
      <c r="W56" s="1450"/>
    </row>
    <row r="57" spans="2:23" x14ac:dyDescent="0.25">
      <c r="B57" s="1415"/>
      <c r="C57" s="1417"/>
      <c r="D57" s="1419"/>
      <c r="E57" s="1412"/>
      <c r="F57" s="1407"/>
      <c r="G57" s="1368"/>
      <c r="H57" s="1393"/>
      <c r="I57" s="1368"/>
      <c r="J57" s="1458"/>
      <c r="K57" s="1338"/>
      <c r="L57" s="1335"/>
      <c r="M57" s="1338"/>
      <c r="N57" s="1396"/>
      <c r="O57" s="1338"/>
      <c r="P57" s="1462"/>
      <c r="Q57" s="1412"/>
      <c r="R57" s="1407"/>
      <c r="S57" s="1381"/>
      <c r="T57" s="1378"/>
      <c r="U57" s="1240"/>
      <c r="V57" s="1468"/>
      <c r="W57" s="1450"/>
    </row>
    <row r="58" spans="2:23" x14ac:dyDescent="0.25">
      <c r="B58" s="1415"/>
      <c r="C58" s="1417"/>
      <c r="D58" s="1420"/>
      <c r="E58" s="1413"/>
      <c r="F58" s="1408"/>
      <c r="G58" s="1369"/>
      <c r="H58" s="1398"/>
      <c r="I58" s="1369"/>
      <c r="J58" s="1458"/>
      <c r="K58" s="1339"/>
      <c r="L58" s="1336"/>
      <c r="M58" s="1339"/>
      <c r="N58" s="1400"/>
      <c r="O58" s="1339"/>
      <c r="P58" s="1462"/>
      <c r="Q58" s="1413"/>
      <c r="R58" s="1408"/>
      <c r="S58" s="1382"/>
      <c r="T58" s="1391"/>
      <c r="U58" s="1246"/>
      <c r="V58" s="1468"/>
      <c r="W58" s="1450"/>
    </row>
    <row r="59" spans="2:23" ht="30" x14ac:dyDescent="0.25">
      <c r="B59" s="1415"/>
      <c r="C59" s="403" t="s">
        <v>155</v>
      </c>
      <c r="D59" s="403" t="s">
        <v>186</v>
      </c>
      <c r="E59" s="346">
        <f>+' R. MATRIZ DIARIA '!F59</f>
        <v>2.2569444444444446</v>
      </c>
      <c r="F59" s="393">
        <v>30</v>
      </c>
      <c r="G59" s="157">
        <f>+E59*F59</f>
        <v>67.708333333333343</v>
      </c>
      <c r="H59" s="156">
        <v>12</v>
      </c>
      <c r="I59" s="157">
        <f>+G59*H59</f>
        <v>812.50000000000011</v>
      </c>
      <c r="J59" s="1459"/>
      <c r="K59" s="159">
        <f>+' R. MATRIZ DIARIA '!I59</f>
        <v>5061.1822812222217</v>
      </c>
      <c r="L59" s="223">
        <v>30</v>
      </c>
      <c r="M59" s="159">
        <f>+L59*K59</f>
        <v>151835.46843666665</v>
      </c>
      <c r="N59" s="411">
        <v>12</v>
      </c>
      <c r="O59" s="159">
        <f>+M59*N59</f>
        <v>1822025.6212399998</v>
      </c>
      <c r="P59" s="1463"/>
      <c r="Q59" s="359">
        <f>+' R. MATRIZ DIARIA '!L59</f>
        <v>1247.4930555555554</v>
      </c>
      <c r="R59" s="357">
        <v>30</v>
      </c>
      <c r="S59" s="414">
        <f>+R59*Q59</f>
        <v>37424.791666666664</v>
      </c>
      <c r="T59" s="415">
        <v>12</v>
      </c>
      <c r="U59" s="355">
        <f>+S59*T59</f>
        <v>449097.5</v>
      </c>
      <c r="V59" s="1468"/>
      <c r="W59" s="1450"/>
    </row>
    <row r="60" spans="2:23" x14ac:dyDescent="0.25">
      <c r="B60" s="1433" t="s">
        <v>49</v>
      </c>
      <c r="C60" s="1434"/>
      <c r="D60" s="1434"/>
      <c r="G60" s="1438" t="s">
        <v>388</v>
      </c>
      <c r="H60" s="1438"/>
      <c r="I60" s="1438"/>
      <c r="J60" s="1230">
        <f>+J49+J31+J16</f>
        <v>12339832.183366667</v>
      </c>
      <c r="K60" s="1440" t="s">
        <v>389</v>
      </c>
      <c r="L60" s="1440"/>
      <c r="M60" s="1440"/>
      <c r="N60" s="1440"/>
      <c r="O60" s="1440"/>
      <c r="P60" s="1232">
        <f>+P49+P31+P16</f>
        <v>77440056.477899998</v>
      </c>
      <c r="S60" s="1441" t="s">
        <v>633</v>
      </c>
      <c r="T60" s="1441"/>
      <c r="U60" s="1441"/>
      <c r="V60" s="1442">
        <f>+V49+V31+V16</f>
        <v>35059777.638888888</v>
      </c>
      <c r="W60" s="1444">
        <f>+W49+W31+W16</f>
        <v>124839666.30015557</v>
      </c>
    </row>
    <row r="61" spans="2:23" ht="15.75" thickBot="1" x14ac:dyDescent="0.3">
      <c r="B61" s="1435"/>
      <c r="C61" s="1436"/>
      <c r="D61" s="1436"/>
      <c r="E61" s="229"/>
      <c r="F61" s="229"/>
      <c r="G61" s="1439"/>
      <c r="H61" s="1439"/>
      <c r="I61" s="1439"/>
      <c r="J61" s="1231"/>
      <c r="K61" s="1233"/>
      <c r="L61" s="1233"/>
      <c r="M61" s="1233"/>
      <c r="N61" s="1233"/>
      <c r="O61" s="1233"/>
      <c r="P61" s="1233"/>
      <c r="Q61" s="187"/>
      <c r="R61" s="187"/>
      <c r="S61" s="1235"/>
      <c r="T61" s="1235"/>
      <c r="U61" s="1235"/>
      <c r="V61" s="1443"/>
      <c r="W61" s="1445"/>
    </row>
    <row r="62" spans="2:23" x14ac:dyDescent="0.25"/>
    <row r="63" spans="2:23" x14ac:dyDescent="0.25">
      <c r="V63" s="395"/>
    </row>
    <row r="64" spans="2:23" x14ac:dyDescent="0.25"/>
  </sheetData>
  <mergeCells count="144">
    <mergeCell ref="B60:D61"/>
    <mergeCell ref="B7:W7"/>
    <mergeCell ref="B8:W8"/>
    <mergeCell ref="B9:W9"/>
    <mergeCell ref="G60:I61"/>
    <mergeCell ref="J60:J61"/>
    <mergeCell ref="K60:O61"/>
    <mergeCell ref="P60:P61"/>
    <mergeCell ref="S60:U61"/>
    <mergeCell ref="V60:V61"/>
    <mergeCell ref="W60:W61"/>
    <mergeCell ref="W16:W29"/>
    <mergeCell ref="W31:W47"/>
    <mergeCell ref="W49:W59"/>
    <mergeCell ref="J16:J29"/>
    <mergeCell ref="J31:J47"/>
    <mergeCell ref="J49:J59"/>
    <mergeCell ref="P16:P29"/>
    <mergeCell ref="P31:P47"/>
    <mergeCell ref="P49:P59"/>
    <mergeCell ref="V16:V29"/>
    <mergeCell ref="V31:V47"/>
    <mergeCell ref="V49:V59"/>
    <mergeCell ref="Q32:Q38"/>
    <mergeCell ref="Q41:Q47"/>
    <mergeCell ref="R41:R47"/>
    <mergeCell ref="D22:D25"/>
    <mergeCell ref="E22:E25"/>
    <mergeCell ref="F22:F25"/>
    <mergeCell ref="G22:G25"/>
    <mergeCell ref="K22:K25"/>
    <mergeCell ref="L22:L25"/>
    <mergeCell ref="Q22:Q25"/>
    <mergeCell ref="R22:R25"/>
    <mergeCell ref="B16:B29"/>
    <mergeCell ref="C16:C17"/>
    <mergeCell ref="C18:C29"/>
    <mergeCell ref="D18:D21"/>
    <mergeCell ref="E18:E21"/>
    <mergeCell ref="F18:F21"/>
    <mergeCell ref="G18:G21"/>
    <mergeCell ref="K18:K21"/>
    <mergeCell ref="L18:L21"/>
    <mergeCell ref="K26:K29"/>
    <mergeCell ref="L26:L29"/>
    <mergeCell ref="H18:H21"/>
    <mergeCell ref="H22:H25"/>
    <mergeCell ref="H26:H29"/>
    <mergeCell ref="I18:I21"/>
    <mergeCell ref="I22:I25"/>
    <mergeCell ref="I26:I29"/>
    <mergeCell ref="C31:C40"/>
    <mergeCell ref="D32:D38"/>
    <mergeCell ref="E32:E38"/>
    <mergeCell ref="F32:F38"/>
    <mergeCell ref="G32:G38"/>
    <mergeCell ref="D26:D29"/>
    <mergeCell ref="E26:E29"/>
    <mergeCell ref="F26:F29"/>
    <mergeCell ref="G26:G29"/>
    <mergeCell ref="S41:S47"/>
    <mergeCell ref="B49:B59"/>
    <mergeCell ref="C49:C58"/>
    <mergeCell ref="D50:D58"/>
    <mergeCell ref="E50:E58"/>
    <mergeCell ref="F50:F58"/>
    <mergeCell ref="M39:M40"/>
    <mergeCell ref="Q39:Q40"/>
    <mergeCell ref="R39:R40"/>
    <mergeCell ref="S39:S40"/>
    <mergeCell ref="C41:C47"/>
    <mergeCell ref="D41:D47"/>
    <mergeCell ref="E41:E47"/>
    <mergeCell ref="F41:F47"/>
    <mergeCell ref="G41:G47"/>
    <mergeCell ref="K41:K47"/>
    <mergeCell ref="D39:D40"/>
    <mergeCell ref="E39:E40"/>
    <mergeCell ref="F39:F40"/>
    <mergeCell ref="G39:G40"/>
    <mergeCell ref="K39:K40"/>
    <mergeCell ref="L39:L40"/>
    <mergeCell ref="G50:G58"/>
    <mergeCell ref="B31:B47"/>
    <mergeCell ref="K50:K58"/>
    <mergeCell ref="L50:L58"/>
    <mergeCell ref="M50:M58"/>
    <mergeCell ref="Q50:Q58"/>
    <mergeCell ref="R50:R58"/>
    <mergeCell ref="O50:O58"/>
    <mergeCell ref="N50:N58"/>
    <mergeCell ref="I50:I58"/>
    <mergeCell ref="H50:H58"/>
    <mergeCell ref="O18:O21"/>
    <mergeCell ref="O22:O25"/>
    <mergeCell ref="O26:O29"/>
    <mergeCell ref="T18:T21"/>
    <mergeCell ref="U18:U21"/>
    <mergeCell ref="S22:S25"/>
    <mergeCell ref="S18:S21"/>
    <mergeCell ref="M18:M21"/>
    <mergeCell ref="Q18:Q21"/>
    <mergeCell ref="R18:R21"/>
    <mergeCell ref="M26:M29"/>
    <mergeCell ref="Q26:Q29"/>
    <mergeCell ref="R26:R29"/>
    <mergeCell ref="N18:N21"/>
    <mergeCell ref="N22:N25"/>
    <mergeCell ref="L32:L38"/>
    <mergeCell ref="M32:M38"/>
    <mergeCell ref="T39:T40"/>
    <mergeCell ref="T22:T25"/>
    <mergeCell ref="U22:U25"/>
    <mergeCell ref="T26:T29"/>
    <mergeCell ref="U26:U29"/>
    <mergeCell ref="T32:T38"/>
    <mergeCell ref="U32:U38"/>
    <mergeCell ref="N26:N29"/>
    <mergeCell ref="R32:R38"/>
    <mergeCell ref="S32:S38"/>
    <mergeCell ref="U39:U40"/>
    <mergeCell ref="T41:T47"/>
    <mergeCell ref="U41:U47"/>
    <mergeCell ref="S50:S58"/>
    <mergeCell ref="S26:S29"/>
    <mergeCell ref="M22:M25"/>
    <mergeCell ref="B13:W14"/>
    <mergeCell ref="T50:T58"/>
    <mergeCell ref="U50:U58"/>
    <mergeCell ref="H41:H47"/>
    <mergeCell ref="I41:I47"/>
    <mergeCell ref="N41:N47"/>
    <mergeCell ref="O41:O47"/>
    <mergeCell ref="H32:H38"/>
    <mergeCell ref="I32:I38"/>
    <mergeCell ref="N32:N38"/>
    <mergeCell ref="O32:O38"/>
    <mergeCell ref="H39:H40"/>
    <mergeCell ref="I39:I40"/>
    <mergeCell ref="N39:N40"/>
    <mergeCell ref="O39:O40"/>
    <mergeCell ref="L41:L47"/>
    <mergeCell ref="M41:M47"/>
    <mergeCell ref="K32:K3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4CEB-44D5-4515-838C-9253D449F38E}">
  <dimension ref="A1:P91"/>
  <sheetViews>
    <sheetView topLeftCell="A25" zoomScaleNormal="100" workbookViewId="0">
      <selection activeCell="M37" sqref="M1:XFD1048576"/>
    </sheetView>
  </sheetViews>
  <sheetFormatPr baseColWidth="10" defaultColWidth="0" defaultRowHeight="15" zeroHeight="1" x14ac:dyDescent="0.25"/>
  <cols>
    <col min="1" max="1" width="4.140625" style="37" customWidth="1"/>
    <col min="2" max="2" width="43" customWidth="1"/>
    <col min="3" max="3" width="13.42578125" customWidth="1"/>
    <col min="4" max="4" width="22" customWidth="1"/>
    <col min="5" max="5" width="18.85546875" customWidth="1"/>
    <col min="6" max="6" width="15.42578125" customWidth="1"/>
    <col min="7" max="7" width="15.28515625" customWidth="1"/>
    <col min="8" max="8" width="16" customWidth="1"/>
    <col min="9" max="9" width="17.28515625" customWidth="1"/>
    <col min="10" max="10" width="19.7109375" customWidth="1"/>
    <col min="11" max="12" width="11.42578125" style="37" customWidth="1"/>
    <col min="13" max="16" width="0" style="37" hidden="1"/>
    <col min="17" max="16384" width="11.42578125" hidden="1"/>
  </cols>
  <sheetData>
    <row r="1" spans="1:16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1:16" x14ac:dyDescent="0.25">
      <c r="B2" s="37"/>
      <c r="C2" s="37"/>
      <c r="D2" s="37"/>
      <c r="E2" s="37"/>
      <c r="F2" s="37"/>
      <c r="G2" s="37"/>
      <c r="H2" s="37"/>
      <c r="I2" s="37"/>
      <c r="J2" s="37"/>
    </row>
    <row r="3" spans="1:16" x14ac:dyDescent="0.25">
      <c r="B3" s="37"/>
      <c r="C3" s="37"/>
      <c r="D3" s="37"/>
      <c r="E3" s="37"/>
      <c r="F3" s="37"/>
      <c r="G3" s="37"/>
      <c r="H3" s="37"/>
      <c r="I3" s="37"/>
      <c r="J3" s="37"/>
    </row>
    <row r="4" spans="1:16" x14ac:dyDescent="0.25">
      <c r="B4" s="37"/>
      <c r="C4" s="37"/>
      <c r="D4" s="37"/>
      <c r="E4" s="37"/>
      <c r="F4" s="37"/>
      <c r="G4" s="37"/>
      <c r="H4" s="37"/>
      <c r="I4" s="37"/>
      <c r="J4" s="37"/>
    </row>
    <row r="5" spans="1:16" x14ac:dyDescent="0.25">
      <c r="B5" s="37"/>
      <c r="C5" s="37"/>
      <c r="D5" s="37"/>
      <c r="E5" s="37"/>
      <c r="F5" s="37"/>
      <c r="G5" s="37"/>
      <c r="H5" s="37"/>
      <c r="I5" s="37"/>
      <c r="J5" s="37"/>
    </row>
    <row r="6" spans="1:16" x14ac:dyDescent="0.25">
      <c r="B6" s="37"/>
      <c r="C6" s="37"/>
      <c r="D6" s="37"/>
      <c r="E6" s="37"/>
      <c r="F6" s="37"/>
      <c r="G6" s="37"/>
      <c r="H6" s="37"/>
      <c r="I6" s="37"/>
      <c r="J6" s="37"/>
    </row>
    <row r="7" spans="1:16" ht="21" x14ac:dyDescent="0.35">
      <c r="B7" s="1470" t="s">
        <v>71</v>
      </c>
      <c r="C7" s="1470"/>
      <c r="D7" s="1470"/>
      <c r="E7" s="1470"/>
      <c r="F7" s="1470"/>
      <c r="G7" s="1470"/>
      <c r="H7" s="1470"/>
      <c r="I7" s="1470"/>
      <c r="J7" s="1470"/>
    </row>
    <row r="8" spans="1:16" ht="21" x14ac:dyDescent="0.35">
      <c r="B8" s="1470" t="s">
        <v>590</v>
      </c>
      <c r="C8" s="1470"/>
      <c r="D8" s="1470"/>
      <c r="E8" s="1470"/>
      <c r="F8" s="1470"/>
      <c r="G8" s="1470"/>
      <c r="H8" s="1470"/>
      <c r="I8" s="1470"/>
      <c r="J8" s="1470"/>
    </row>
    <row r="9" spans="1:16" ht="21" x14ac:dyDescent="0.35">
      <c r="B9" s="1470" t="s">
        <v>591</v>
      </c>
      <c r="C9" s="1470"/>
      <c r="D9" s="1470"/>
      <c r="E9" s="1470"/>
      <c r="F9" s="1470"/>
      <c r="G9" s="1470"/>
      <c r="H9" s="1470"/>
      <c r="I9" s="1470"/>
      <c r="J9" s="1470"/>
    </row>
    <row r="10" spans="1:16" x14ac:dyDescent="0.25">
      <c r="B10" s="37"/>
      <c r="C10" s="37"/>
      <c r="D10" s="37"/>
      <c r="E10" s="37"/>
      <c r="F10" s="37"/>
      <c r="G10" s="37"/>
      <c r="H10" s="37"/>
      <c r="I10" s="37"/>
      <c r="J10" s="37"/>
    </row>
    <row r="11" spans="1:16" x14ac:dyDescent="0.25">
      <c r="B11" s="37"/>
      <c r="C11" s="37"/>
      <c r="D11" s="37"/>
      <c r="E11" s="37"/>
      <c r="F11" s="37"/>
      <c r="G11" s="37"/>
      <c r="H11" s="37"/>
      <c r="I11" s="37"/>
      <c r="J11" s="37"/>
    </row>
    <row r="12" spans="1:16" ht="15.75" thickBot="1" x14ac:dyDescent="0.3">
      <c r="B12" s="37"/>
      <c r="C12" s="37"/>
      <c r="D12" s="37"/>
      <c r="E12" s="37"/>
      <c r="F12" s="37"/>
      <c r="G12" s="37"/>
      <c r="H12" s="37"/>
      <c r="I12" s="37"/>
      <c r="J12" s="37"/>
    </row>
    <row r="13" spans="1:16" ht="30" customHeight="1" x14ac:dyDescent="0.25">
      <c r="B13" s="1476" t="s">
        <v>151</v>
      </c>
      <c r="C13" s="1477"/>
      <c r="D13" s="1477"/>
      <c r="E13" s="1477"/>
      <c r="F13" s="1477"/>
      <c r="G13" s="1477"/>
      <c r="H13" s="1477"/>
      <c r="I13" s="1477"/>
      <c r="J13" s="1478"/>
    </row>
    <row r="14" spans="1:16" ht="30" customHeight="1" x14ac:dyDescent="0.25">
      <c r="B14" s="1473" t="s">
        <v>28</v>
      </c>
      <c r="C14" s="1474"/>
      <c r="D14" s="1474"/>
      <c r="E14" s="1474"/>
      <c r="F14" s="1474"/>
      <c r="G14" s="1474"/>
      <c r="H14" s="1474"/>
      <c r="I14" s="1474"/>
      <c r="J14" s="1475"/>
    </row>
    <row r="15" spans="1:16" s="20" customFormat="1" ht="43.5" customHeight="1" x14ac:dyDescent="0.25">
      <c r="A15" s="328"/>
      <c r="B15" s="436" t="s">
        <v>29</v>
      </c>
      <c r="C15" s="431" t="s">
        <v>33</v>
      </c>
      <c r="D15" s="432" t="s">
        <v>131</v>
      </c>
      <c r="E15" s="432" t="s">
        <v>132</v>
      </c>
      <c r="F15" s="432" t="s">
        <v>583</v>
      </c>
      <c r="G15" s="432" t="s">
        <v>584</v>
      </c>
      <c r="H15" s="432" t="s">
        <v>587</v>
      </c>
      <c r="I15" s="432" t="s">
        <v>588</v>
      </c>
      <c r="J15" s="437" t="s">
        <v>589</v>
      </c>
      <c r="K15" s="328"/>
      <c r="L15" s="328"/>
      <c r="M15" s="328"/>
      <c r="N15" s="328"/>
      <c r="O15" s="328"/>
      <c r="P15" s="328"/>
    </row>
    <row r="16" spans="1:16" x14ac:dyDescent="0.25">
      <c r="B16" s="1479" t="s">
        <v>162</v>
      </c>
      <c r="C16" s="1480"/>
      <c r="D16" s="1480"/>
      <c r="E16" s="1480"/>
      <c r="F16" s="433">
        <v>10</v>
      </c>
      <c r="G16" s="434">
        <v>120</v>
      </c>
      <c r="H16" s="434">
        <v>3600</v>
      </c>
      <c r="I16" s="434">
        <v>86400</v>
      </c>
      <c r="J16" s="438">
        <v>5184000</v>
      </c>
    </row>
    <row r="17" spans="2:10" x14ac:dyDescent="0.25">
      <c r="B17" s="439" t="s">
        <v>12</v>
      </c>
      <c r="C17" s="5">
        <v>1</v>
      </c>
      <c r="D17" s="6">
        <f>+'ESTADO DE SITUANCION F INICIAL '!I53</f>
        <v>8000000</v>
      </c>
      <c r="E17" s="6">
        <f>+C17*D17</f>
        <v>8000000</v>
      </c>
      <c r="F17" s="6">
        <f>+D17/$F$16</f>
        <v>800000</v>
      </c>
      <c r="G17" s="6">
        <f>+D17/$G$16</f>
        <v>66666.666666666672</v>
      </c>
      <c r="H17" s="6">
        <f>+D17/$H$16</f>
        <v>2222.2222222222222</v>
      </c>
      <c r="I17" s="6">
        <f>+D17/$I$16</f>
        <v>92.592592592592595</v>
      </c>
      <c r="J17" s="166">
        <f>+D17/$J$16</f>
        <v>1.5432098765432098</v>
      </c>
    </row>
    <row r="18" spans="2:10" x14ac:dyDescent="0.25">
      <c r="B18" s="439" t="s">
        <v>13</v>
      </c>
      <c r="C18" s="5">
        <v>1</v>
      </c>
      <c r="D18" s="6">
        <f>+'ESTADO DE SITUANCION F INICIAL '!I54</f>
        <v>12300000</v>
      </c>
      <c r="E18" s="6">
        <f t="shared" ref="E18:E51" si="0">+C18*D18</f>
        <v>12300000</v>
      </c>
      <c r="F18" s="6">
        <f t="shared" ref="F18:F24" si="1">+D18/$F$16</f>
        <v>1230000</v>
      </c>
      <c r="G18" s="6">
        <f t="shared" ref="G18:G24" si="2">+D18/$G$16</f>
        <v>102500</v>
      </c>
      <c r="H18" s="6">
        <f t="shared" ref="H18:H24" si="3">+D18/$H$16</f>
        <v>3416.6666666666665</v>
      </c>
      <c r="I18" s="6">
        <f t="shared" ref="I18:I24" si="4">+D18/$I$16</f>
        <v>142.36111111111111</v>
      </c>
      <c r="J18" s="166">
        <f t="shared" ref="J18:J24" si="5">+D18/$J$16</f>
        <v>2.3726851851851851</v>
      </c>
    </row>
    <row r="19" spans="2:10" x14ac:dyDescent="0.25">
      <c r="B19" s="439" t="s">
        <v>14</v>
      </c>
      <c r="C19" s="5">
        <v>1</v>
      </c>
      <c r="D19" s="6">
        <f>+'ESTADO DE SITUANCION F INICIAL '!I55</f>
        <v>6000000</v>
      </c>
      <c r="E19" s="6">
        <f t="shared" si="0"/>
        <v>6000000</v>
      </c>
      <c r="F19" s="6">
        <f t="shared" si="1"/>
        <v>600000</v>
      </c>
      <c r="G19" s="6">
        <f t="shared" si="2"/>
        <v>50000</v>
      </c>
      <c r="H19" s="6">
        <f t="shared" si="3"/>
        <v>1666.6666666666667</v>
      </c>
      <c r="I19" s="6">
        <f t="shared" si="4"/>
        <v>69.444444444444443</v>
      </c>
      <c r="J19" s="166">
        <f t="shared" si="5"/>
        <v>1.1574074074074074</v>
      </c>
    </row>
    <row r="20" spans="2:10" x14ac:dyDescent="0.25">
      <c r="B20" s="439" t="s">
        <v>15</v>
      </c>
      <c r="C20" s="5">
        <v>1</v>
      </c>
      <c r="D20" s="6">
        <f>+'ESTADO DE SITUANCION F INICIAL '!I56</f>
        <v>4200000</v>
      </c>
      <c r="E20" s="6">
        <f t="shared" si="0"/>
        <v>4200000</v>
      </c>
      <c r="F20" s="6">
        <f t="shared" si="1"/>
        <v>420000</v>
      </c>
      <c r="G20" s="6">
        <f t="shared" si="2"/>
        <v>35000</v>
      </c>
      <c r="H20" s="6">
        <f t="shared" si="3"/>
        <v>1166.6666666666667</v>
      </c>
      <c r="I20" s="6">
        <f t="shared" si="4"/>
        <v>48.611111111111114</v>
      </c>
      <c r="J20" s="166">
        <f t="shared" si="5"/>
        <v>0.81018518518518523</v>
      </c>
    </row>
    <row r="21" spans="2:10" x14ac:dyDescent="0.25">
      <c r="B21" s="439" t="s">
        <v>17</v>
      </c>
      <c r="C21" s="5">
        <v>1</v>
      </c>
      <c r="D21" s="6">
        <f>+'ESTADO DE SITUANCION F INICIAL '!I57</f>
        <v>240000</v>
      </c>
      <c r="E21" s="6">
        <f t="shared" si="0"/>
        <v>240000</v>
      </c>
      <c r="F21" s="6">
        <f t="shared" si="1"/>
        <v>24000</v>
      </c>
      <c r="G21" s="6">
        <f t="shared" si="2"/>
        <v>2000</v>
      </c>
      <c r="H21" s="6">
        <f t="shared" si="3"/>
        <v>66.666666666666671</v>
      </c>
      <c r="I21" s="6">
        <f t="shared" si="4"/>
        <v>2.7777777777777777</v>
      </c>
      <c r="J21" s="166">
        <f t="shared" si="5"/>
        <v>4.6296296296296294E-2</v>
      </c>
    </row>
    <row r="22" spans="2:10" x14ac:dyDescent="0.25">
      <c r="B22" s="439" t="s">
        <v>18</v>
      </c>
      <c r="C22" s="5">
        <v>1</v>
      </c>
      <c r="D22" s="6">
        <f>+'ESTADO DE SITUANCION F INICIAL '!I58</f>
        <v>700000</v>
      </c>
      <c r="E22" s="6">
        <f t="shared" si="0"/>
        <v>700000</v>
      </c>
      <c r="F22" s="6">
        <f t="shared" si="1"/>
        <v>70000</v>
      </c>
      <c r="G22" s="6">
        <f t="shared" si="2"/>
        <v>5833.333333333333</v>
      </c>
      <c r="H22" s="6">
        <f t="shared" si="3"/>
        <v>194.44444444444446</v>
      </c>
      <c r="I22" s="6">
        <f t="shared" si="4"/>
        <v>8.1018518518518512</v>
      </c>
      <c r="J22" s="166">
        <f t="shared" si="5"/>
        <v>0.13503086419753085</v>
      </c>
    </row>
    <row r="23" spans="2:10" x14ac:dyDescent="0.25">
      <c r="B23" s="439" t="s">
        <v>31</v>
      </c>
      <c r="C23" s="5">
        <v>1</v>
      </c>
      <c r="D23" s="6">
        <f>+'ESTADO DE SITUANCION F INICIAL '!I41</f>
        <v>700000</v>
      </c>
      <c r="E23" s="6">
        <f t="shared" si="0"/>
        <v>700000</v>
      </c>
      <c r="F23" s="6">
        <f t="shared" si="1"/>
        <v>70000</v>
      </c>
      <c r="G23" s="6">
        <f t="shared" si="2"/>
        <v>5833.333333333333</v>
      </c>
      <c r="H23" s="6">
        <f t="shared" si="3"/>
        <v>194.44444444444446</v>
      </c>
      <c r="I23" s="6">
        <f t="shared" si="4"/>
        <v>8.1018518518518512</v>
      </c>
      <c r="J23" s="166">
        <f t="shared" si="5"/>
        <v>0.13503086419753085</v>
      </c>
    </row>
    <row r="24" spans="2:10" x14ac:dyDescent="0.25">
      <c r="B24" s="439" t="s">
        <v>32</v>
      </c>
      <c r="C24" s="5">
        <v>1</v>
      </c>
      <c r="D24" s="6">
        <f>+'ESTADO DE SITUANCION F INICIAL '!I42</f>
        <v>350000</v>
      </c>
      <c r="E24" s="6">
        <f t="shared" si="0"/>
        <v>350000</v>
      </c>
      <c r="F24" s="8">
        <f t="shared" si="1"/>
        <v>35000</v>
      </c>
      <c r="G24" s="8">
        <f t="shared" si="2"/>
        <v>2916.6666666666665</v>
      </c>
      <c r="H24" s="8">
        <f t="shared" si="3"/>
        <v>97.222222222222229</v>
      </c>
      <c r="I24" s="8">
        <f t="shared" si="4"/>
        <v>4.0509259259259256</v>
      </c>
      <c r="J24" s="166">
        <f t="shared" si="5"/>
        <v>6.7515432098765427E-2</v>
      </c>
    </row>
    <row r="25" spans="2:10" ht="16.5" customHeight="1" x14ac:dyDescent="0.25">
      <c r="B25" s="439" t="s">
        <v>112</v>
      </c>
      <c r="C25" s="5">
        <v>1</v>
      </c>
      <c r="D25" s="6">
        <f>+'ESTADO DE SITUANCION F INICIAL '!I43</f>
        <v>650000</v>
      </c>
      <c r="E25" s="6">
        <f t="shared" ref="E25" si="6">+C25*D25</f>
        <v>650000</v>
      </c>
      <c r="F25" s="8">
        <f t="shared" ref="F25" si="7">+D25/$F$16</f>
        <v>65000</v>
      </c>
      <c r="G25" s="8">
        <f t="shared" ref="G25" si="8">+D25/$G$16</f>
        <v>5416.666666666667</v>
      </c>
      <c r="H25" s="8">
        <f t="shared" ref="H25" si="9">+D25/$H$16</f>
        <v>180.55555555555554</v>
      </c>
      <c r="I25" s="8">
        <f t="shared" ref="I25" si="10">+D25/$I$16</f>
        <v>7.5231481481481479</v>
      </c>
      <c r="J25" s="166">
        <f t="shared" ref="J25" si="11">+D25/$J$16</f>
        <v>0.1253858024691358</v>
      </c>
    </row>
    <row r="26" spans="2:10" x14ac:dyDescent="0.25">
      <c r="B26" s="439" t="s">
        <v>174</v>
      </c>
      <c r="C26" s="5">
        <v>1</v>
      </c>
      <c r="D26" s="4">
        <f>+'ESTADO DE SITUANCION F INICIAL '!I59</f>
        <v>390000</v>
      </c>
      <c r="E26" s="6">
        <f t="shared" ref="E26" si="12">+C26*D26</f>
        <v>390000</v>
      </c>
      <c r="F26" s="8">
        <f t="shared" ref="F26" si="13">+D26/$F$16</f>
        <v>39000</v>
      </c>
      <c r="G26" s="8">
        <f t="shared" ref="G26" si="14">+D26/$G$16</f>
        <v>3250</v>
      </c>
      <c r="H26" s="8">
        <f t="shared" ref="H26" si="15">+D26/$H$16</f>
        <v>108.33333333333333</v>
      </c>
      <c r="I26" s="8">
        <f t="shared" ref="I26" si="16">+D26/$I$16</f>
        <v>4.5138888888888893</v>
      </c>
      <c r="J26" s="166">
        <f t="shared" ref="J26" si="17">+D26/$J$16</f>
        <v>7.5231481481481483E-2</v>
      </c>
    </row>
    <row r="27" spans="2:10" x14ac:dyDescent="0.25">
      <c r="B27" s="440" t="s">
        <v>249</v>
      </c>
      <c r="C27" s="427"/>
      <c r="D27" s="429">
        <f>SUM(D17:D26)</f>
        <v>33530000</v>
      </c>
      <c r="E27" s="429">
        <f t="shared" ref="E27:J27" si="18">SUM(E17:E26)</f>
        <v>33530000</v>
      </c>
      <c r="F27" s="429">
        <f t="shared" si="18"/>
        <v>3353000</v>
      </c>
      <c r="G27" s="429">
        <f t="shared" si="18"/>
        <v>279416.66666666674</v>
      </c>
      <c r="H27" s="429">
        <f t="shared" si="18"/>
        <v>9313.8888888888905</v>
      </c>
      <c r="I27" s="429">
        <f t="shared" si="18"/>
        <v>388.0787037037037</v>
      </c>
      <c r="J27" s="441">
        <f t="shared" si="18"/>
        <v>6.4679783950617287</v>
      </c>
    </row>
    <row r="28" spans="2:10" ht="23.25" x14ac:dyDescent="0.25">
      <c r="B28" s="1481" t="s">
        <v>173</v>
      </c>
      <c r="C28" s="1482"/>
      <c r="D28" s="1482"/>
      <c r="E28" s="1482"/>
      <c r="F28" s="1482"/>
      <c r="G28" s="1482"/>
      <c r="H28" s="1482"/>
      <c r="I28" s="1482"/>
      <c r="J28" s="1483"/>
    </row>
    <row r="29" spans="2:10" ht="30" x14ac:dyDescent="0.25">
      <c r="B29" s="436" t="s">
        <v>29</v>
      </c>
      <c r="C29" s="431" t="s">
        <v>33</v>
      </c>
      <c r="D29" s="432" t="s">
        <v>131</v>
      </c>
      <c r="E29" s="432" t="s">
        <v>132</v>
      </c>
      <c r="F29" s="432" t="s">
        <v>583</v>
      </c>
      <c r="G29" s="432" t="s">
        <v>584</v>
      </c>
      <c r="H29" s="432" t="s">
        <v>587</v>
      </c>
      <c r="I29" s="432" t="s">
        <v>588</v>
      </c>
      <c r="J29" s="437" t="s">
        <v>589</v>
      </c>
    </row>
    <row r="30" spans="2:10" x14ac:dyDescent="0.25">
      <c r="B30" s="1479" t="s">
        <v>162</v>
      </c>
      <c r="C30" s="1480"/>
      <c r="D30" s="1480"/>
      <c r="E30" s="1480"/>
      <c r="F30" s="433">
        <v>5</v>
      </c>
      <c r="G30" s="434">
        <v>60</v>
      </c>
      <c r="H30" s="434">
        <v>1200</v>
      </c>
      <c r="I30" s="434">
        <v>43200</v>
      </c>
      <c r="J30" s="438">
        <v>2592000</v>
      </c>
    </row>
    <row r="31" spans="2:10" x14ac:dyDescent="0.25">
      <c r="B31" s="439" t="s">
        <v>164</v>
      </c>
      <c r="C31" s="5">
        <v>1</v>
      </c>
      <c r="D31" s="4">
        <f>+'ESTADO DE SITUANCION F INICIAL '!I64</f>
        <v>350000</v>
      </c>
      <c r="E31" s="6">
        <f>+C31*D31</f>
        <v>350000</v>
      </c>
      <c r="F31" s="8">
        <f>+E31/$F$30</f>
        <v>70000</v>
      </c>
      <c r="G31" s="8">
        <f>+E31/$G$30</f>
        <v>5833.333333333333</v>
      </c>
      <c r="H31" s="8">
        <f>+E31/$H$30</f>
        <v>291.66666666666669</v>
      </c>
      <c r="I31" s="8">
        <f>+E31/$I$30</f>
        <v>8.1018518518518512</v>
      </c>
      <c r="J31" s="166">
        <f>+E31/$J$30</f>
        <v>0.13503086419753085</v>
      </c>
    </row>
    <row r="32" spans="2:10" x14ac:dyDescent="0.25">
      <c r="B32" s="439" t="s">
        <v>165</v>
      </c>
      <c r="C32" s="5">
        <v>1</v>
      </c>
      <c r="D32" s="4">
        <f>+'ESTADO DE SITUANCION F INICIAL '!I65</f>
        <v>460000</v>
      </c>
      <c r="E32" s="6">
        <f t="shared" ref="E32:E36" si="19">+C32*D32</f>
        <v>460000</v>
      </c>
      <c r="F32" s="8">
        <f t="shared" ref="F32:F36" si="20">+E32/$F$30</f>
        <v>92000</v>
      </c>
      <c r="G32" s="8">
        <f t="shared" ref="G32:G36" si="21">+E32/$G$30</f>
        <v>7666.666666666667</v>
      </c>
      <c r="H32" s="8">
        <f t="shared" ref="H32:H36" si="22">+E32/$H$30</f>
        <v>383.33333333333331</v>
      </c>
      <c r="I32" s="8">
        <f t="shared" ref="I32:I36" si="23">+E32/$I$30</f>
        <v>10.648148148148149</v>
      </c>
      <c r="J32" s="166">
        <f t="shared" ref="J32:J36" si="24">+E32/$J$30</f>
        <v>0.17746913580246915</v>
      </c>
    </row>
    <row r="33" spans="2:10" x14ac:dyDescent="0.25">
      <c r="B33" s="439" t="s">
        <v>167</v>
      </c>
      <c r="C33" s="5">
        <v>1</v>
      </c>
      <c r="D33" s="4">
        <f>+'ESTADO DE SITUANCION F INICIAL '!I66</f>
        <v>1750000</v>
      </c>
      <c r="E33" s="6">
        <f t="shared" si="19"/>
        <v>1750000</v>
      </c>
      <c r="F33" s="8">
        <f t="shared" si="20"/>
        <v>350000</v>
      </c>
      <c r="G33" s="8">
        <f t="shared" si="21"/>
        <v>29166.666666666668</v>
      </c>
      <c r="H33" s="8">
        <f t="shared" si="22"/>
        <v>1458.3333333333333</v>
      </c>
      <c r="I33" s="8">
        <f t="shared" si="23"/>
        <v>40.50925925925926</v>
      </c>
      <c r="J33" s="166">
        <f t="shared" si="24"/>
        <v>0.67515432098765427</v>
      </c>
    </row>
    <row r="34" spans="2:10" x14ac:dyDescent="0.25">
      <c r="B34" s="439" t="s">
        <v>166</v>
      </c>
      <c r="C34" s="5">
        <v>1</v>
      </c>
      <c r="D34" s="4">
        <f>+'ESTADO DE SITUANCION F INICIAL '!I67</f>
        <v>345000</v>
      </c>
      <c r="E34" s="6">
        <f t="shared" si="19"/>
        <v>345000</v>
      </c>
      <c r="F34" s="8">
        <f t="shared" si="20"/>
        <v>69000</v>
      </c>
      <c r="G34" s="8">
        <f t="shared" si="21"/>
        <v>5750</v>
      </c>
      <c r="H34" s="8">
        <f t="shared" si="22"/>
        <v>287.5</v>
      </c>
      <c r="I34" s="8">
        <f t="shared" si="23"/>
        <v>7.9861111111111107</v>
      </c>
      <c r="J34" s="166">
        <f t="shared" si="24"/>
        <v>0.13310185185185186</v>
      </c>
    </row>
    <row r="35" spans="2:10" x14ac:dyDescent="0.25">
      <c r="B35" s="439" t="s">
        <v>168</v>
      </c>
      <c r="C35" s="5">
        <v>1</v>
      </c>
      <c r="D35" s="4">
        <f>+'ESTADO DE SITUANCION F INICIAL '!I68</f>
        <v>287000</v>
      </c>
      <c r="E35" s="6">
        <f t="shared" si="19"/>
        <v>287000</v>
      </c>
      <c r="F35" s="8">
        <f t="shared" si="20"/>
        <v>57400</v>
      </c>
      <c r="G35" s="8">
        <f t="shared" si="21"/>
        <v>4783.333333333333</v>
      </c>
      <c r="H35" s="8">
        <f t="shared" si="22"/>
        <v>239.16666666666666</v>
      </c>
      <c r="I35" s="8">
        <f t="shared" si="23"/>
        <v>6.6435185185185182</v>
      </c>
      <c r="J35" s="166">
        <f t="shared" si="24"/>
        <v>0.11072530864197531</v>
      </c>
    </row>
    <row r="36" spans="2:10" x14ac:dyDescent="0.25">
      <c r="B36" s="439" t="s">
        <v>171</v>
      </c>
      <c r="C36" s="5">
        <v>1</v>
      </c>
      <c r="D36" s="4">
        <f>+'ESTADO DE SITUANCION F INICIAL '!I69</f>
        <v>539000</v>
      </c>
      <c r="E36" s="6">
        <f t="shared" si="19"/>
        <v>539000</v>
      </c>
      <c r="F36" s="8">
        <f t="shared" si="20"/>
        <v>107800</v>
      </c>
      <c r="G36" s="8">
        <f t="shared" si="21"/>
        <v>8983.3333333333339</v>
      </c>
      <c r="H36" s="8">
        <f t="shared" si="22"/>
        <v>449.16666666666669</v>
      </c>
      <c r="I36" s="8">
        <f t="shared" si="23"/>
        <v>12.476851851851851</v>
      </c>
      <c r="J36" s="166">
        <f t="shared" si="24"/>
        <v>0.20794753086419754</v>
      </c>
    </row>
    <row r="37" spans="2:10" x14ac:dyDescent="0.25">
      <c r="B37" s="440" t="s">
        <v>250</v>
      </c>
      <c r="C37" s="426"/>
      <c r="D37" s="430">
        <f>SUM(D31:D36)</f>
        <v>3731000</v>
      </c>
      <c r="E37" s="430">
        <f t="shared" ref="E37:J37" si="25">SUM(E31:E36)</f>
        <v>3731000</v>
      </c>
      <c r="F37" s="430">
        <f t="shared" si="25"/>
        <v>746200</v>
      </c>
      <c r="G37" s="430">
        <f t="shared" si="25"/>
        <v>62183.333333333343</v>
      </c>
      <c r="H37" s="430">
        <f t="shared" si="25"/>
        <v>3109.1666666666661</v>
      </c>
      <c r="I37" s="430">
        <f t="shared" si="25"/>
        <v>86.365740740740733</v>
      </c>
      <c r="J37" s="442">
        <f t="shared" si="25"/>
        <v>1.439429012345679</v>
      </c>
    </row>
    <row r="38" spans="2:10" ht="23.25" x14ac:dyDescent="0.25">
      <c r="B38" s="1481" t="s">
        <v>169</v>
      </c>
      <c r="C38" s="1482"/>
      <c r="D38" s="1482"/>
      <c r="E38" s="1482"/>
      <c r="F38" s="1482"/>
      <c r="G38" s="1482"/>
      <c r="H38" s="1482"/>
      <c r="I38" s="1482"/>
      <c r="J38" s="1483"/>
    </row>
    <row r="39" spans="2:10" ht="30" x14ac:dyDescent="0.25">
      <c r="B39" s="436" t="s">
        <v>29</v>
      </c>
      <c r="C39" s="431" t="s">
        <v>33</v>
      </c>
      <c r="D39" s="432" t="s">
        <v>131</v>
      </c>
      <c r="E39" s="432" t="s">
        <v>132</v>
      </c>
      <c r="F39" s="432" t="s">
        <v>583</v>
      </c>
      <c r="G39" s="432" t="s">
        <v>584</v>
      </c>
      <c r="H39" s="432" t="s">
        <v>587</v>
      </c>
      <c r="I39" s="432" t="s">
        <v>588</v>
      </c>
      <c r="J39" s="437" t="s">
        <v>589</v>
      </c>
    </row>
    <row r="40" spans="2:10" x14ac:dyDescent="0.25">
      <c r="B40" s="1479" t="s">
        <v>162</v>
      </c>
      <c r="C40" s="1480"/>
      <c r="D40" s="1480"/>
      <c r="E40" s="1480"/>
      <c r="F40" s="433">
        <v>3</v>
      </c>
      <c r="G40" s="434">
        <v>36</v>
      </c>
      <c r="H40" s="434">
        <v>1080</v>
      </c>
      <c r="I40" s="434">
        <v>25920</v>
      </c>
      <c r="J40" s="438">
        <v>1555200</v>
      </c>
    </row>
    <row r="41" spans="2:10" x14ac:dyDescent="0.25">
      <c r="B41" s="439" t="s">
        <v>16</v>
      </c>
      <c r="C41" s="5">
        <v>3</v>
      </c>
      <c r="D41" s="4">
        <v>500000</v>
      </c>
      <c r="E41" s="6">
        <f t="shared" si="0"/>
        <v>1500000</v>
      </c>
      <c r="F41" s="8">
        <f>+D41/$F$40</f>
        <v>166666.66666666666</v>
      </c>
      <c r="G41" s="8">
        <f>+D41/$G$40</f>
        <v>13888.888888888889</v>
      </c>
      <c r="H41" s="8">
        <f>+D41/$H$40</f>
        <v>462.96296296296299</v>
      </c>
      <c r="I41" s="8">
        <f>+D41/$I$40</f>
        <v>19.290123456790123</v>
      </c>
      <c r="J41" s="166">
        <f>+D41/$J$40</f>
        <v>0.32150205761316875</v>
      </c>
    </row>
    <row r="42" spans="2:10" x14ac:dyDescent="0.25">
      <c r="B42" s="439" t="s">
        <v>21</v>
      </c>
      <c r="C42" s="5">
        <v>2</v>
      </c>
      <c r="D42" s="4">
        <v>170000</v>
      </c>
      <c r="E42" s="6">
        <f t="shared" si="0"/>
        <v>340000</v>
      </c>
      <c r="F42" s="8">
        <f t="shared" ref="F42:F51" si="26">+D42/$F$40</f>
        <v>56666.666666666664</v>
      </c>
      <c r="G42" s="8">
        <f t="shared" ref="G42:G51" si="27">+D42/$G$40</f>
        <v>4722.2222222222226</v>
      </c>
      <c r="H42" s="8">
        <f t="shared" ref="H42:H51" si="28">+D42/$H$40</f>
        <v>157.40740740740742</v>
      </c>
      <c r="I42" s="8">
        <f t="shared" ref="I42:I51" si="29">+D42/$I$40</f>
        <v>6.5586419753086416</v>
      </c>
      <c r="J42" s="166">
        <f t="shared" ref="J42:J51" si="30">+D42/$J$40</f>
        <v>0.10931069958847736</v>
      </c>
    </row>
    <row r="43" spans="2:10" x14ac:dyDescent="0.25">
      <c r="B43" s="439" t="s">
        <v>20</v>
      </c>
      <c r="C43" s="5">
        <v>30</v>
      </c>
      <c r="D43" s="4">
        <v>20000</v>
      </c>
      <c r="E43" s="6">
        <f t="shared" si="0"/>
        <v>600000</v>
      </c>
      <c r="F43" s="8">
        <f t="shared" si="26"/>
        <v>6666.666666666667</v>
      </c>
      <c r="G43" s="8">
        <f t="shared" si="27"/>
        <v>555.55555555555554</v>
      </c>
      <c r="H43" s="8">
        <f t="shared" si="28"/>
        <v>18.518518518518519</v>
      </c>
      <c r="I43" s="8">
        <f t="shared" si="29"/>
        <v>0.77160493827160492</v>
      </c>
      <c r="J43" s="166">
        <f t="shared" si="30"/>
        <v>1.2860082304526749E-2</v>
      </c>
    </row>
    <row r="44" spans="2:10" x14ac:dyDescent="0.25">
      <c r="B44" s="439" t="s">
        <v>19</v>
      </c>
      <c r="C44" s="5">
        <v>2</v>
      </c>
      <c r="D44" s="4">
        <v>130000</v>
      </c>
      <c r="E44" s="6">
        <f t="shared" si="0"/>
        <v>260000</v>
      </c>
      <c r="F44" s="8">
        <f t="shared" si="26"/>
        <v>43333.333333333336</v>
      </c>
      <c r="G44" s="8">
        <f t="shared" si="27"/>
        <v>3611.1111111111113</v>
      </c>
      <c r="H44" s="8">
        <f t="shared" si="28"/>
        <v>120.37037037037037</v>
      </c>
      <c r="I44" s="8">
        <f t="shared" si="29"/>
        <v>5.0154320987654319</v>
      </c>
      <c r="J44" s="166">
        <f t="shared" si="30"/>
        <v>8.3590534979423869E-2</v>
      </c>
    </row>
    <row r="45" spans="2:10" x14ac:dyDescent="0.25">
      <c r="B45" s="439" t="s">
        <v>119</v>
      </c>
      <c r="C45" s="5">
        <v>5</v>
      </c>
      <c r="D45" s="4">
        <v>49600</v>
      </c>
      <c r="E45" s="6">
        <f t="shared" si="0"/>
        <v>248000</v>
      </c>
      <c r="F45" s="8">
        <f t="shared" si="26"/>
        <v>16533.333333333332</v>
      </c>
      <c r="G45" s="8">
        <f t="shared" si="27"/>
        <v>1377.7777777777778</v>
      </c>
      <c r="H45" s="8">
        <f t="shared" si="28"/>
        <v>45.925925925925924</v>
      </c>
      <c r="I45" s="8">
        <f t="shared" si="29"/>
        <v>1.9135802469135803</v>
      </c>
      <c r="J45" s="166">
        <f t="shared" si="30"/>
        <v>3.1893004115226338E-2</v>
      </c>
    </row>
    <row r="46" spans="2:10" x14ac:dyDescent="0.25">
      <c r="B46" s="439" t="s">
        <v>133</v>
      </c>
      <c r="C46" s="5">
        <v>5</v>
      </c>
      <c r="D46" s="4">
        <v>75000</v>
      </c>
      <c r="E46" s="6">
        <f t="shared" si="0"/>
        <v>375000</v>
      </c>
      <c r="F46" s="8">
        <f t="shared" si="26"/>
        <v>25000</v>
      </c>
      <c r="G46" s="8">
        <f t="shared" si="27"/>
        <v>2083.3333333333335</v>
      </c>
      <c r="H46" s="8">
        <f t="shared" si="28"/>
        <v>69.444444444444443</v>
      </c>
      <c r="I46" s="8">
        <f t="shared" si="29"/>
        <v>2.8935185185185186</v>
      </c>
      <c r="J46" s="166">
        <f t="shared" si="30"/>
        <v>4.8225308641975308E-2</v>
      </c>
    </row>
    <row r="47" spans="2:10" x14ac:dyDescent="0.25">
      <c r="B47" s="439" t="s">
        <v>134</v>
      </c>
      <c r="C47" s="5">
        <v>8</v>
      </c>
      <c r="D47" s="4">
        <v>32000</v>
      </c>
      <c r="E47" s="6">
        <f t="shared" si="0"/>
        <v>256000</v>
      </c>
      <c r="F47" s="8">
        <f t="shared" si="26"/>
        <v>10666.666666666666</v>
      </c>
      <c r="G47" s="8">
        <f t="shared" si="27"/>
        <v>888.88888888888891</v>
      </c>
      <c r="H47" s="8">
        <f t="shared" si="28"/>
        <v>29.62962962962963</v>
      </c>
      <c r="I47" s="8">
        <f t="shared" si="29"/>
        <v>1.2345679012345678</v>
      </c>
      <c r="J47" s="166">
        <f t="shared" si="30"/>
        <v>2.0576131687242798E-2</v>
      </c>
    </row>
    <row r="48" spans="2:10" x14ac:dyDescent="0.25">
      <c r="B48" s="439" t="s">
        <v>118</v>
      </c>
      <c r="C48" s="5">
        <v>2</v>
      </c>
      <c r="D48" s="4">
        <v>70000</v>
      </c>
      <c r="E48" s="6">
        <f t="shared" si="0"/>
        <v>140000</v>
      </c>
      <c r="F48" s="8">
        <f t="shared" si="26"/>
        <v>23333.333333333332</v>
      </c>
      <c r="G48" s="8">
        <f t="shared" si="27"/>
        <v>1944.4444444444443</v>
      </c>
      <c r="H48" s="8">
        <f t="shared" si="28"/>
        <v>64.81481481481481</v>
      </c>
      <c r="I48" s="8">
        <f t="shared" si="29"/>
        <v>2.7006172839506171</v>
      </c>
      <c r="J48" s="166">
        <f t="shared" si="30"/>
        <v>4.5010288065843625E-2</v>
      </c>
    </row>
    <row r="49" spans="2:10" x14ac:dyDescent="0.25">
      <c r="B49" s="439" t="s">
        <v>135</v>
      </c>
      <c r="C49" s="5">
        <v>1</v>
      </c>
      <c r="D49" s="4">
        <v>153000</v>
      </c>
      <c r="E49" s="6">
        <f t="shared" si="0"/>
        <v>153000</v>
      </c>
      <c r="F49" s="8">
        <f t="shared" si="26"/>
        <v>51000</v>
      </c>
      <c r="G49" s="8">
        <f t="shared" si="27"/>
        <v>4250</v>
      </c>
      <c r="H49" s="8">
        <f t="shared" si="28"/>
        <v>141.66666666666666</v>
      </c>
      <c r="I49" s="8">
        <f t="shared" si="29"/>
        <v>5.9027777777777777</v>
      </c>
      <c r="J49" s="166">
        <f t="shared" si="30"/>
        <v>9.8379629629629636E-2</v>
      </c>
    </row>
    <row r="50" spans="2:10" x14ac:dyDescent="0.25">
      <c r="B50" s="439" t="s">
        <v>172</v>
      </c>
      <c r="C50" s="5">
        <v>1</v>
      </c>
      <c r="D50" s="4">
        <v>75000</v>
      </c>
      <c r="E50" s="6">
        <f t="shared" si="0"/>
        <v>75000</v>
      </c>
      <c r="F50" s="8">
        <f t="shared" si="26"/>
        <v>25000</v>
      </c>
      <c r="G50" s="8">
        <f t="shared" si="27"/>
        <v>2083.3333333333335</v>
      </c>
      <c r="H50" s="8">
        <f t="shared" si="28"/>
        <v>69.444444444444443</v>
      </c>
      <c r="I50" s="8">
        <f t="shared" si="29"/>
        <v>2.8935185185185186</v>
      </c>
      <c r="J50" s="166">
        <f t="shared" si="30"/>
        <v>4.8225308641975308E-2</v>
      </c>
    </row>
    <row r="51" spans="2:10" x14ac:dyDescent="0.25">
      <c r="B51" s="439" t="s">
        <v>197</v>
      </c>
      <c r="C51" s="5">
        <v>1</v>
      </c>
      <c r="D51" s="4">
        <v>23400</v>
      </c>
      <c r="E51" s="6">
        <f t="shared" si="0"/>
        <v>23400</v>
      </c>
      <c r="F51" s="8">
        <f t="shared" si="26"/>
        <v>7800</v>
      </c>
      <c r="G51" s="8">
        <f t="shared" si="27"/>
        <v>650</v>
      </c>
      <c r="H51" s="8">
        <f t="shared" si="28"/>
        <v>21.666666666666668</v>
      </c>
      <c r="I51" s="8">
        <f t="shared" si="29"/>
        <v>0.90277777777777779</v>
      </c>
      <c r="J51" s="166">
        <f t="shared" si="30"/>
        <v>1.5046296296296295E-2</v>
      </c>
    </row>
    <row r="52" spans="2:10" x14ac:dyDescent="0.25">
      <c r="B52" s="440" t="s">
        <v>251</v>
      </c>
      <c r="C52" s="427"/>
      <c r="D52" s="429">
        <f>SUM(D41:D51)</f>
        <v>1298000</v>
      </c>
      <c r="E52" s="429">
        <f t="shared" ref="E52:J52" si="31">SUM(E41:E51)</f>
        <v>3970400</v>
      </c>
      <c r="F52" s="429">
        <f t="shared" si="31"/>
        <v>432666.66666666663</v>
      </c>
      <c r="G52" s="429">
        <f t="shared" si="31"/>
        <v>36055.555555555555</v>
      </c>
      <c r="H52" s="429">
        <f t="shared" si="31"/>
        <v>1201.851851851852</v>
      </c>
      <c r="I52" s="429">
        <f t="shared" si="31"/>
        <v>50.077160493827165</v>
      </c>
      <c r="J52" s="441">
        <f t="shared" si="31"/>
        <v>0.83461934156378603</v>
      </c>
    </row>
    <row r="53" spans="2:10" ht="30" customHeight="1" x14ac:dyDescent="0.25">
      <c r="B53" s="1481" t="s">
        <v>152</v>
      </c>
      <c r="C53" s="1482"/>
      <c r="D53" s="1482"/>
      <c r="E53" s="1482"/>
      <c r="F53" s="1482"/>
      <c r="G53" s="1482"/>
      <c r="H53" s="1482"/>
      <c r="I53" s="1482"/>
      <c r="J53" s="1483"/>
    </row>
    <row r="54" spans="2:10" ht="30" x14ac:dyDescent="0.25">
      <c r="B54" s="436" t="s">
        <v>30</v>
      </c>
      <c r="C54" s="431" t="s">
        <v>33</v>
      </c>
      <c r="D54" s="432" t="s">
        <v>131</v>
      </c>
      <c r="E54" s="432" t="s">
        <v>132</v>
      </c>
      <c r="F54" s="432" t="s">
        <v>583</v>
      </c>
      <c r="G54" s="432" t="s">
        <v>584</v>
      </c>
      <c r="H54" s="432" t="s">
        <v>587</v>
      </c>
      <c r="I54" s="432" t="s">
        <v>588</v>
      </c>
      <c r="J54" s="437" t="s">
        <v>589</v>
      </c>
    </row>
    <row r="55" spans="2:10" x14ac:dyDescent="0.25">
      <c r="B55" s="1471" t="s">
        <v>162</v>
      </c>
      <c r="C55" s="1472"/>
      <c r="D55" s="1472"/>
      <c r="E55" s="1472"/>
      <c r="F55" s="435">
        <v>45</v>
      </c>
      <c r="G55" s="435">
        <v>540</v>
      </c>
      <c r="H55" s="435">
        <v>16200</v>
      </c>
      <c r="I55" s="435">
        <v>388800</v>
      </c>
      <c r="J55" s="443">
        <v>23328000</v>
      </c>
    </row>
    <row r="56" spans="2:10" x14ac:dyDescent="0.25">
      <c r="B56" s="439" t="s">
        <v>141</v>
      </c>
      <c r="C56" s="5">
        <v>1</v>
      </c>
      <c r="D56" s="6">
        <v>45000000</v>
      </c>
      <c r="E56" s="6">
        <f>+C56*D56</f>
        <v>45000000</v>
      </c>
      <c r="F56" s="6">
        <f>+$D$56/F55</f>
        <v>1000000</v>
      </c>
      <c r="G56" s="6">
        <f>+$D$56/G55</f>
        <v>83333.333333333328</v>
      </c>
      <c r="H56" s="6">
        <f>+$D$56/H55</f>
        <v>2777.7777777777778</v>
      </c>
      <c r="I56" s="6">
        <f>+$D$56/I55</f>
        <v>115.74074074074075</v>
      </c>
      <c r="J56" s="444">
        <f>+$D$56/J55</f>
        <v>1.9290123456790123</v>
      </c>
    </row>
    <row r="57" spans="2:10" ht="15.75" thickBot="1" x14ac:dyDescent="0.3">
      <c r="B57" s="445" t="s">
        <v>252</v>
      </c>
      <c r="C57" s="446"/>
      <c r="D57" s="447">
        <f>+D56</f>
        <v>45000000</v>
      </c>
      <c r="E57" s="447">
        <f t="shared" ref="E57:J57" si="32">+E56</f>
        <v>45000000</v>
      </c>
      <c r="F57" s="447">
        <f t="shared" si="32"/>
        <v>1000000</v>
      </c>
      <c r="G57" s="447">
        <f t="shared" si="32"/>
        <v>83333.333333333328</v>
      </c>
      <c r="H57" s="447">
        <f t="shared" si="32"/>
        <v>2777.7777777777778</v>
      </c>
      <c r="I57" s="447">
        <f t="shared" si="32"/>
        <v>115.74074074074075</v>
      </c>
      <c r="J57" s="448">
        <f t="shared" si="32"/>
        <v>1.9290123456790123</v>
      </c>
    </row>
    <row r="58" spans="2:10" x14ac:dyDescent="0.25">
      <c r="B58" s="37"/>
      <c r="C58" s="37"/>
      <c r="D58" s="37"/>
      <c r="E58" s="37"/>
      <c r="F58" s="37"/>
      <c r="G58" s="37"/>
      <c r="H58" s="37"/>
      <c r="I58" s="37"/>
      <c r="J58" s="37"/>
    </row>
    <row r="59" spans="2:10" x14ac:dyDescent="0.25">
      <c r="B59" s="37"/>
      <c r="C59" s="37"/>
      <c r="D59" s="37"/>
      <c r="E59" s="37"/>
      <c r="F59" s="37"/>
      <c r="G59" s="37"/>
      <c r="H59" s="37"/>
      <c r="I59" s="37"/>
      <c r="J59" s="37"/>
    </row>
    <row r="60" spans="2:10" x14ac:dyDescent="0.25">
      <c r="B60" s="37"/>
      <c r="C60" s="37"/>
      <c r="D60" s="37"/>
      <c r="E60" s="37"/>
      <c r="F60" s="37"/>
      <c r="G60" s="37"/>
      <c r="H60" s="37"/>
      <c r="I60" s="37"/>
      <c r="J60" s="37"/>
    </row>
    <row r="61" spans="2:10" hidden="1" x14ac:dyDescent="0.25">
      <c r="B61" s="37"/>
      <c r="C61" s="37"/>
      <c r="D61" s="37"/>
      <c r="E61" s="37"/>
      <c r="F61" s="37"/>
      <c r="G61" s="37"/>
      <c r="H61" s="37"/>
      <c r="I61" s="37"/>
      <c r="J61" s="37"/>
    </row>
    <row r="62" spans="2:10" hidden="1" x14ac:dyDescent="0.25">
      <c r="B62" s="37"/>
      <c r="C62" s="37"/>
      <c r="D62" s="37"/>
      <c r="E62" s="37"/>
      <c r="F62" s="37"/>
      <c r="G62" s="37"/>
      <c r="H62" s="37"/>
      <c r="I62" s="37"/>
      <c r="J62" s="37"/>
    </row>
    <row r="63" spans="2:10" hidden="1" x14ac:dyDescent="0.25">
      <c r="B63" s="37"/>
      <c r="C63" s="37"/>
      <c r="D63" s="37"/>
      <c r="E63" s="37"/>
      <c r="F63" s="37"/>
      <c r="G63" s="37"/>
      <c r="H63" s="37"/>
      <c r="I63" s="37"/>
      <c r="J63" s="37"/>
    </row>
    <row r="64" spans="2:10" hidden="1" x14ac:dyDescent="0.25">
      <c r="B64" s="37"/>
      <c r="C64" s="37"/>
      <c r="D64" s="37"/>
      <c r="E64" s="37"/>
      <c r="F64" s="37"/>
      <c r="G64" s="37"/>
      <c r="H64" s="37"/>
      <c r="I64" s="37"/>
      <c r="J64" s="37"/>
    </row>
    <row r="65" spans="2:10" hidden="1" x14ac:dyDescent="0.25">
      <c r="B65" s="37"/>
      <c r="C65" s="37"/>
      <c r="D65" s="37"/>
      <c r="E65" s="37"/>
      <c r="F65" s="37"/>
      <c r="G65" s="37"/>
      <c r="H65" s="37"/>
      <c r="I65" s="37"/>
      <c r="J65" s="37"/>
    </row>
    <row r="66" spans="2:10" hidden="1" x14ac:dyDescent="0.25">
      <c r="B66" s="37"/>
      <c r="C66" s="37"/>
      <c r="D66" s="37"/>
      <c r="E66" s="37"/>
      <c r="F66" s="37"/>
      <c r="G66" s="37"/>
      <c r="H66" s="37"/>
      <c r="I66" s="37"/>
      <c r="J66" s="37"/>
    </row>
    <row r="67" spans="2:10" hidden="1" x14ac:dyDescent="0.25">
      <c r="B67" s="37"/>
      <c r="C67" s="37"/>
      <c r="D67" s="37"/>
      <c r="E67" s="37"/>
      <c r="F67" s="37"/>
      <c r="G67" s="37"/>
      <c r="H67" s="37"/>
      <c r="I67" s="37"/>
      <c r="J67" s="37"/>
    </row>
    <row r="68" spans="2:10" hidden="1" x14ac:dyDescent="0.25">
      <c r="B68" s="37"/>
      <c r="C68" s="37"/>
      <c r="D68" s="37"/>
      <c r="E68" s="37"/>
      <c r="F68" s="37"/>
      <c r="G68" s="37"/>
      <c r="H68" s="37"/>
      <c r="I68" s="37"/>
      <c r="J68" s="37"/>
    </row>
    <row r="69" spans="2:10" hidden="1" x14ac:dyDescent="0.25">
      <c r="B69" s="37"/>
      <c r="C69" s="37"/>
      <c r="D69" s="37"/>
      <c r="E69" s="37"/>
      <c r="F69" s="37"/>
      <c r="G69" s="37"/>
      <c r="H69" s="37"/>
      <c r="I69" s="37"/>
      <c r="J69" s="37"/>
    </row>
    <row r="70" spans="2:10" hidden="1" x14ac:dyDescent="0.25">
      <c r="B70" s="37"/>
      <c r="C70" s="37"/>
      <c r="D70" s="37"/>
      <c r="E70" s="37"/>
      <c r="F70" s="37"/>
      <c r="G70" s="37"/>
      <c r="H70" s="37"/>
      <c r="I70" s="37"/>
      <c r="J70" s="37"/>
    </row>
    <row r="71" spans="2:10" hidden="1" x14ac:dyDescent="0.25">
      <c r="B71" s="37"/>
      <c r="C71" s="37"/>
      <c r="D71" s="37"/>
      <c r="E71" s="37"/>
      <c r="F71" s="37"/>
      <c r="G71" s="37"/>
      <c r="H71" s="37"/>
      <c r="I71" s="37"/>
      <c r="J71" s="37"/>
    </row>
    <row r="72" spans="2:10" hidden="1" x14ac:dyDescent="0.25">
      <c r="B72" s="37"/>
      <c r="C72" s="37"/>
      <c r="D72" s="37"/>
      <c r="E72" s="37"/>
      <c r="F72" s="37"/>
      <c r="G72" s="37"/>
      <c r="H72" s="37"/>
      <c r="I72" s="37"/>
      <c r="J72" s="37"/>
    </row>
    <row r="73" spans="2:10" hidden="1" x14ac:dyDescent="0.25">
      <c r="B73" s="37"/>
      <c r="C73" s="37"/>
      <c r="D73" s="37"/>
      <c r="E73" s="37"/>
      <c r="F73" s="37"/>
      <c r="G73" s="37"/>
      <c r="H73" s="37"/>
      <c r="I73" s="37"/>
      <c r="J73" s="37"/>
    </row>
    <row r="74" spans="2:10" hidden="1" x14ac:dyDescent="0.25">
      <c r="B74" s="37"/>
      <c r="C74" s="37"/>
      <c r="D74" s="37"/>
      <c r="E74" s="37"/>
      <c r="F74" s="37"/>
      <c r="G74" s="37"/>
      <c r="H74" s="37"/>
      <c r="I74" s="37"/>
      <c r="J74" s="37"/>
    </row>
    <row r="75" spans="2:10" hidden="1" x14ac:dyDescent="0.25">
      <c r="B75" s="37"/>
      <c r="C75" s="37"/>
      <c r="D75" s="37"/>
      <c r="E75" s="37"/>
      <c r="F75" s="37"/>
      <c r="G75" s="37"/>
      <c r="H75" s="37"/>
      <c r="I75" s="37"/>
      <c r="J75" s="37"/>
    </row>
    <row r="76" spans="2:10" hidden="1" x14ac:dyDescent="0.25">
      <c r="B76" s="37"/>
      <c r="C76" s="37"/>
      <c r="D76" s="37"/>
      <c r="E76" s="37"/>
      <c r="F76" s="37"/>
      <c r="G76" s="37"/>
      <c r="H76" s="37"/>
      <c r="I76" s="37"/>
      <c r="J76" s="37"/>
    </row>
    <row r="77" spans="2:10" hidden="1" x14ac:dyDescent="0.25">
      <c r="B77" s="37"/>
      <c r="C77" s="37"/>
      <c r="D77" s="37"/>
      <c r="E77" s="37"/>
      <c r="F77" s="37"/>
      <c r="G77" s="37"/>
      <c r="H77" s="37"/>
      <c r="I77" s="37"/>
      <c r="J77" s="37"/>
    </row>
    <row r="78" spans="2:10" hidden="1" x14ac:dyDescent="0.25">
      <c r="B78" s="37"/>
      <c r="C78" s="37"/>
      <c r="D78" s="37"/>
      <c r="E78" s="37"/>
      <c r="F78" s="37"/>
      <c r="G78" s="37"/>
      <c r="H78" s="37"/>
      <c r="I78" s="37"/>
      <c r="J78" s="37"/>
    </row>
    <row r="79" spans="2:10" hidden="1" x14ac:dyDescent="0.25">
      <c r="B79" s="37"/>
      <c r="C79" s="37"/>
      <c r="D79" s="37"/>
      <c r="E79" s="37"/>
      <c r="F79" s="37"/>
      <c r="G79" s="37"/>
      <c r="H79" s="37"/>
      <c r="I79" s="37"/>
      <c r="J79" s="37"/>
    </row>
    <row r="80" spans="2:10" hidden="1" x14ac:dyDescent="0.25">
      <c r="B80" s="37"/>
      <c r="C80" s="37"/>
      <c r="D80" s="37"/>
      <c r="E80" s="37"/>
      <c r="F80" s="37"/>
      <c r="G80" s="37"/>
      <c r="H80" s="37"/>
      <c r="I80" s="37"/>
      <c r="J80" s="37"/>
    </row>
    <row r="81" spans="2:10" hidden="1" x14ac:dyDescent="0.25">
      <c r="B81" s="37"/>
      <c r="C81" s="37"/>
      <c r="D81" s="37"/>
      <c r="E81" s="37"/>
      <c r="F81" s="37"/>
      <c r="G81" s="37"/>
      <c r="H81" s="37"/>
      <c r="I81" s="37"/>
      <c r="J81" s="37"/>
    </row>
    <row r="82" spans="2:10" hidden="1" x14ac:dyDescent="0.25">
      <c r="B82" s="37"/>
      <c r="C82" s="37"/>
      <c r="D82" s="37"/>
      <c r="E82" s="37"/>
      <c r="F82" s="37"/>
      <c r="G82" s="37"/>
      <c r="H82" s="37"/>
      <c r="I82" s="37"/>
      <c r="J82" s="37"/>
    </row>
    <row r="83" spans="2:10" hidden="1" x14ac:dyDescent="0.25">
      <c r="B83" s="37"/>
      <c r="C83" s="37"/>
      <c r="D83" s="37"/>
      <c r="E83" s="37"/>
      <c r="F83" s="37"/>
      <c r="G83" s="37"/>
      <c r="H83" s="37"/>
      <c r="I83" s="37"/>
      <c r="J83" s="37"/>
    </row>
    <row r="84" spans="2:10" hidden="1" x14ac:dyDescent="0.25">
      <c r="B84" s="37"/>
      <c r="C84" s="37"/>
      <c r="D84" s="37"/>
      <c r="E84" s="37"/>
      <c r="F84" s="37"/>
      <c r="G84" s="37"/>
      <c r="H84" s="37"/>
      <c r="I84" s="37"/>
      <c r="J84" s="37"/>
    </row>
    <row r="85" spans="2:10" hidden="1" x14ac:dyDescent="0.25">
      <c r="B85" s="37"/>
      <c r="C85" s="37"/>
      <c r="D85" s="37"/>
      <c r="E85" s="37"/>
      <c r="F85" s="37"/>
      <c r="G85" s="37"/>
      <c r="H85" s="37"/>
      <c r="I85" s="37"/>
      <c r="J85" s="37"/>
    </row>
    <row r="86" spans="2:10" hidden="1" x14ac:dyDescent="0.25">
      <c r="B86" s="37"/>
      <c r="C86" s="37"/>
      <c r="D86" s="37"/>
      <c r="E86" s="37"/>
      <c r="F86" s="37"/>
      <c r="G86" s="37"/>
      <c r="H86" s="37"/>
      <c r="I86" s="37"/>
      <c r="J86" s="37"/>
    </row>
    <row r="87" spans="2:10" hidden="1" x14ac:dyDescent="0.25">
      <c r="B87" s="37"/>
      <c r="C87" s="37"/>
      <c r="D87" s="37"/>
      <c r="E87" s="37"/>
      <c r="F87" s="37"/>
      <c r="G87" s="37"/>
      <c r="H87" s="37"/>
      <c r="I87" s="37"/>
      <c r="J87" s="37"/>
    </row>
    <row r="88" spans="2:10" hidden="1" x14ac:dyDescent="0.25">
      <c r="B88" s="37"/>
      <c r="C88" s="37"/>
      <c r="D88" s="37"/>
      <c r="E88" s="37"/>
      <c r="F88" s="37"/>
      <c r="G88" s="37"/>
      <c r="H88" s="37"/>
      <c r="I88" s="37"/>
      <c r="J88" s="37"/>
    </row>
    <row r="89" spans="2:10" hidden="1" x14ac:dyDescent="0.25">
      <c r="B89" s="37"/>
      <c r="C89" s="37"/>
      <c r="D89" s="37"/>
      <c r="E89" s="37"/>
      <c r="F89" s="37"/>
      <c r="G89" s="37"/>
      <c r="H89" s="37"/>
      <c r="I89" s="37"/>
      <c r="J89" s="37"/>
    </row>
    <row r="90" spans="2:10" hidden="1" x14ac:dyDescent="0.25">
      <c r="B90" s="37"/>
      <c r="C90" s="37"/>
      <c r="D90" s="37"/>
      <c r="E90" s="37"/>
      <c r="F90" s="37"/>
      <c r="G90" s="37"/>
      <c r="H90" s="37"/>
      <c r="I90" s="37"/>
      <c r="J90" s="37"/>
    </row>
    <row r="91" spans="2:10" hidden="1" x14ac:dyDescent="0.25">
      <c r="B91" s="37"/>
      <c r="C91" s="37"/>
      <c r="D91" s="37"/>
      <c r="E91" s="37"/>
      <c r="F91" s="37"/>
      <c r="G91" s="37"/>
      <c r="H91" s="37"/>
      <c r="I91" s="37"/>
      <c r="J91" s="37"/>
    </row>
  </sheetData>
  <mergeCells count="12">
    <mergeCell ref="B7:J7"/>
    <mergeCell ref="B8:J8"/>
    <mergeCell ref="B9:J9"/>
    <mergeCell ref="B55:E55"/>
    <mergeCell ref="B14:J14"/>
    <mergeCell ref="B13:J13"/>
    <mergeCell ref="B16:E16"/>
    <mergeCell ref="B53:J53"/>
    <mergeCell ref="B40:E40"/>
    <mergeCell ref="B30:E30"/>
    <mergeCell ref="B28:J28"/>
    <mergeCell ref="B38:J3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B7D1-3CC6-452A-B8B9-5C6F087951E8}">
  <dimension ref="A1:AE74"/>
  <sheetViews>
    <sheetView topLeftCell="A25" zoomScale="115" zoomScaleNormal="115" workbookViewId="0">
      <selection activeCell="T25" sqref="T1:XFD1048576"/>
    </sheetView>
  </sheetViews>
  <sheetFormatPr baseColWidth="10" defaultColWidth="0" defaultRowHeight="15" zeroHeight="1" x14ac:dyDescent="0.25"/>
  <cols>
    <col min="1" max="1" width="3.85546875" style="37" customWidth="1"/>
    <col min="2" max="2" width="23.85546875" customWidth="1"/>
    <col min="3" max="3" width="20.140625" customWidth="1"/>
    <col min="4" max="4" width="19.28515625" customWidth="1"/>
    <col min="5" max="5" width="15.85546875" bestFit="1" customWidth="1"/>
    <col min="6" max="6" width="17.85546875" customWidth="1"/>
    <col min="7" max="11" width="15.5703125" bestFit="1" customWidth="1"/>
    <col min="12" max="12" width="15.5703125" customWidth="1"/>
    <col min="13" max="13" width="15.7109375" customWidth="1"/>
    <col min="14" max="14" width="15.85546875" bestFit="1" customWidth="1"/>
    <col min="15" max="15" width="21.42578125" customWidth="1"/>
    <col min="16" max="16" width="20.28515625" customWidth="1"/>
    <col min="17" max="17" width="17.5703125" customWidth="1"/>
    <col min="18" max="18" width="17.42578125" style="37" customWidth="1"/>
    <col min="19" max="19" width="16.42578125" style="37" customWidth="1"/>
    <col min="20" max="31" width="0" style="37" hidden="1"/>
    <col min="32" max="16384" width="11.42578125" hidden="1"/>
  </cols>
  <sheetData>
    <row r="1" spans="1:31" s="37" customFormat="1" x14ac:dyDescent="0.25"/>
    <row r="2" spans="1:31" s="37" customFormat="1" x14ac:dyDescent="0.25"/>
    <row r="3" spans="1:31" s="37" customFormat="1" x14ac:dyDescent="0.25"/>
    <row r="4" spans="1:31" s="37" customFormat="1" x14ac:dyDescent="0.25"/>
    <row r="5" spans="1:31" s="37" customFormat="1" x14ac:dyDescent="0.25"/>
    <row r="6" spans="1:31" s="37" customFormat="1" ht="18.75" x14ac:dyDescent="0.3">
      <c r="B6" s="1437" t="s">
        <v>71</v>
      </c>
      <c r="C6" s="1437"/>
      <c r="D6" s="1437"/>
      <c r="E6" s="1437"/>
      <c r="F6" s="1437"/>
      <c r="G6" s="1437"/>
      <c r="H6" s="1437"/>
      <c r="I6" s="1437"/>
    </row>
    <row r="7" spans="1:31" s="37" customFormat="1" ht="18.75" x14ac:dyDescent="0.3">
      <c r="B7" s="1437" t="s">
        <v>592</v>
      </c>
      <c r="C7" s="1437"/>
      <c r="D7" s="1437"/>
      <c r="E7" s="1437"/>
      <c r="F7" s="1437"/>
      <c r="G7" s="1437"/>
      <c r="H7" s="1437"/>
      <c r="I7" s="1437"/>
    </row>
    <row r="8" spans="1:31" s="37" customFormat="1" ht="18.75" x14ac:dyDescent="0.3">
      <c r="B8" s="1437" t="s">
        <v>568</v>
      </c>
      <c r="C8" s="1437"/>
      <c r="D8" s="1437"/>
      <c r="E8" s="1437"/>
      <c r="F8" s="1437"/>
      <c r="G8" s="1437"/>
      <c r="H8" s="1437"/>
      <c r="I8" s="1437"/>
    </row>
    <row r="9" spans="1:31" s="37" customFormat="1" ht="18.75" x14ac:dyDescent="0.3">
      <c r="B9" s="1437" t="s">
        <v>593</v>
      </c>
      <c r="C9" s="1437"/>
      <c r="D9" s="1437"/>
      <c r="E9" s="1437"/>
      <c r="F9" s="1437"/>
      <c r="G9" s="1437"/>
      <c r="H9" s="1437"/>
      <c r="I9" s="1437"/>
    </row>
    <row r="10" spans="1:31" s="37" customFormat="1" x14ac:dyDescent="0.25"/>
    <row r="11" spans="1:31" s="37" customFormat="1" ht="15.75" thickBot="1" x14ac:dyDescent="0.3"/>
    <row r="12" spans="1:31" ht="33.75" customHeight="1" x14ac:dyDescent="0.25">
      <c r="B12" s="1486" t="s">
        <v>94</v>
      </c>
      <c r="C12" s="1487"/>
      <c r="D12" s="1487"/>
      <c r="E12" s="1487"/>
      <c r="F12" s="1487"/>
      <c r="G12" s="1488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31" s="17" customFormat="1" x14ac:dyDescent="0.25">
      <c r="A13" s="147"/>
      <c r="B13" s="450" t="s">
        <v>89</v>
      </c>
      <c r="C13" s="23" t="s">
        <v>319</v>
      </c>
      <c r="D13" s="23" t="s">
        <v>90</v>
      </c>
      <c r="E13" s="53" t="s">
        <v>128</v>
      </c>
      <c r="F13" s="53" t="s">
        <v>129</v>
      </c>
      <c r="G13" s="451" t="s">
        <v>130</v>
      </c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</row>
    <row r="14" spans="1:31" x14ac:dyDescent="0.25">
      <c r="B14" s="439" t="s">
        <v>91</v>
      </c>
      <c r="C14" s="4">
        <v>459890</v>
      </c>
      <c r="D14" s="4">
        <v>459890</v>
      </c>
      <c r="E14" s="4">
        <f>+D14/30</f>
        <v>15329.666666666666</v>
      </c>
      <c r="F14" s="4">
        <f>+E14/24</f>
        <v>638.73611111111109</v>
      </c>
      <c r="G14" s="452">
        <f>+F14/60</f>
        <v>10.645601851851852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1:31" x14ac:dyDescent="0.25">
      <c r="B15" s="439" t="s">
        <v>122</v>
      </c>
      <c r="C15" s="4">
        <v>585000</v>
      </c>
      <c r="D15" s="4">
        <v>585000</v>
      </c>
      <c r="E15" s="4">
        <f t="shared" ref="E15:E22" si="0">+D15/30</f>
        <v>19500</v>
      </c>
      <c r="F15" s="4">
        <f t="shared" ref="F15:F22" si="1">+E15/24</f>
        <v>812.5</v>
      </c>
      <c r="G15" s="452">
        <f t="shared" ref="G15:G22" si="2">+F15/60</f>
        <v>13.541666666666666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</row>
    <row r="16" spans="1:31" x14ac:dyDescent="0.25">
      <c r="B16" s="439" t="s">
        <v>92</v>
      </c>
      <c r="C16" s="4">
        <v>69000</v>
      </c>
      <c r="D16" s="4">
        <v>69000</v>
      </c>
      <c r="E16" s="4">
        <f t="shared" si="0"/>
        <v>2300</v>
      </c>
      <c r="F16" s="4">
        <f t="shared" si="1"/>
        <v>95.833333333333329</v>
      </c>
      <c r="G16" s="452">
        <f t="shared" si="2"/>
        <v>1.5972222222222221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31" x14ac:dyDescent="0.25">
      <c r="B17" s="439" t="s">
        <v>190</v>
      </c>
      <c r="C17" s="4">
        <v>75000</v>
      </c>
      <c r="D17" s="4">
        <v>75000</v>
      </c>
      <c r="E17" s="4">
        <f t="shared" si="0"/>
        <v>2500</v>
      </c>
      <c r="F17" s="4">
        <f t="shared" si="1"/>
        <v>104.16666666666667</v>
      </c>
      <c r="G17" s="452">
        <f t="shared" si="2"/>
        <v>1.7361111111111112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1:31" x14ac:dyDescent="0.25">
      <c r="B18" s="439" t="s">
        <v>163</v>
      </c>
      <c r="C18" s="4">
        <v>180000</v>
      </c>
      <c r="D18" s="4">
        <f>C18/12</f>
        <v>15000</v>
      </c>
      <c r="E18" s="4">
        <f t="shared" si="0"/>
        <v>500</v>
      </c>
      <c r="F18" s="4">
        <f t="shared" si="1"/>
        <v>20.833333333333332</v>
      </c>
      <c r="G18" s="452">
        <f t="shared" si="2"/>
        <v>0.34722222222222221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1:31" x14ac:dyDescent="0.25">
      <c r="B19" s="439" t="s">
        <v>191</v>
      </c>
      <c r="C19" s="4">
        <v>125000</v>
      </c>
      <c r="D19" s="4">
        <f>C19/12</f>
        <v>10416.666666666666</v>
      </c>
      <c r="E19" s="4">
        <f t="shared" si="0"/>
        <v>347.22222222222223</v>
      </c>
      <c r="F19" s="4">
        <f t="shared" si="1"/>
        <v>14.467592592592593</v>
      </c>
      <c r="G19" s="452">
        <f t="shared" si="2"/>
        <v>0.24112654320987656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</row>
    <row r="20" spans="1:31" x14ac:dyDescent="0.25">
      <c r="B20" s="439" t="s">
        <v>213</v>
      </c>
      <c r="C20" s="4">
        <v>167000</v>
      </c>
      <c r="D20" s="4">
        <f>187000*30</f>
        <v>5610000</v>
      </c>
      <c r="E20" s="4">
        <f t="shared" si="0"/>
        <v>187000</v>
      </c>
      <c r="F20" s="4">
        <f t="shared" si="1"/>
        <v>7791.666666666667</v>
      </c>
      <c r="G20" s="452">
        <f t="shared" si="2"/>
        <v>129.86111111111111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</row>
    <row r="21" spans="1:31" s="7" customFormat="1" ht="30" x14ac:dyDescent="0.25">
      <c r="A21" s="35"/>
      <c r="B21" s="453" t="s">
        <v>214</v>
      </c>
      <c r="C21" s="48">
        <v>400000</v>
      </c>
      <c r="D21" s="101">
        <v>400000</v>
      </c>
      <c r="E21" s="101">
        <f t="shared" si="0"/>
        <v>13333.333333333334</v>
      </c>
      <c r="F21" s="101">
        <f t="shared" si="1"/>
        <v>555.55555555555554</v>
      </c>
      <c r="G21" s="454">
        <f t="shared" si="2"/>
        <v>9.2592592592592595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x14ac:dyDescent="0.25">
      <c r="B22" s="439" t="s">
        <v>194</v>
      </c>
      <c r="C22" s="4">
        <v>210000</v>
      </c>
      <c r="D22" s="4">
        <f>C22/12</f>
        <v>17500</v>
      </c>
      <c r="E22" s="4">
        <f t="shared" si="0"/>
        <v>583.33333333333337</v>
      </c>
      <c r="F22" s="4">
        <f t="shared" si="1"/>
        <v>24.305555555555557</v>
      </c>
      <c r="G22" s="452">
        <f t="shared" si="2"/>
        <v>0.40509259259259262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31" ht="15.75" thickBot="1" x14ac:dyDescent="0.3">
      <c r="B23" s="457" t="s">
        <v>93</v>
      </c>
      <c r="C23" s="458"/>
      <c r="D23" s="459">
        <f>SUM(D14:D22)</f>
        <v>7241806.666666667</v>
      </c>
      <c r="E23" s="459">
        <f>SUM(E14:E22)</f>
        <v>241393.55555555556</v>
      </c>
      <c r="F23" s="459">
        <f>SUM(F14:F22)</f>
        <v>10058.064814814814</v>
      </c>
      <c r="G23" s="460">
        <f>SUM(G14:G22)</f>
        <v>167.6344135802469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</row>
    <row r="24" spans="1:31" s="37" customFormat="1" x14ac:dyDescent="0.25">
      <c r="C24" s="449"/>
    </row>
    <row r="25" spans="1:31" s="37" customFormat="1" x14ac:dyDescent="0.25"/>
    <row r="26" spans="1:31" s="37" customFormat="1" ht="15.75" thickBot="1" x14ac:dyDescent="0.3"/>
    <row r="27" spans="1:31" ht="23.25" customHeight="1" thickBot="1" x14ac:dyDescent="0.3">
      <c r="B27" s="1489" t="s">
        <v>317</v>
      </c>
      <c r="C27" s="1490"/>
      <c r="D27" s="1490"/>
      <c r="E27" s="1490"/>
      <c r="F27" s="1490"/>
      <c r="G27" s="1490"/>
      <c r="H27" s="1490"/>
      <c r="I27" s="1490"/>
      <c r="J27" s="1490"/>
      <c r="K27" s="1490"/>
      <c r="L27" s="1490"/>
      <c r="M27" s="1490"/>
      <c r="N27" s="1490"/>
      <c r="O27" s="1491"/>
      <c r="P27" s="462"/>
    </row>
    <row r="28" spans="1:31" s="22" customFormat="1" ht="30" x14ac:dyDescent="0.25">
      <c r="A28" s="34"/>
      <c r="B28" s="466" t="s">
        <v>315</v>
      </c>
      <c r="C28" s="455">
        <v>44348</v>
      </c>
      <c r="D28" s="455">
        <v>44378</v>
      </c>
      <c r="E28" s="455">
        <v>44409</v>
      </c>
      <c r="F28" s="455">
        <v>44440</v>
      </c>
      <c r="G28" s="455">
        <v>44470</v>
      </c>
      <c r="H28" s="455">
        <v>44501</v>
      </c>
      <c r="I28" s="455">
        <v>44531</v>
      </c>
      <c r="J28" s="455">
        <v>44562</v>
      </c>
      <c r="K28" s="455">
        <v>44593</v>
      </c>
      <c r="L28" s="455">
        <v>44621</v>
      </c>
      <c r="M28" s="455">
        <v>44652</v>
      </c>
      <c r="N28" s="455">
        <v>44682</v>
      </c>
      <c r="O28" s="467" t="s">
        <v>316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x14ac:dyDescent="0.25">
      <c r="B29" s="439" t="s">
        <v>91</v>
      </c>
      <c r="C29" s="4">
        <f>+D14</f>
        <v>459890</v>
      </c>
      <c r="D29" s="4">
        <v>487650</v>
      </c>
      <c r="E29" s="4">
        <v>467934</v>
      </c>
      <c r="F29" s="4">
        <v>467908</v>
      </c>
      <c r="G29" s="4">
        <v>443560</v>
      </c>
      <c r="H29" s="4">
        <v>456907</v>
      </c>
      <c r="I29" s="4">
        <v>476543</v>
      </c>
      <c r="J29" s="4">
        <v>450200</v>
      </c>
      <c r="K29" s="4">
        <v>435670</v>
      </c>
      <c r="L29" s="4">
        <v>467100</v>
      </c>
      <c r="M29" s="4">
        <v>478600</v>
      </c>
      <c r="N29" s="4">
        <v>487200</v>
      </c>
      <c r="O29" s="442">
        <f>+SUM(C29:N29)</f>
        <v>5579162</v>
      </c>
      <c r="P29" s="37"/>
      <c r="Q29" s="37"/>
    </row>
    <row r="30" spans="1:31" x14ac:dyDescent="0.25">
      <c r="B30" s="439" t="s">
        <v>122</v>
      </c>
      <c r="C30" s="4">
        <f>+D15</f>
        <v>585000</v>
      </c>
      <c r="D30" s="4">
        <v>576320</v>
      </c>
      <c r="E30" s="4">
        <v>567920</v>
      </c>
      <c r="F30" s="4">
        <v>587690</v>
      </c>
      <c r="G30" s="4">
        <v>567890</v>
      </c>
      <c r="H30" s="4">
        <v>534567</v>
      </c>
      <c r="I30" s="4">
        <v>534700</v>
      </c>
      <c r="J30" s="4">
        <v>540000</v>
      </c>
      <c r="K30" s="4">
        <v>535500</v>
      </c>
      <c r="L30" s="4">
        <v>537000</v>
      </c>
      <c r="M30" s="4">
        <v>545320</v>
      </c>
      <c r="N30" s="4">
        <v>552320</v>
      </c>
      <c r="O30" s="442">
        <f>+SUM(C30:N30)</f>
        <v>6664227</v>
      </c>
      <c r="P30" s="37"/>
      <c r="Q30" s="37"/>
    </row>
    <row r="31" spans="1:31" x14ac:dyDescent="0.25">
      <c r="B31" s="439" t="s">
        <v>92</v>
      </c>
      <c r="C31" s="4">
        <f>+D16</f>
        <v>69000</v>
      </c>
      <c r="D31" s="4">
        <f>+$C$31</f>
        <v>69000</v>
      </c>
      <c r="E31" s="4">
        <f t="shared" ref="E31:N31" si="3">+$C$31</f>
        <v>69000</v>
      </c>
      <c r="F31" s="4">
        <f t="shared" si="3"/>
        <v>69000</v>
      </c>
      <c r="G31" s="4">
        <f t="shared" si="3"/>
        <v>69000</v>
      </c>
      <c r="H31" s="4">
        <f t="shared" si="3"/>
        <v>69000</v>
      </c>
      <c r="I31" s="4">
        <f t="shared" si="3"/>
        <v>69000</v>
      </c>
      <c r="J31" s="4">
        <f t="shared" si="3"/>
        <v>69000</v>
      </c>
      <c r="K31" s="4">
        <f t="shared" si="3"/>
        <v>69000</v>
      </c>
      <c r="L31" s="4">
        <f t="shared" si="3"/>
        <v>69000</v>
      </c>
      <c r="M31" s="4">
        <f t="shared" si="3"/>
        <v>69000</v>
      </c>
      <c r="N31" s="4">
        <f t="shared" si="3"/>
        <v>69000</v>
      </c>
      <c r="O31" s="442">
        <f>+SUM(C31:N31)</f>
        <v>828000</v>
      </c>
      <c r="P31" s="37"/>
      <c r="Q31" s="37"/>
    </row>
    <row r="32" spans="1:31" x14ac:dyDescent="0.25">
      <c r="B32" s="468" t="s">
        <v>190</v>
      </c>
      <c r="C32" s="46">
        <f>+D17</f>
        <v>75000</v>
      </c>
      <c r="D32" s="46">
        <f>+$C$32</f>
        <v>75000</v>
      </c>
      <c r="E32" s="46">
        <f t="shared" ref="E32:N32" si="4">+$C$32</f>
        <v>75000</v>
      </c>
      <c r="F32" s="46">
        <f t="shared" si="4"/>
        <v>75000</v>
      </c>
      <c r="G32" s="46">
        <f t="shared" si="4"/>
        <v>75000</v>
      </c>
      <c r="H32" s="46">
        <f t="shared" si="4"/>
        <v>75000</v>
      </c>
      <c r="I32" s="46">
        <f t="shared" si="4"/>
        <v>75000</v>
      </c>
      <c r="J32" s="46">
        <f t="shared" si="4"/>
        <v>75000</v>
      </c>
      <c r="K32" s="46">
        <f t="shared" si="4"/>
        <v>75000</v>
      </c>
      <c r="L32" s="46">
        <f t="shared" si="4"/>
        <v>75000</v>
      </c>
      <c r="M32" s="46">
        <f t="shared" si="4"/>
        <v>75000</v>
      </c>
      <c r="N32" s="46">
        <f t="shared" si="4"/>
        <v>75000</v>
      </c>
      <c r="O32" s="442">
        <f>+SUM(C32:N32)</f>
        <v>900000</v>
      </c>
      <c r="P32" s="37"/>
      <c r="Q32" s="37"/>
    </row>
    <row r="33" spans="1:31" s="1" customFormat="1" x14ac:dyDescent="0.25">
      <c r="A33" s="96"/>
      <c r="B33" s="469" t="s">
        <v>93</v>
      </c>
      <c r="C33" s="456">
        <f>+SUM(C29:C32)</f>
        <v>1188890</v>
      </c>
      <c r="D33" s="456">
        <f t="shared" ref="D33:N33" si="5">+SUM(D29:D32)</f>
        <v>1207970</v>
      </c>
      <c r="E33" s="456">
        <f t="shared" si="5"/>
        <v>1179854</v>
      </c>
      <c r="F33" s="456">
        <f t="shared" si="5"/>
        <v>1199598</v>
      </c>
      <c r="G33" s="456">
        <f t="shared" si="5"/>
        <v>1155450</v>
      </c>
      <c r="H33" s="456">
        <f t="shared" si="5"/>
        <v>1135474</v>
      </c>
      <c r="I33" s="456">
        <f t="shared" si="5"/>
        <v>1155243</v>
      </c>
      <c r="J33" s="456">
        <f t="shared" si="5"/>
        <v>1134200</v>
      </c>
      <c r="K33" s="456">
        <f t="shared" si="5"/>
        <v>1115170</v>
      </c>
      <c r="L33" s="456">
        <f t="shared" si="5"/>
        <v>1148100</v>
      </c>
      <c r="M33" s="456">
        <f t="shared" si="5"/>
        <v>1167920</v>
      </c>
      <c r="N33" s="456">
        <f t="shared" si="5"/>
        <v>1183520</v>
      </c>
      <c r="O33" s="442">
        <f>+SUM(C33:N33)</f>
        <v>13971389</v>
      </c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</row>
    <row r="34" spans="1:31" s="37" customFormat="1" ht="15.75" thickBot="1" x14ac:dyDescent="0.3">
      <c r="B34" s="228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30"/>
    </row>
    <row r="35" spans="1:31" ht="20.25" customHeight="1" x14ac:dyDescent="0.25">
      <c r="B35" s="1492" t="s">
        <v>318</v>
      </c>
      <c r="C35" s="1493"/>
      <c r="D35" s="1493"/>
      <c r="E35" s="1493"/>
      <c r="F35" s="1493"/>
      <c r="G35" s="1493"/>
      <c r="H35" s="1493"/>
      <c r="I35" s="1493"/>
      <c r="J35" s="1493"/>
      <c r="K35" s="1493"/>
      <c r="L35" s="1493"/>
      <c r="M35" s="1493"/>
      <c r="N35" s="1493"/>
      <c r="O35" s="1493"/>
      <c r="P35" s="1493"/>
      <c r="Q35" s="1494"/>
    </row>
    <row r="36" spans="1:31" ht="45" x14ac:dyDescent="0.25">
      <c r="B36" s="450" t="s">
        <v>428</v>
      </c>
      <c r="C36" s="100" t="s">
        <v>320</v>
      </c>
      <c r="D36" s="45">
        <v>44348</v>
      </c>
      <c r="E36" s="45">
        <v>44378</v>
      </c>
      <c r="F36" s="45">
        <v>44409</v>
      </c>
      <c r="G36" s="45">
        <v>44440</v>
      </c>
      <c r="H36" s="45">
        <v>44470</v>
      </c>
      <c r="I36" s="45">
        <v>44501</v>
      </c>
      <c r="J36" s="45">
        <v>44531</v>
      </c>
      <c r="K36" s="471" t="s">
        <v>521</v>
      </c>
      <c r="L36" s="45">
        <v>44562</v>
      </c>
      <c r="M36" s="45">
        <v>44593</v>
      </c>
      <c r="N36" s="45">
        <v>44621</v>
      </c>
      <c r="O36" s="45">
        <v>44652</v>
      </c>
      <c r="P36" s="45">
        <v>44682</v>
      </c>
      <c r="Q36" s="423" t="s">
        <v>321</v>
      </c>
    </row>
    <row r="37" spans="1:31" x14ac:dyDescent="0.25">
      <c r="B37" s="439" t="s">
        <v>163</v>
      </c>
      <c r="C37" s="474">
        <f>+C18</f>
        <v>180000</v>
      </c>
      <c r="D37" s="49">
        <f>+C37/12</f>
        <v>15000</v>
      </c>
      <c r="E37" s="47">
        <f>+$D$37</f>
        <v>15000</v>
      </c>
      <c r="F37" s="47">
        <f t="shared" ref="F37:J37" si="6">+$D$37</f>
        <v>15000</v>
      </c>
      <c r="G37" s="47">
        <f t="shared" si="6"/>
        <v>15000</v>
      </c>
      <c r="H37" s="47">
        <f t="shared" si="6"/>
        <v>15000</v>
      </c>
      <c r="I37" s="47">
        <f t="shared" si="6"/>
        <v>15000</v>
      </c>
      <c r="J37" s="47">
        <f t="shared" si="6"/>
        <v>15000</v>
      </c>
      <c r="K37" s="472">
        <v>193000</v>
      </c>
      <c r="L37" s="101">
        <f>+K37/12</f>
        <v>16083.333333333334</v>
      </c>
      <c r="M37" s="47">
        <f>+L37</f>
        <v>16083.333333333334</v>
      </c>
      <c r="N37" s="47">
        <f t="shared" ref="N37:P37" si="7">+M37</f>
        <v>16083.333333333334</v>
      </c>
      <c r="O37" s="47">
        <f t="shared" si="7"/>
        <v>16083.333333333334</v>
      </c>
      <c r="P37" s="47">
        <f t="shared" si="7"/>
        <v>16083.333333333334</v>
      </c>
      <c r="Q37" s="463">
        <f>SUM(D37:P37)-K37</f>
        <v>185416.66666666657</v>
      </c>
      <c r="S37" s="348"/>
    </row>
    <row r="38" spans="1:31" x14ac:dyDescent="0.25">
      <c r="B38" s="439" t="s">
        <v>191</v>
      </c>
      <c r="C38" s="475">
        <f>+C19</f>
        <v>125000</v>
      </c>
      <c r="D38" s="4">
        <f t="shared" ref="D38:D41" si="8">+C38/12</f>
        <v>10416.666666666666</v>
      </c>
      <c r="E38" s="21">
        <f>+$D$38</f>
        <v>10416.666666666666</v>
      </c>
      <c r="F38" s="21">
        <f t="shared" ref="F38:J38" si="9">+$D$38</f>
        <v>10416.666666666666</v>
      </c>
      <c r="G38" s="21">
        <f t="shared" si="9"/>
        <v>10416.666666666666</v>
      </c>
      <c r="H38" s="21">
        <f t="shared" si="9"/>
        <v>10416.666666666666</v>
      </c>
      <c r="I38" s="21">
        <f t="shared" si="9"/>
        <v>10416.666666666666</v>
      </c>
      <c r="J38" s="21">
        <f t="shared" si="9"/>
        <v>10416.666666666666</v>
      </c>
      <c r="K38" s="473">
        <v>137500</v>
      </c>
      <c r="L38" s="101">
        <f t="shared" ref="L38:L41" si="10">+K38/12</f>
        <v>11458.333333333334</v>
      </c>
      <c r="M38" s="47">
        <f t="shared" ref="M38:P39" si="11">+L38</f>
        <v>11458.333333333334</v>
      </c>
      <c r="N38" s="47">
        <f t="shared" si="11"/>
        <v>11458.333333333334</v>
      </c>
      <c r="O38" s="47">
        <f t="shared" si="11"/>
        <v>11458.333333333334</v>
      </c>
      <c r="P38" s="47">
        <f t="shared" si="11"/>
        <v>11458.333333333334</v>
      </c>
      <c r="Q38" s="463">
        <f t="shared" ref="Q38:Q41" si="12">SUM(D38:P38)-K38</f>
        <v>130208.33333333337</v>
      </c>
      <c r="S38" s="348"/>
    </row>
    <row r="39" spans="1:31" x14ac:dyDescent="0.25">
      <c r="B39" s="439" t="s">
        <v>213</v>
      </c>
      <c r="C39" s="475">
        <f>+C20</f>
        <v>167000</v>
      </c>
      <c r="D39" s="4">
        <f>+C39*30</f>
        <v>5010000</v>
      </c>
      <c r="E39" s="21">
        <f>+$D$39</f>
        <v>5010000</v>
      </c>
      <c r="F39" s="21">
        <f t="shared" ref="F39:J39" si="13">+$D$39</f>
        <v>5010000</v>
      </c>
      <c r="G39" s="21">
        <f t="shared" si="13"/>
        <v>5010000</v>
      </c>
      <c r="H39" s="21">
        <f t="shared" si="13"/>
        <v>5010000</v>
      </c>
      <c r="I39" s="21">
        <f t="shared" si="13"/>
        <v>5010000</v>
      </c>
      <c r="J39" s="21">
        <f t="shared" si="13"/>
        <v>5010000</v>
      </c>
      <c r="K39" s="473">
        <v>187000</v>
      </c>
      <c r="L39" s="101">
        <f>+K39*30</f>
        <v>5610000</v>
      </c>
      <c r="M39" s="47">
        <f t="shared" si="11"/>
        <v>5610000</v>
      </c>
      <c r="N39" s="47">
        <f t="shared" si="11"/>
        <v>5610000</v>
      </c>
      <c r="O39" s="47">
        <f t="shared" si="11"/>
        <v>5610000</v>
      </c>
      <c r="P39" s="47">
        <f t="shared" si="11"/>
        <v>5610000</v>
      </c>
      <c r="Q39" s="463">
        <f t="shared" si="12"/>
        <v>63120000</v>
      </c>
      <c r="S39" s="348"/>
    </row>
    <row r="40" spans="1:31" s="7" customFormat="1" ht="26.25" customHeight="1" x14ac:dyDescent="0.25">
      <c r="A40" s="35"/>
      <c r="B40" s="453" t="s">
        <v>214</v>
      </c>
      <c r="C40" s="475">
        <f>+C21</f>
        <v>400000</v>
      </c>
      <c r="D40" s="50">
        <f>+C40</f>
        <v>400000</v>
      </c>
      <c r="E40" s="47">
        <f>+$D$40</f>
        <v>400000</v>
      </c>
      <c r="F40" s="47">
        <f t="shared" ref="F40:J40" si="14">+$D$40</f>
        <v>400000</v>
      </c>
      <c r="G40" s="47">
        <f t="shared" si="14"/>
        <v>400000</v>
      </c>
      <c r="H40" s="47">
        <f t="shared" si="14"/>
        <v>400000</v>
      </c>
      <c r="I40" s="47">
        <f t="shared" si="14"/>
        <v>400000</v>
      </c>
      <c r="J40" s="47">
        <f t="shared" si="14"/>
        <v>400000</v>
      </c>
      <c r="K40" s="472">
        <v>425000</v>
      </c>
      <c r="L40" s="101">
        <f>+K40</f>
        <v>425000</v>
      </c>
      <c r="M40" s="101">
        <f t="shared" ref="M40:P40" si="15">+L40</f>
        <v>425000</v>
      </c>
      <c r="N40" s="101">
        <f t="shared" si="15"/>
        <v>425000</v>
      </c>
      <c r="O40" s="101">
        <f t="shared" si="15"/>
        <v>425000</v>
      </c>
      <c r="P40" s="101">
        <f t="shared" si="15"/>
        <v>425000</v>
      </c>
      <c r="Q40" s="463">
        <f t="shared" si="12"/>
        <v>4925000</v>
      </c>
      <c r="R40" s="470"/>
      <c r="S40" s="348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x14ac:dyDescent="0.25">
      <c r="B41" s="439" t="s">
        <v>194</v>
      </c>
      <c r="C41" s="475">
        <f>+C22</f>
        <v>210000</v>
      </c>
      <c r="D41" s="4">
        <f t="shared" si="8"/>
        <v>17500</v>
      </c>
      <c r="E41" s="21">
        <f>+$D$41</f>
        <v>17500</v>
      </c>
      <c r="F41" s="21">
        <f t="shared" ref="F41:J41" si="16">+$D$41</f>
        <v>17500</v>
      </c>
      <c r="G41" s="21">
        <f t="shared" si="16"/>
        <v>17500</v>
      </c>
      <c r="H41" s="21">
        <f t="shared" si="16"/>
        <v>17500</v>
      </c>
      <c r="I41" s="21">
        <f t="shared" si="16"/>
        <v>17500</v>
      </c>
      <c r="J41" s="21">
        <f t="shared" si="16"/>
        <v>17500</v>
      </c>
      <c r="K41" s="473">
        <v>235000</v>
      </c>
      <c r="L41" s="101">
        <f t="shared" si="10"/>
        <v>19583.333333333332</v>
      </c>
      <c r="M41" s="21">
        <f>+L41</f>
        <v>19583.333333333332</v>
      </c>
      <c r="N41" s="21">
        <f t="shared" ref="N41:P41" si="17">+M41</f>
        <v>19583.333333333332</v>
      </c>
      <c r="O41" s="21">
        <f t="shared" si="17"/>
        <v>19583.333333333332</v>
      </c>
      <c r="P41" s="21">
        <f t="shared" si="17"/>
        <v>19583.333333333332</v>
      </c>
      <c r="Q41" s="463">
        <f t="shared" si="12"/>
        <v>220416.66666666657</v>
      </c>
      <c r="S41" s="348"/>
    </row>
    <row r="42" spans="1:31" s="1" customFormat="1" ht="15.75" thickBot="1" x14ac:dyDescent="0.3">
      <c r="A42" s="96"/>
      <c r="B42" s="1484" t="s">
        <v>93</v>
      </c>
      <c r="C42" s="1485"/>
      <c r="D42" s="464">
        <f>+SUM(D37:D41)</f>
        <v>5452916.666666667</v>
      </c>
      <c r="E42" s="464">
        <f t="shared" ref="E42:P42" si="18">+SUM(E37:E41)</f>
        <v>5452916.666666667</v>
      </c>
      <c r="F42" s="464">
        <f t="shared" si="18"/>
        <v>5452916.666666667</v>
      </c>
      <c r="G42" s="464">
        <f t="shared" si="18"/>
        <v>5452916.666666667</v>
      </c>
      <c r="H42" s="464">
        <f t="shared" si="18"/>
        <v>5452916.666666667</v>
      </c>
      <c r="I42" s="464">
        <f t="shared" si="18"/>
        <v>5452916.666666667</v>
      </c>
      <c r="J42" s="464">
        <f t="shared" si="18"/>
        <v>5452916.666666667</v>
      </c>
      <c r="K42" s="464">
        <f>+SUM(K37:K41)</f>
        <v>1177500</v>
      </c>
      <c r="L42" s="464">
        <f t="shared" si="18"/>
        <v>6082125</v>
      </c>
      <c r="M42" s="464">
        <f t="shared" si="18"/>
        <v>6082125</v>
      </c>
      <c r="N42" s="464">
        <f t="shared" si="18"/>
        <v>6082125</v>
      </c>
      <c r="O42" s="464">
        <f t="shared" si="18"/>
        <v>6082125</v>
      </c>
      <c r="P42" s="464">
        <f t="shared" si="18"/>
        <v>6082125</v>
      </c>
      <c r="Q42" s="465">
        <f>+SUM(Q37:Q41)</f>
        <v>68581041.666666672</v>
      </c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</row>
    <row r="43" spans="1:31" s="37" customFormat="1" x14ac:dyDescent="0.25"/>
    <row r="44" spans="1:31" s="37" customFormat="1" x14ac:dyDescent="0.25">
      <c r="Q44" s="348"/>
    </row>
    <row r="45" spans="1:31" s="37" customFormat="1" hidden="1" x14ac:dyDescent="0.25"/>
    <row r="46" spans="1:31" s="37" customFormat="1" hidden="1" x14ac:dyDescent="0.25"/>
    <row r="47" spans="1:31" s="37" customFormat="1" hidden="1" x14ac:dyDescent="0.25"/>
    <row r="48" spans="1:31" s="37" customFormat="1" hidden="1" x14ac:dyDescent="0.25"/>
    <row r="49" spans="5:5" s="37" customFormat="1" hidden="1" x14ac:dyDescent="0.25"/>
    <row r="50" spans="5:5" s="37" customFormat="1" hidden="1" x14ac:dyDescent="0.25"/>
    <row r="51" spans="5:5" s="37" customFormat="1" hidden="1" x14ac:dyDescent="0.25">
      <c r="E51" s="348"/>
    </row>
    <row r="52" spans="5:5" s="37" customFormat="1" hidden="1" x14ac:dyDescent="0.25"/>
    <row r="53" spans="5:5" s="37" customFormat="1" hidden="1" x14ac:dyDescent="0.25"/>
    <row r="54" spans="5:5" s="37" customFormat="1" hidden="1" x14ac:dyDescent="0.25"/>
    <row r="55" spans="5:5" s="37" customFormat="1" hidden="1" x14ac:dyDescent="0.25"/>
    <row r="56" spans="5:5" s="37" customFormat="1" hidden="1" x14ac:dyDescent="0.25"/>
    <row r="57" spans="5:5" s="37" customFormat="1" hidden="1" x14ac:dyDescent="0.25"/>
    <row r="58" spans="5:5" s="37" customFormat="1" hidden="1" x14ac:dyDescent="0.25"/>
    <row r="59" spans="5:5" s="37" customFormat="1" hidden="1" x14ac:dyDescent="0.25"/>
    <row r="60" spans="5:5" s="37" customFormat="1" hidden="1" x14ac:dyDescent="0.25"/>
    <row r="61" spans="5:5" s="37" customFormat="1" hidden="1" x14ac:dyDescent="0.25"/>
    <row r="62" spans="5:5" s="37" customFormat="1" hidden="1" x14ac:dyDescent="0.25"/>
    <row r="63" spans="5:5" s="37" customFormat="1" hidden="1" x14ac:dyDescent="0.25"/>
    <row r="64" spans="5:5" s="37" customFormat="1" hidden="1" x14ac:dyDescent="0.25"/>
    <row r="65" s="37" customFormat="1" hidden="1" x14ac:dyDescent="0.25"/>
    <row r="66" s="37" customFormat="1" hidden="1" x14ac:dyDescent="0.25"/>
    <row r="67" s="37" customFormat="1" hidden="1" x14ac:dyDescent="0.25"/>
    <row r="68" s="37" customFormat="1" hidden="1" x14ac:dyDescent="0.25"/>
    <row r="69" s="37" customFormat="1" hidden="1" x14ac:dyDescent="0.25"/>
    <row r="70" s="37" customFormat="1" hidden="1" x14ac:dyDescent="0.25"/>
    <row r="71" s="37" customFormat="1" hidden="1" x14ac:dyDescent="0.25"/>
    <row r="72" s="37" customFormat="1" hidden="1" x14ac:dyDescent="0.25"/>
    <row r="73" s="37" customFormat="1" hidden="1" x14ac:dyDescent="0.25"/>
    <row r="74" s="37" customFormat="1" hidden="1" x14ac:dyDescent="0.25"/>
  </sheetData>
  <mergeCells count="8">
    <mergeCell ref="B6:I6"/>
    <mergeCell ref="B7:I7"/>
    <mergeCell ref="B8:I8"/>
    <mergeCell ref="B9:I9"/>
    <mergeCell ref="B42:C42"/>
    <mergeCell ref="B12:G12"/>
    <mergeCell ref="B27:O27"/>
    <mergeCell ref="B35:Q3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7CDC-1191-41C3-B66B-5EA17337A7C6}">
  <dimension ref="A1:AK129"/>
  <sheetViews>
    <sheetView topLeftCell="A4" workbookViewId="0">
      <selection activeCell="O17" sqref="O1:XFD1048576"/>
    </sheetView>
  </sheetViews>
  <sheetFormatPr baseColWidth="10" defaultColWidth="0" defaultRowHeight="15" zeroHeight="1" x14ac:dyDescent="0.25"/>
  <cols>
    <col min="1" max="1" width="11.42578125" style="37" customWidth="1"/>
    <col min="2" max="2" width="36.7109375" customWidth="1"/>
    <col min="3" max="3" width="16" customWidth="1"/>
    <col min="4" max="4" width="19.7109375" customWidth="1"/>
    <col min="5" max="5" width="21.7109375" customWidth="1"/>
    <col min="6" max="6" width="16.7109375" customWidth="1"/>
    <col min="7" max="7" width="17.7109375" customWidth="1"/>
    <col min="8" max="8" width="15.5703125" bestFit="1" customWidth="1"/>
    <col min="9" max="9" width="18.85546875" customWidth="1"/>
    <col min="10" max="10" width="12" bestFit="1" customWidth="1"/>
    <col min="11" max="11" width="10.5703125" customWidth="1"/>
    <col min="12" max="12" width="11.5703125" bestFit="1" customWidth="1"/>
    <col min="13" max="14" width="11.42578125" customWidth="1"/>
    <col min="19" max="37" width="0" style="37" hidden="1"/>
    <col min="38" max="16384" width="11.42578125" hidden="1"/>
  </cols>
  <sheetData>
    <row r="1" spans="2:18" s="37" customFormat="1" x14ac:dyDescent="0.25"/>
    <row r="2" spans="2:18" s="37" customFormat="1" x14ac:dyDescent="0.25"/>
    <row r="3" spans="2:18" s="37" customFormat="1" x14ac:dyDescent="0.25"/>
    <row r="4" spans="2:18" s="37" customFormat="1" x14ac:dyDescent="0.25"/>
    <row r="5" spans="2:18" s="37" customFormat="1" x14ac:dyDescent="0.25"/>
    <row r="6" spans="2:18" s="388" customFormat="1" ht="23.25" x14ac:dyDescent="0.35">
      <c r="B6" s="1373" t="s">
        <v>71</v>
      </c>
      <c r="C6" s="1373"/>
      <c r="D6" s="1373"/>
      <c r="E6" s="1373"/>
      <c r="F6" s="1373"/>
      <c r="G6" s="1373"/>
      <c r="H6" s="1373"/>
      <c r="I6" s="1373"/>
      <c r="J6" s="1373"/>
      <c r="K6" s="1373"/>
      <c r="L6" s="1373"/>
    </row>
    <row r="7" spans="2:18" s="388" customFormat="1" ht="23.25" x14ac:dyDescent="0.35">
      <c r="B7" s="1373" t="s">
        <v>592</v>
      </c>
      <c r="C7" s="1373"/>
      <c r="D7" s="1373"/>
      <c r="E7" s="1373"/>
      <c r="F7" s="1373"/>
      <c r="G7" s="1373"/>
      <c r="H7" s="1373"/>
      <c r="I7" s="1373"/>
      <c r="J7" s="1373"/>
      <c r="K7" s="1373"/>
      <c r="L7" s="1373"/>
    </row>
    <row r="8" spans="2:18" s="388" customFormat="1" ht="23.25" x14ac:dyDescent="0.35">
      <c r="B8" s="1373" t="s">
        <v>453</v>
      </c>
      <c r="C8" s="1373"/>
      <c r="D8" s="1373"/>
      <c r="E8" s="1373"/>
      <c r="F8" s="1373"/>
      <c r="G8" s="1373"/>
      <c r="H8" s="1373"/>
      <c r="I8" s="1373"/>
      <c r="J8" s="1373"/>
      <c r="K8" s="1373"/>
      <c r="L8" s="1373"/>
    </row>
    <row r="9" spans="2:18" s="37" customFormat="1" x14ac:dyDescent="0.25"/>
    <row r="10" spans="2:18" s="37" customFormat="1" x14ac:dyDescent="0.25"/>
    <row r="11" spans="2:18" x14ac:dyDescent="0.25">
      <c r="B11" s="1502" t="s">
        <v>277</v>
      </c>
      <c r="C11" s="1502"/>
      <c r="D11" s="1502"/>
      <c r="E11" s="1502"/>
      <c r="F11" s="1502"/>
      <c r="G11" s="1502"/>
      <c r="H11" s="1502"/>
      <c r="I11" s="1502"/>
      <c r="J11" s="37"/>
      <c r="K11" s="37"/>
      <c r="L11" s="37"/>
      <c r="M11" s="37"/>
      <c r="N11" s="37"/>
      <c r="O11" s="37"/>
      <c r="P11" s="37"/>
      <c r="Q11" s="37"/>
      <c r="R11" s="37"/>
    </row>
    <row r="12" spans="2:18" x14ac:dyDescent="0.25">
      <c r="B12" s="86" t="s">
        <v>258</v>
      </c>
      <c r="C12" s="86" t="s">
        <v>33</v>
      </c>
      <c r="D12" s="86" t="s">
        <v>259</v>
      </c>
      <c r="E12" s="86" t="s">
        <v>347</v>
      </c>
      <c r="F12" s="86" t="s">
        <v>348</v>
      </c>
      <c r="G12" s="86" t="s">
        <v>349</v>
      </c>
      <c r="H12" s="91" t="s">
        <v>369</v>
      </c>
      <c r="I12" s="91" t="s">
        <v>370</v>
      </c>
      <c r="J12" s="37"/>
      <c r="K12" s="37"/>
      <c r="L12" s="37"/>
      <c r="M12" s="37"/>
      <c r="N12" s="37"/>
      <c r="O12" s="37"/>
      <c r="P12" s="37"/>
      <c r="Q12" s="37"/>
      <c r="R12" s="37"/>
    </row>
    <row r="13" spans="2:18" x14ac:dyDescent="0.25">
      <c r="B13" s="2" t="s">
        <v>271</v>
      </c>
      <c r="C13" s="2">
        <v>24</v>
      </c>
      <c r="D13" s="18">
        <v>45000</v>
      </c>
      <c r="E13" s="18">
        <f>SUM(C13*D13)</f>
        <v>1080000</v>
      </c>
      <c r="F13" s="4">
        <f>+E13/12</f>
        <v>90000</v>
      </c>
      <c r="G13" s="4">
        <f>+F13/30</f>
        <v>3000</v>
      </c>
      <c r="H13" s="4">
        <f>+G13/24</f>
        <v>125</v>
      </c>
      <c r="I13" s="4">
        <f>+H13/60</f>
        <v>2.0833333333333335</v>
      </c>
      <c r="J13" s="37"/>
      <c r="K13" s="37"/>
      <c r="L13" s="37"/>
      <c r="M13" s="37"/>
      <c r="N13" s="37"/>
      <c r="O13" s="37"/>
      <c r="P13" s="37"/>
      <c r="Q13" s="37"/>
      <c r="R13" s="37"/>
    </row>
    <row r="14" spans="2:18" x14ac:dyDescent="0.25">
      <c r="B14" s="2" t="s">
        <v>272</v>
      </c>
      <c r="C14" s="2">
        <v>4</v>
      </c>
      <c r="D14" s="18">
        <v>70000</v>
      </c>
      <c r="E14" s="18">
        <f t="shared" ref="E14:E17" si="0">SUM(C14*D14)</f>
        <v>280000</v>
      </c>
      <c r="F14" s="4">
        <f t="shared" ref="F14:F17" si="1">+E14/12</f>
        <v>23333.333333333332</v>
      </c>
      <c r="G14" s="4">
        <f t="shared" ref="G14:G17" si="2">+F14/30</f>
        <v>777.77777777777771</v>
      </c>
      <c r="H14" s="4">
        <f t="shared" ref="H14:H17" si="3">+G14/24</f>
        <v>32.407407407407405</v>
      </c>
      <c r="I14" s="4">
        <f t="shared" ref="I14:I17" si="4">+H14/60</f>
        <v>0.54012345679012341</v>
      </c>
      <c r="J14" s="37"/>
      <c r="K14" s="37"/>
      <c r="L14" s="37"/>
      <c r="M14" s="37"/>
      <c r="N14" s="37"/>
      <c r="O14" s="37"/>
      <c r="P14" s="37"/>
      <c r="Q14" s="37"/>
      <c r="R14" s="37"/>
    </row>
    <row r="15" spans="2:18" x14ac:dyDescent="0.25">
      <c r="B15" s="2" t="s">
        <v>273</v>
      </c>
      <c r="C15" s="2">
        <v>3</v>
      </c>
      <c r="D15" s="18">
        <v>85000</v>
      </c>
      <c r="E15" s="18">
        <f t="shared" si="0"/>
        <v>255000</v>
      </c>
      <c r="F15" s="4">
        <f t="shared" si="1"/>
        <v>21250</v>
      </c>
      <c r="G15" s="4">
        <f t="shared" si="2"/>
        <v>708.33333333333337</v>
      </c>
      <c r="H15" s="4">
        <f t="shared" si="3"/>
        <v>29.513888888888889</v>
      </c>
      <c r="I15" s="4">
        <f t="shared" si="4"/>
        <v>0.49189814814814814</v>
      </c>
      <c r="J15" s="37"/>
      <c r="K15" s="37"/>
      <c r="L15" s="37"/>
      <c r="M15" s="37"/>
      <c r="N15" s="37"/>
      <c r="O15" s="37"/>
      <c r="P15" s="37"/>
      <c r="Q15" s="37"/>
      <c r="R15" s="37"/>
    </row>
    <row r="16" spans="2:18" x14ac:dyDescent="0.25">
      <c r="B16" s="2" t="s">
        <v>276</v>
      </c>
      <c r="C16" s="2">
        <v>24</v>
      </c>
      <c r="D16" s="18">
        <v>15000</v>
      </c>
      <c r="E16" s="18">
        <f t="shared" si="0"/>
        <v>360000</v>
      </c>
      <c r="F16" s="4">
        <f t="shared" si="1"/>
        <v>30000</v>
      </c>
      <c r="G16" s="4">
        <f t="shared" si="2"/>
        <v>1000</v>
      </c>
      <c r="H16" s="4">
        <f t="shared" si="3"/>
        <v>41.666666666666664</v>
      </c>
      <c r="I16" s="4">
        <f t="shared" si="4"/>
        <v>0.69444444444444442</v>
      </c>
      <c r="J16" s="37"/>
      <c r="K16" s="37"/>
      <c r="L16" s="37"/>
      <c r="M16" s="37"/>
      <c r="N16" s="37"/>
      <c r="O16" s="37"/>
      <c r="P16" s="37"/>
      <c r="Q16" s="37"/>
      <c r="R16" s="37"/>
    </row>
    <row r="17" spans="1:37" x14ac:dyDescent="0.25">
      <c r="B17" s="2" t="s">
        <v>274</v>
      </c>
      <c r="C17" s="2">
        <v>12</v>
      </c>
      <c r="D17" s="18">
        <v>9500</v>
      </c>
      <c r="E17" s="18">
        <f t="shared" si="0"/>
        <v>114000</v>
      </c>
      <c r="F17" s="4">
        <f t="shared" si="1"/>
        <v>9500</v>
      </c>
      <c r="G17" s="4">
        <f t="shared" si="2"/>
        <v>316.66666666666669</v>
      </c>
      <c r="H17" s="4">
        <f t="shared" si="3"/>
        <v>13.194444444444445</v>
      </c>
      <c r="I17" s="4">
        <f t="shared" si="4"/>
        <v>0.21990740740740741</v>
      </c>
      <c r="J17" s="37"/>
      <c r="K17" s="37"/>
      <c r="L17" s="37"/>
      <c r="M17" s="37"/>
      <c r="N17" s="37"/>
      <c r="O17" s="37"/>
      <c r="P17" s="37"/>
      <c r="Q17" s="37"/>
      <c r="R17" s="37"/>
    </row>
    <row r="18" spans="1:37" x14ac:dyDescent="0.25">
      <c r="B18" s="99" t="s">
        <v>257</v>
      </c>
      <c r="C18" s="144"/>
      <c r="D18" s="479"/>
      <c r="E18" s="478">
        <f>SUM(E13:E17)</f>
        <v>2089000</v>
      </c>
      <c r="F18" s="478">
        <f t="shared" ref="F18:G18" si="5">SUM(F13:F17)</f>
        <v>174083.33333333331</v>
      </c>
      <c r="G18" s="478">
        <f t="shared" si="5"/>
        <v>5802.7777777777783</v>
      </c>
      <c r="H18" s="477">
        <f t="shared" ref="H18" si="6">SUM(H13:H17)</f>
        <v>241.78240740740739</v>
      </c>
      <c r="I18" s="477">
        <f t="shared" ref="I18" si="7">SUM(I13:I17)</f>
        <v>4.0297067901234573</v>
      </c>
      <c r="J18" s="37"/>
      <c r="K18" s="37"/>
      <c r="L18" s="37"/>
      <c r="M18" s="37"/>
      <c r="N18" s="37"/>
      <c r="O18" s="37"/>
      <c r="P18" s="37"/>
      <c r="Q18" s="37"/>
      <c r="R18" s="37"/>
    </row>
    <row r="19" spans="1:37" s="37" customFormat="1" x14ac:dyDescent="0.25"/>
    <row r="20" spans="1:37" s="37" customFormat="1" x14ac:dyDescent="0.25"/>
    <row r="21" spans="1:37" x14ac:dyDescent="0.25">
      <c r="B21" s="1502" t="s">
        <v>267</v>
      </c>
      <c r="C21" s="1502"/>
      <c r="D21" s="1502"/>
      <c r="E21" s="1502"/>
      <c r="F21" s="1502"/>
      <c r="G21" s="1502"/>
      <c r="H21" s="1502"/>
      <c r="I21" s="1502"/>
      <c r="J21" s="1502"/>
      <c r="K21" s="1502"/>
      <c r="L21" s="1502"/>
      <c r="M21" s="37"/>
      <c r="N21" s="37"/>
      <c r="O21" s="37"/>
      <c r="P21" s="37"/>
      <c r="Q21" s="37"/>
      <c r="R21" s="37"/>
    </row>
    <row r="22" spans="1:37" ht="30" x14ac:dyDescent="0.25">
      <c r="B22" s="23" t="s">
        <v>264</v>
      </c>
      <c r="C22" s="24" t="s">
        <v>259</v>
      </c>
      <c r="D22" s="24" t="s">
        <v>265</v>
      </c>
      <c r="E22" s="23" t="s">
        <v>266</v>
      </c>
      <c r="F22" s="24" t="s">
        <v>268</v>
      </c>
      <c r="G22" s="24" t="s">
        <v>454</v>
      </c>
      <c r="H22" s="24" t="s">
        <v>269</v>
      </c>
      <c r="I22" s="87" t="s">
        <v>348</v>
      </c>
      <c r="J22" s="88" t="s">
        <v>349</v>
      </c>
      <c r="K22" s="87" t="s">
        <v>369</v>
      </c>
      <c r="L22" s="87" t="s">
        <v>370</v>
      </c>
      <c r="M22" s="37"/>
      <c r="N22" s="37"/>
      <c r="O22" s="37"/>
      <c r="P22" s="37"/>
      <c r="Q22" s="37"/>
      <c r="R22" s="37"/>
    </row>
    <row r="23" spans="1:37" x14ac:dyDescent="0.25">
      <c r="B23" s="2" t="s">
        <v>260</v>
      </c>
      <c r="C23" s="18">
        <v>2100</v>
      </c>
      <c r="D23" s="2">
        <v>10</v>
      </c>
      <c r="E23" s="18">
        <f>SUM(C23*D23)</f>
        <v>21000</v>
      </c>
      <c r="F23" s="36">
        <v>4</v>
      </c>
      <c r="G23" s="18">
        <f>SUM(F23*E23)</f>
        <v>84000</v>
      </c>
      <c r="H23" s="18">
        <f>SUM(G23*12)</f>
        <v>1008000</v>
      </c>
      <c r="I23" s="4">
        <f>+H23/12</f>
        <v>84000</v>
      </c>
      <c r="J23" s="4">
        <f>+I23/30</f>
        <v>2800</v>
      </c>
      <c r="K23" s="4">
        <f>+J23/24</f>
        <v>116.66666666666667</v>
      </c>
      <c r="L23" s="4">
        <f>+K23/60</f>
        <v>1.9444444444444444</v>
      </c>
      <c r="M23" s="37"/>
      <c r="N23" s="37"/>
      <c r="O23" s="37"/>
      <c r="P23" s="37"/>
      <c r="Q23" s="37"/>
      <c r="R23" s="37"/>
    </row>
    <row r="24" spans="1:37" x14ac:dyDescent="0.25">
      <c r="B24" s="2" t="s">
        <v>261</v>
      </c>
      <c r="C24" s="18">
        <v>2300</v>
      </c>
      <c r="D24" s="2">
        <v>10</v>
      </c>
      <c r="E24" s="18">
        <f t="shared" ref="E24:E26" si="8">SUM(C24*D24)</f>
        <v>23000</v>
      </c>
      <c r="F24" s="2">
        <v>4</v>
      </c>
      <c r="G24" s="18">
        <f t="shared" ref="G24:G26" si="9">SUM(F24*E24)</f>
        <v>92000</v>
      </c>
      <c r="H24" s="18">
        <f t="shared" ref="H24:H26" si="10">SUM(G24*12)</f>
        <v>1104000</v>
      </c>
      <c r="I24" s="4">
        <f t="shared" ref="I24:I26" si="11">+H24/12</f>
        <v>92000</v>
      </c>
      <c r="J24" s="4">
        <f t="shared" ref="J24:J26" si="12">+I24/30</f>
        <v>3066.6666666666665</v>
      </c>
      <c r="K24" s="4">
        <f t="shared" ref="K24:K26" si="13">+J24/24</f>
        <v>127.77777777777777</v>
      </c>
      <c r="L24" s="4">
        <f t="shared" ref="L24:L26" si="14">+K24/60</f>
        <v>2.1296296296296293</v>
      </c>
      <c r="M24" s="37"/>
      <c r="N24" s="37"/>
      <c r="O24" s="37"/>
      <c r="P24" s="37"/>
      <c r="Q24" s="37"/>
      <c r="R24" s="37"/>
    </row>
    <row r="25" spans="1:37" x14ac:dyDescent="0.25">
      <c r="B25" s="2" t="s">
        <v>263</v>
      </c>
      <c r="C25" s="18">
        <v>3800</v>
      </c>
      <c r="D25" s="2">
        <v>10</v>
      </c>
      <c r="E25" s="18">
        <f t="shared" si="8"/>
        <v>38000</v>
      </c>
      <c r="F25" s="2">
        <v>2</v>
      </c>
      <c r="G25" s="18">
        <f t="shared" si="9"/>
        <v>76000</v>
      </c>
      <c r="H25" s="18">
        <f t="shared" si="10"/>
        <v>912000</v>
      </c>
      <c r="I25" s="4">
        <f t="shared" si="11"/>
        <v>76000</v>
      </c>
      <c r="J25" s="4">
        <f t="shared" si="12"/>
        <v>2533.3333333333335</v>
      </c>
      <c r="K25" s="4">
        <f t="shared" si="13"/>
        <v>105.55555555555556</v>
      </c>
      <c r="L25" s="4">
        <f t="shared" si="14"/>
        <v>1.7592592592592593</v>
      </c>
      <c r="M25" s="37"/>
      <c r="N25" s="37"/>
      <c r="O25" s="37"/>
      <c r="P25" s="37"/>
      <c r="Q25" s="37"/>
      <c r="R25" s="37"/>
    </row>
    <row r="26" spans="1:37" x14ac:dyDescent="0.25">
      <c r="B26" s="2" t="s">
        <v>262</v>
      </c>
      <c r="C26" s="18">
        <v>5800</v>
      </c>
      <c r="D26" s="2">
        <v>10</v>
      </c>
      <c r="E26" s="18">
        <f t="shared" si="8"/>
        <v>58000</v>
      </c>
      <c r="F26" s="2">
        <v>2</v>
      </c>
      <c r="G26" s="18">
        <f t="shared" si="9"/>
        <v>116000</v>
      </c>
      <c r="H26" s="18">
        <f t="shared" si="10"/>
        <v>1392000</v>
      </c>
      <c r="I26" s="4">
        <f t="shared" si="11"/>
        <v>116000</v>
      </c>
      <c r="J26" s="4">
        <f t="shared" si="12"/>
        <v>3866.6666666666665</v>
      </c>
      <c r="K26" s="4">
        <f t="shared" si="13"/>
        <v>161.11111111111111</v>
      </c>
      <c r="L26" s="4">
        <f t="shared" si="14"/>
        <v>2.6851851851851851</v>
      </c>
      <c r="M26" s="37"/>
      <c r="N26" s="37"/>
      <c r="O26" s="37"/>
      <c r="P26" s="37"/>
      <c r="Q26" s="37"/>
      <c r="R26" s="37"/>
    </row>
    <row r="27" spans="1:37" s="1" customFormat="1" x14ac:dyDescent="0.25">
      <c r="A27" s="96"/>
      <c r="B27" s="99" t="s">
        <v>257</v>
      </c>
      <c r="C27" s="478">
        <f>SUM(C23:C26)</f>
        <v>14000</v>
      </c>
      <c r="D27" s="99"/>
      <c r="E27" s="478">
        <f t="shared" ref="E27:F27" si="15">SUM(E23:E26)</f>
        <v>140000</v>
      </c>
      <c r="F27" s="99">
        <f t="shared" si="15"/>
        <v>12</v>
      </c>
      <c r="G27" s="478">
        <f>SUM(G23:G26)</f>
        <v>368000</v>
      </c>
      <c r="H27" s="478">
        <f>SUM(H23:H26)</f>
        <v>4416000</v>
      </c>
      <c r="I27" s="478">
        <f t="shared" ref="I27:J27" si="16">SUM(I23:I26)</f>
        <v>368000</v>
      </c>
      <c r="J27" s="477">
        <f t="shared" si="16"/>
        <v>12266.666666666666</v>
      </c>
      <c r="K27" s="477">
        <f t="shared" ref="K27" si="17">SUM(K23:K26)</f>
        <v>511.11111111111109</v>
      </c>
      <c r="L27" s="477">
        <f t="shared" ref="L27" si="18">SUM(L23:L26)</f>
        <v>8.518518518518519</v>
      </c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</row>
    <row r="28" spans="1:37" s="37" customFormat="1" x14ac:dyDescent="0.25"/>
    <row r="29" spans="1:37" s="37" customFormat="1" ht="15.75" thickBot="1" x14ac:dyDescent="0.3"/>
    <row r="30" spans="1:37" ht="15.75" thickBot="1" x14ac:dyDescent="0.3">
      <c r="B30" s="1503" t="s">
        <v>282</v>
      </c>
      <c r="C30" s="1504"/>
      <c r="D30" s="1504"/>
      <c r="E30" s="1504"/>
      <c r="F30" s="1504"/>
      <c r="G30" s="1504"/>
      <c r="H30" s="1504"/>
      <c r="I30" s="1505"/>
      <c r="J30" s="37"/>
      <c r="K30" s="37"/>
      <c r="L30" s="37"/>
      <c r="M30" s="37"/>
      <c r="N30" s="37"/>
      <c r="O30" s="37"/>
      <c r="P30" s="37"/>
      <c r="Q30" s="37"/>
      <c r="R30" s="37"/>
    </row>
    <row r="31" spans="1:37" x14ac:dyDescent="0.25">
      <c r="B31" s="167" t="s">
        <v>258</v>
      </c>
      <c r="C31" s="91" t="s">
        <v>33</v>
      </c>
      <c r="D31" s="91" t="s">
        <v>259</v>
      </c>
      <c r="E31" s="91" t="s">
        <v>244</v>
      </c>
      <c r="F31" s="168" t="s">
        <v>348</v>
      </c>
      <c r="G31" s="169" t="s">
        <v>349</v>
      </c>
      <c r="H31" s="91" t="s">
        <v>369</v>
      </c>
      <c r="I31" s="91" t="s">
        <v>370</v>
      </c>
      <c r="J31" s="37"/>
      <c r="K31" s="37"/>
      <c r="L31" s="37"/>
      <c r="M31" s="37"/>
      <c r="N31" s="37"/>
      <c r="O31" s="37"/>
      <c r="P31" s="37"/>
      <c r="Q31" s="37"/>
      <c r="R31" s="37"/>
    </row>
    <row r="32" spans="1:37" x14ac:dyDescent="0.25">
      <c r="B32" s="2" t="s">
        <v>278</v>
      </c>
      <c r="C32" s="2">
        <v>3</v>
      </c>
      <c r="D32" s="18">
        <v>9000</v>
      </c>
      <c r="E32" s="18">
        <f>SUM(C32*D32)</f>
        <v>27000</v>
      </c>
      <c r="F32" s="4">
        <f>+E32/12</f>
        <v>2250</v>
      </c>
      <c r="G32" s="4">
        <f>+F32/30</f>
        <v>75</v>
      </c>
      <c r="H32" s="4">
        <f>+G32/24</f>
        <v>3.125</v>
      </c>
      <c r="I32" s="4">
        <f>+H32/60</f>
        <v>5.2083333333333336E-2</v>
      </c>
      <c r="J32" s="37"/>
      <c r="K32" s="37"/>
      <c r="L32" s="37"/>
      <c r="M32" s="37"/>
      <c r="N32" s="37"/>
      <c r="O32" s="37"/>
      <c r="P32" s="37"/>
      <c r="Q32" s="37"/>
      <c r="R32" s="37"/>
    </row>
    <row r="33" spans="2:18" x14ac:dyDescent="0.25">
      <c r="B33" s="2" t="s">
        <v>279</v>
      </c>
      <c r="C33" s="2">
        <v>3</v>
      </c>
      <c r="D33" s="18">
        <v>15000</v>
      </c>
      <c r="E33" s="18">
        <f t="shared" ref="E33:E47" si="19">SUM(C33*D33)</f>
        <v>45000</v>
      </c>
      <c r="F33" s="4">
        <f t="shared" ref="F33:F47" si="20">+E33/12</f>
        <v>3750</v>
      </c>
      <c r="G33" s="4">
        <f t="shared" ref="G33:G47" si="21">+F33/30</f>
        <v>125</v>
      </c>
      <c r="H33" s="4">
        <f t="shared" ref="H33:H47" si="22">+G33/24</f>
        <v>5.208333333333333</v>
      </c>
      <c r="I33" s="4">
        <f t="shared" ref="I33:I47" si="23">+H33/60</f>
        <v>8.6805555555555552E-2</v>
      </c>
      <c r="J33" s="37"/>
      <c r="K33" s="37"/>
      <c r="L33" s="37"/>
      <c r="M33" s="37"/>
      <c r="N33" s="37"/>
      <c r="O33" s="37"/>
      <c r="P33" s="37"/>
      <c r="Q33" s="37"/>
      <c r="R33" s="37"/>
    </row>
    <row r="34" spans="2:18" x14ac:dyDescent="0.25">
      <c r="B34" s="2" t="s">
        <v>284</v>
      </c>
      <c r="C34" s="2">
        <v>3</v>
      </c>
      <c r="D34" s="18">
        <v>8500</v>
      </c>
      <c r="E34" s="18">
        <f t="shared" si="19"/>
        <v>25500</v>
      </c>
      <c r="F34" s="4">
        <f t="shared" si="20"/>
        <v>2125</v>
      </c>
      <c r="G34" s="4">
        <f t="shared" si="21"/>
        <v>70.833333333333329</v>
      </c>
      <c r="H34" s="4">
        <f t="shared" si="22"/>
        <v>2.9513888888888888</v>
      </c>
      <c r="I34" s="4">
        <f t="shared" si="23"/>
        <v>4.9189814814814811E-2</v>
      </c>
      <c r="J34" s="37"/>
      <c r="K34" s="37"/>
      <c r="L34" s="37"/>
      <c r="M34" s="37"/>
      <c r="N34" s="37"/>
      <c r="O34" s="37"/>
      <c r="P34" s="37"/>
      <c r="Q34" s="37"/>
      <c r="R34" s="37"/>
    </row>
    <row r="35" spans="2:18" x14ac:dyDescent="0.25">
      <c r="B35" s="2" t="s">
        <v>280</v>
      </c>
      <c r="C35" s="2">
        <v>3</v>
      </c>
      <c r="D35" s="18">
        <v>6500</v>
      </c>
      <c r="E35" s="18">
        <f t="shared" si="19"/>
        <v>19500</v>
      </c>
      <c r="F35" s="4">
        <f t="shared" si="20"/>
        <v>1625</v>
      </c>
      <c r="G35" s="4">
        <f t="shared" si="21"/>
        <v>54.166666666666664</v>
      </c>
      <c r="H35" s="4">
        <f t="shared" si="22"/>
        <v>2.2569444444444442</v>
      </c>
      <c r="I35" s="4">
        <f t="shared" si="23"/>
        <v>3.7615740740740734E-2</v>
      </c>
      <c r="J35" s="37"/>
      <c r="K35" s="37"/>
      <c r="L35" s="37"/>
      <c r="M35" s="37"/>
      <c r="N35" s="37"/>
      <c r="O35" s="37"/>
      <c r="P35" s="37"/>
      <c r="Q35" s="37"/>
      <c r="R35" s="37"/>
    </row>
    <row r="36" spans="2:18" x14ac:dyDescent="0.25">
      <c r="B36" s="2" t="s">
        <v>283</v>
      </c>
      <c r="C36" s="2">
        <v>24</v>
      </c>
      <c r="D36" s="18">
        <v>12500</v>
      </c>
      <c r="E36" s="18">
        <f t="shared" si="19"/>
        <v>300000</v>
      </c>
      <c r="F36" s="4">
        <f t="shared" si="20"/>
        <v>25000</v>
      </c>
      <c r="G36" s="4">
        <f t="shared" si="21"/>
        <v>833.33333333333337</v>
      </c>
      <c r="H36" s="4">
        <f t="shared" si="22"/>
        <v>34.722222222222221</v>
      </c>
      <c r="I36" s="4">
        <f t="shared" si="23"/>
        <v>0.57870370370370372</v>
      </c>
      <c r="J36" s="37"/>
      <c r="K36" s="37"/>
      <c r="L36" s="37"/>
      <c r="M36" s="37"/>
      <c r="N36" s="37"/>
      <c r="O36" s="37"/>
      <c r="P36" s="37"/>
      <c r="Q36" s="37"/>
      <c r="R36" s="37"/>
    </row>
    <row r="37" spans="2:18" x14ac:dyDescent="0.25">
      <c r="B37" s="2" t="s">
        <v>285</v>
      </c>
      <c r="C37" s="2">
        <v>48</v>
      </c>
      <c r="D37" s="18">
        <v>4500</v>
      </c>
      <c r="E37" s="18">
        <f t="shared" si="19"/>
        <v>216000</v>
      </c>
      <c r="F37" s="4">
        <f t="shared" si="20"/>
        <v>18000</v>
      </c>
      <c r="G37" s="4">
        <f t="shared" si="21"/>
        <v>600</v>
      </c>
      <c r="H37" s="4">
        <f t="shared" si="22"/>
        <v>25</v>
      </c>
      <c r="I37" s="4">
        <f t="shared" si="23"/>
        <v>0.41666666666666669</v>
      </c>
      <c r="J37" s="37"/>
      <c r="K37" s="37"/>
      <c r="L37" s="37"/>
      <c r="M37" s="37"/>
      <c r="N37" s="37"/>
      <c r="O37" s="37"/>
      <c r="P37" s="37"/>
      <c r="Q37" s="37"/>
      <c r="R37" s="37"/>
    </row>
    <row r="38" spans="2:18" ht="30" x14ac:dyDescent="0.25">
      <c r="B38" s="36" t="s">
        <v>286</v>
      </c>
      <c r="C38" s="2">
        <v>12</v>
      </c>
      <c r="D38" s="18">
        <v>8500</v>
      </c>
      <c r="E38" s="18">
        <f t="shared" si="19"/>
        <v>102000</v>
      </c>
      <c r="F38" s="4">
        <f t="shared" si="20"/>
        <v>8500</v>
      </c>
      <c r="G38" s="4">
        <f t="shared" si="21"/>
        <v>283.33333333333331</v>
      </c>
      <c r="H38" s="4">
        <f t="shared" si="22"/>
        <v>11.805555555555555</v>
      </c>
      <c r="I38" s="4">
        <f t="shared" si="23"/>
        <v>0.19675925925925924</v>
      </c>
      <c r="J38" s="37"/>
      <c r="K38" s="37"/>
      <c r="L38" s="37"/>
      <c r="M38" s="37"/>
      <c r="N38" s="37"/>
      <c r="O38" s="37"/>
      <c r="P38" s="37"/>
      <c r="Q38" s="37"/>
      <c r="R38" s="37"/>
    </row>
    <row r="39" spans="2:18" x14ac:dyDescent="0.25">
      <c r="B39" s="2" t="s">
        <v>287</v>
      </c>
      <c r="C39" s="2">
        <v>12</v>
      </c>
      <c r="D39" s="18">
        <v>32000</v>
      </c>
      <c r="E39" s="18">
        <f t="shared" si="19"/>
        <v>384000</v>
      </c>
      <c r="F39" s="4">
        <f t="shared" si="20"/>
        <v>32000</v>
      </c>
      <c r="G39" s="4">
        <f t="shared" si="21"/>
        <v>1066.6666666666667</v>
      </c>
      <c r="H39" s="4">
        <f t="shared" si="22"/>
        <v>44.44444444444445</v>
      </c>
      <c r="I39" s="4">
        <f t="shared" si="23"/>
        <v>0.74074074074074081</v>
      </c>
      <c r="J39" s="37"/>
      <c r="K39" s="37"/>
      <c r="L39" s="37"/>
      <c r="M39" s="37"/>
      <c r="N39" s="37"/>
      <c r="O39" s="37"/>
      <c r="P39" s="37"/>
      <c r="Q39" s="37"/>
      <c r="R39" s="37"/>
    </row>
    <row r="40" spans="2:18" ht="30" x14ac:dyDescent="0.25">
      <c r="B40" s="40" t="s">
        <v>288</v>
      </c>
      <c r="C40" s="2">
        <v>6</v>
      </c>
      <c r="D40" s="18">
        <v>8500</v>
      </c>
      <c r="E40" s="18">
        <f t="shared" si="19"/>
        <v>51000</v>
      </c>
      <c r="F40" s="4">
        <f t="shared" si="20"/>
        <v>4250</v>
      </c>
      <c r="G40" s="4">
        <f t="shared" si="21"/>
        <v>141.66666666666666</v>
      </c>
      <c r="H40" s="4">
        <f t="shared" si="22"/>
        <v>5.9027777777777777</v>
      </c>
      <c r="I40" s="4">
        <f t="shared" si="23"/>
        <v>9.8379629629629622E-2</v>
      </c>
      <c r="J40" s="37"/>
      <c r="K40" s="37"/>
      <c r="L40" s="37"/>
      <c r="M40" s="37"/>
      <c r="N40" s="37"/>
      <c r="O40" s="37"/>
      <c r="P40" s="37"/>
      <c r="Q40" s="37"/>
      <c r="R40" s="37"/>
    </row>
    <row r="41" spans="2:18" x14ac:dyDescent="0.25">
      <c r="B41" s="2" t="s">
        <v>289</v>
      </c>
      <c r="C41" s="2">
        <v>6</v>
      </c>
      <c r="D41" s="18">
        <v>22000</v>
      </c>
      <c r="E41" s="18">
        <f t="shared" si="19"/>
        <v>132000</v>
      </c>
      <c r="F41" s="4">
        <f t="shared" si="20"/>
        <v>11000</v>
      </c>
      <c r="G41" s="4">
        <f t="shared" si="21"/>
        <v>366.66666666666669</v>
      </c>
      <c r="H41" s="4">
        <f t="shared" si="22"/>
        <v>15.277777777777779</v>
      </c>
      <c r="I41" s="4">
        <f t="shared" si="23"/>
        <v>0.25462962962962965</v>
      </c>
      <c r="J41" s="37"/>
      <c r="K41" s="37"/>
      <c r="L41" s="37"/>
      <c r="M41" s="37"/>
      <c r="N41" s="37"/>
      <c r="O41" s="37"/>
      <c r="P41" s="37"/>
      <c r="Q41" s="37"/>
      <c r="R41" s="37"/>
    </row>
    <row r="42" spans="2:18" ht="30" x14ac:dyDescent="0.25">
      <c r="B42" s="36" t="s">
        <v>290</v>
      </c>
      <c r="C42" s="2">
        <v>24</v>
      </c>
      <c r="D42" s="18">
        <v>26500</v>
      </c>
      <c r="E42" s="18">
        <f t="shared" si="19"/>
        <v>636000</v>
      </c>
      <c r="F42" s="4">
        <f t="shared" si="20"/>
        <v>53000</v>
      </c>
      <c r="G42" s="4">
        <f t="shared" si="21"/>
        <v>1766.6666666666667</v>
      </c>
      <c r="H42" s="4">
        <f t="shared" si="22"/>
        <v>73.611111111111114</v>
      </c>
      <c r="I42" s="4">
        <f t="shared" si="23"/>
        <v>1.2268518518518519</v>
      </c>
      <c r="J42" s="37"/>
      <c r="K42" s="37"/>
      <c r="L42" s="37"/>
      <c r="M42" s="37"/>
      <c r="N42" s="37"/>
      <c r="O42" s="37"/>
      <c r="P42" s="37"/>
      <c r="Q42" s="37"/>
      <c r="R42" s="37"/>
    </row>
    <row r="43" spans="2:18" x14ac:dyDescent="0.25">
      <c r="B43" s="2" t="s">
        <v>281</v>
      </c>
      <c r="C43" s="2">
        <v>3</v>
      </c>
      <c r="D43" s="18">
        <v>5000</v>
      </c>
      <c r="E43" s="18">
        <f t="shared" si="19"/>
        <v>15000</v>
      </c>
      <c r="F43" s="4">
        <f t="shared" si="20"/>
        <v>1250</v>
      </c>
      <c r="G43" s="4">
        <f t="shared" si="21"/>
        <v>41.666666666666664</v>
      </c>
      <c r="H43" s="4">
        <f t="shared" si="22"/>
        <v>1.7361111111111109</v>
      </c>
      <c r="I43" s="4">
        <f t="shared" si="23"/>
        <v>2.8935185185185182E-2</v>
      </c>
      <c r="J43" s="37"/>
      <c r="K43" s="37"/>
      <c r="L43" s="37"/>
      <c r="M43" s="37"/>
      <c r="N43" s="37"/>
      <c r="O43" s="37"/>
      <c r="P43" s="37"/>
      <c r="Q43" s="37"/>
      <c r="R43" s="37"/>
    </row>
    <row r="44" spans="2:18" x14ac:dyDescent="0.25">
      <c r="B44" s="2" t="s">
        <v>291</v>
      </c>
      <c r="C44" s="2">
        <v>80</v>
      </c>
      <c r="D44" s="18">
        <v>8000</v>
      </c>
      <c r="E44" s="18">
        <f t="shared" si="19"/>
        <v>640000</v>
      </c>
      <c r="F44" s="4">
        <f t="shared" si="20"/>
        <v>53333.333333333336</v>
      </c>
      <c r="G44" s="4">
        <f t="shared" si="21"/>
        <v>1777.7777777777778</v>
      </c>
      <c r="H44" s="4">
        <f t="shared" si="22"/>
        <v>74.074074074074076</v>
      </c>
      <c r="I44" s="4">
        <f t="shared" si="23"/>
        <v>1.2345679012345678</v>
      </c>
      <c r="J44" s="37"/>
      <c r="K44" s="37"/>
      <c r="L44" s="37"/>
      <c r="M44" s="37"/>
      <c r="N44" s="37"/>
      <c r="O44" s="37"/>
      <c r="P44" s="37"/>
      <c r="Q44" s="37"/>
      <c r="R44" s="37"/>
    </row>
    <row r="45" spans="2:18" x14ac:dyDescent="0.25">
      <c r="B45" s="2" t="s">
        <v>362</v>
      </c>
      <c r="C45" s="2">
        <v>5</v>
      </c>
      <c r="D45" s="18">
        <v>8700</v>
      </c>
      <c r="E45" s="18">
        <f t="shared" si="19"/>
        <v>43500</v>
      </c>
      <c r="F45" s="4">
        <f t="shared" si="20"/>
        <v>3625</v>
      </c>
      <c r="G45" s="4">
        <f t="shared" si="21"/>
        <v>120.83333333333333</v>
      </c>
      <c r="H45" s="4">
        <f t="shared" si="22"/>
        <v>5.0347222222222223</v>
      </c>
      <c r="I45" s="4">
        <f t="shared" si="23"/>
        <v>8.3912037037037035E-2</v>
      </c>
      <c r="J45" s="37"/>
      <c r="K45" s="37"/>
      <c r="L45" s="37"/>
      <c r="M45" s="37"/>
      <c r="N45" s="37"/>
      <c r="O45" s="37"/>
      <c r="P45" s="37"/>
      <c r="Q45" s="37"/>
      <c r="R45" s="37"/>
    </row>
    <row r="46" spans="2:18" x14ac:dyDescent="0.25">
      <c r="B46" s="2" t="s">
        <v>368</v>
      </c>
      <c r="C46" s="2">
        <v>40</v>
      </c>
      <c r="D46" s="18">
        <v>4500</v>
      </c>
      <c r="E46" s="18">
        <f t="shared" si="19"/>
        <v>180000</v>
      </c>
      <c r="F46" s="4">
        <f t="shared" si="20"/>
        <v>15000</v>
      </c>
      <c r="G46" s="4">
        <f t="shared" si="21"/>
        <v>500</v>
      </c>
      <c r="H46" s="4">
        <f t="shared" si="22"/>
        <v>20.833333333333332</v>
      </c>
      <c r="I46" s="4">
        <f t="shared" si="23"/>
        <v>0.34722222222222221</v>
      </c>
      <c r="J46" s="37"/>
      <c r="K46" s="37"/>
      <c r="L46" s="37"/>
      <c r="M46" s="37"/>
      <c r="N46" s="37"/>
      <c r="O46" s="37"/>
      <c r="P46" s="37"/>
      <c r="Q46" s="37"/>
      <c r="R46" s="37"/>
    </row>
    <row r="47" spans="2:18" x14ac:dyDescent="0.25">
      <c r="B47" s="2" t="s">
        <v>275</v>
      </c>
      <c r="C47" s="2">
        <v>12</v>
      </c>
      <c r="D47" s="18">
        <v>4500</v>
      </c>
      <c r="E47" s="18">
        <f t="shared" si="19"/>
        <v>54000</v>
      </c>
      <c r="F47" s="4">
        <f t="shared" si="20"/>
        <v>4500</v>
      </c>
      <c r="G47" s="4">
        <f t="shared" si="21"/>
        <v>150</v>
      </c>
      <c r="H47" s="4">
        <f t="shared" si="22"/>
        <v>6.25</v>
      </c>
      <c r="I47" s="4">
        <f t="shared" si="23"/>
        <v>0.10416666666666667</v>
      </c>
      <c r="J47" s="37"/>
      <c r="K47" s="37"/>
      <c r="L47" s="37"/>
      <c r="M47" s="37"/>
      <c r="N47" s="37"/>
      <c r="O47" s="37"/>
      <c r="P47" s="37"/>
      <c r="Q47" s="37"/>
      <c r="R47" s="37"/>
    </row>
    <row r="48" spans="2:18" x14ac:dyDescent="0.25">
      <c r="B48" s="1499" t="s">
        <v>257</v>
      </c>
      <c r="C48" s="1500"/>
      <c r="D48" s="1501"/>
      <c r="E48" s="478">
        <f>SUM(E32:E47)</f>
        <v>2870500</v>
      </c>
      <c r="F48" s="478">
        <f t="shared" ref="F48:G48" si="24">SUM(F32:F47)</f>
        <v>239208.33333333334</v>
      </c>
      <c r="G48" s="478">
        <f t="shared" si="24"/>
        <v>7973.6111111111104</v>
      </c>
      <c r="H48" s="477">
        <f t="shared" ref="H48" si="25">SUM(H32:H47)</f>
        <v>332.2337962962963</v>
      </c>
      <c r="I48" s="477">
        <f t="shared" ref="I48" si="26">SUM(I32:I47)</f>
        <v>5.5372299382716061</v>
      </c>
      <c r="J48" s="37"/>
      <c r="K48" s="37"/>
      <c r="L48" s="37"/>
      <c r="M48" s="37"/>
      <c r="N48" s="37"/>
      <c r="O48" s="37"/>
      <c r="P48" s="37"/>
      <c r="Q48" s="37"/>
      <c r="R48" s="37"/>
    </row>
    <row r="49" spans="2:18" s="37" customFormat="1" x14ac:dyDescent="0.25">
      <c r="B49" s="211"/>
      <c r="C49" s="211"/>
      <c r="D49" s="211"/>
      <c r="E49" s="189"/>
      <c r="F49" s="189"/>
      <c r="G49" s="189"/>
    </row>
    <row r="50" spans="2:18" x14ac:dyDescent="0.25">
      <c r="B50" s="1506" t="s">
        <v>358</v>
      </c>
      <c r="C50" s="1507"/>
      <c r="D50" s="1507"/>
      <c r="E50" s="1507"/>
      <c r="F50" s="1507"/>
      <c r="G50" s="1507"/>
      <c r="H50" s="1507"/>
      <c r="I50" s="1507"/>
      <c r="J50" s="37"/>
      <c r="K50" s="37"/>
      <c r="L50" s="37"/>
      <c r="M50" s="37"/>
      <c r="N50" s="37"/>
      <c r="O50" s="37"/>
      <c r="P50" s="37"/>
      <c r="Q50" s="37"/>
      <c r="R50" s="37"/>
    </row>
    <row r="51" spans="2:18" x14ac:dyDescent="0.25">
      <c r="B51" s="23" t="s">
        <v>258</v>
      </c>
      <c r="C51" s="53" t="s">
        <v>33</v>
      </c>
      <c r="D51" s="53" t="s">
        <v>259</v>
      </c>
      <c r="E51" s="53" t="s">
        <v>364</v>
      </c>
      <c r="F51" s="87" t="s">
        <v>348</v>
      </c>
      <c r="G51" s="88" t="s">
        <v>349</v>
      </c>
      <c r="H51" s="53" t="s">
        <v>369</v>
      </c>
      <c r="I51" s="53" t="s">
        <v>370</v>
      </c>
      <c r="J51" s="37"/>
      <c r="K51" s="37"/>
      <c r="L51" s="37"/>
      <c r="M51" s="37"/>
      <c r="N51" s="37"/>
      <c r="O51" s="37"/>
      <c r="P51" s="37"/>
      <c r="Q51" s="37"/>
      <c r="R51" s="37"/>
    </row>
    <row r="52" spans="2:18" x14ac:dyDescent="0.25">
      <c r="B52" s="89" t="s">
        <v>351</v>
      </c>
      <c r="C52" s="5">
        <v>15</v>
      </c>
      <c r="D52" s="8">
        <v>17900</v>
      </c>
      <c r="E52" s="90">
        <f>+C52*D52</f>
        <v>268500</v>
      </c>
      <c r="F52" s="90">
        <f>+E52/12</f>
        <v>22375</v>
      </c>
      <c r="G52" s="90">
        <f>+F52/30</f>
        <v>745.83333333333337</v>
      </c>
      <c r="H52" s="4">
        <f>+G52/24</f>
        <v>31.076388888888889</v>
      </c>
      <c r="I52" s="4">
        <f>+H52/60</f>
        <v>0.51793981481481477</v>
      </c>
      <c r="J52" s="37"/>
      <c r="K52" s="37"/>
      <c r="L52" s="37"/>
      <c r="M52" s="37"/>
      <c r="N52" s="37"/>
      <c r="O52" s="37"/>
      <c r="P52" s="37"/>
      <c r="Q52" s="37"/>
      <c r="R52" s="37"/>
    </row>
    <row r="53" spans="2:18" x14ac:dyDescent="0.25">
      <c r="B53" s="89" t="s">
        <v>352</v>
      </c>
      <c r="C53" s="5">
        <v>6</v>
      </c>
      <c r="D53" s="8">
        <v>7800</v>
      </c>
      <c r="E53" s="90">
        <f t="shared" ref="E53:E64" si="27">+C53*D53</f>
        <v>46800</v>
      </c>
      <c r="F53" s="90">
        <f t="shared" ref="F53:F64" si="28">+E53/12</f>
        <v>3900</v>
      </c>
      <c r="G53" s="90">
        <f t="shared" ref="G53:G64" si="29">+F53/30</f>
        <v>130</v>
      </c>
      <c r="H53" s="4">
        <f t="shared" ref="H53:H64" si="30">+G53/24</f>
        <v>5.416666666666667</v>
      </c>
      <c r="I53" s="4">
        <f t="shared" ref="I53:I64" si="31">+H53/60</f>
        <v>9.0277777777777776E-2</v>
      </c>
      <c r="J53" s="37"/>
      <c r="K53" s="37"/>
      <c r="L53" s="37"/>
      <c r="M53" s="37"/>
      <c r="N53" s="37"/>
      <c r="O53" s="37"/>
      <c r="P53" s="37"/>
      <c r="Q53" s="37"/>
      <c r="R53" s="37"/>
    </row>
    <row r="54" spans="2:18" x14ac:dyDescent="0.25">
      <c r="B54" s="89" t="s">
        <v>359</v>
      </c>
      <c r="C54" s="5">
        <v>2</v>
      </c>
      <c r="D54" s="8">
        <v>9700</v>
      </c>
      <c r="E54" s="90">
        <f t="shared" si="27"/>
        <v>19400</v>
      </c>
      <c r="F54" s="90">
        <f t="shared" si="28"/>
        <v>1616.6666666666667</v>
      </c>
      <c r="G54" s="90">
        <f t="shared" si="29"/>
        <v>53.888888888888893</v>
      </c>
      <c r="H54" s="4">
        <f t="shared" si="30"/>
        <v>2.2453703703703707</v>
      </c>
      <c r="I54" s="4">
        <f t="shared" si="31"/>
        <v>3.7422839506172846E-2</v>
      </c>
      <c r="J54" s="37"/>
      <c r="K54" s="37"/>
      <c r="L54" s="37"/>
      <c r="M54" s="37"/>
      <c r="N54" s="37"/>
      <c r="O54" s="37"/>
      <c r="P54" s="37"/>
      <c r="Q54" s="37"/>
      <c r="R54" s="37"/>
    </row>
    <row r="55" spans="2:18" x14ac:dyDescent="0.25">
      <c r="B55" s="89" t="s">
        <v>363</v>
      </c>
      <c r="C55" s="5">
        <v>6</v>
      </c>
      <c r="D55" s="8">
        <v>2500</v>
      </c>
      <c r="E55" s="90">
        <f t="shared" si="27"/>
        <v>15000</v>
      </c>
      <c r="F55" s="90">
        <f t="shared" si="28"/>
        <v>1250</v>
      </c>
      <c r="G55" s="90">
        <f t="shared" si="29"/>
        <v>41.666666666666664</v>
      </c>
      <c r="H55" s="4">
        <f t="shared" si="30"/>
        <v>1.7361111111111109</v>
      </c>
      <c r="I55" s="4">
        <f t="shared" si="31"/>
        <v>2.8935185185185182E-2</v>
      </c>
      <c r="J55" s="37"/>
      <c r="K55" s="37"/>
      <c r="L55" s="37"/>
      <c r="M55" s="37"/>
      <c r="N55" s="37"/>
      <c r="O55" s="37"/>
      <c r="P55" s="37"/>
      <c r="Q55" s="37"/>
      <c r="R55" s="37"/>
    </row>
    <row r="56" spans="2:18" x14ac:dyDescent="0.25">
      <c r="B56" s="89" t="s">
        <v>366</v>
      </c>
      <c r="C56" s="5">
        <v>1</v>
      </c>
      <c r="D56" s="8">
        <v>12000</v>
      </c>
      <c r="E56" s="90">
        <f t="shared" si="27"/>
        <v>12000</v>
      </c>
      <c r="F56" s="90">
        <f t="shared" si="28"/>
        <v>1000</v>
      </c>
      <c r="G56" s="90">
        <f t="shared" si="29"/>
        <v>33.333333333333336</v>
      </c>
      <c r="H56" s="4">
        <f t="shared" si="30"/>
        <v>1.3888888888888891</v>
      </c>
      <c r="I56" s="4">
        <f t="shared" si="31"/>
        <v>2.314814814814815E-2</v>
      </c>
      <c r="J56" s="37"/>
      <c r="K56" s="37"/>
      <c r="L56" s="37"/>
      <c r="M56" s="37"/>
      <c r="N56" s="37"/>
      <c r="O56" s="37"/>
      <c r="P56" s="37"/>
      <c r="Q56" s="37"/>
      <c r="R56" s="37"/>
    </row>
    <row r="57" spans="2:18" x14ac:dyDescent="0.25">
      <c r="B57" s="89" t="s">
        <v>365</v>
      </c>
      <c r="C57" s="5">
        <v>3</v>
      </c>
      <c r="D57" s="8">
        <v>67000</v>
      </c>
      <c r="E57" s="90">
        <f t="shared" si="27"/>
        <v>201000</v>
      </c>
      <c r="F57" s="90">
        <f t="shared" si="28"/>
        <v>16750</v>
      </c>
      <c r="G57" s="90">
        <f t="shared" si="29"/>
        <v>558.33333333333337</v>
      </c>
      <c r="H57" s="4">
        <f t="shared" si="30"/>
        <v>23.263888888888889</v>
      </c>
      <c r="I57" s="4">
        <f t="shared" si="31"/>
        <v>0.38773148148148151</v>
      </c>
      <c r="J57" s="37"/>
      <c r="K57" s="37"/>
      <c r="L57" s="37"/>
      <c r="M57" s="37"/>
      <c r="N57" s="37"/>
      <c r="O57" s="37"/>
      <c r="P57" s="37"/>
      <c r="Q57" s="37"/>
      <c r="R57" s="37"/>
    </row>
    <row r="58" spans="2:18" x14ac:dyDescent="0.25">
      <c r="B58" s="89" t="s">
        <v>353</v>
      </c>
      <c r="C58" s="5">
        <v>3</v>
      </c>
      <c r="D58" s="8">
        <v>13000</v>
      </c>
      <c r="E58" s="90">
        <f t="shared" si="27"/>
        <v>39000</v>
      </c>
      <c r="F58" s="90">
        <f t="shared" si="28"/>
        <v>3250</v>
      </c>
      <c r="G58" s="90">
        <f t="shared" si="29"/>
        <v>108.33333333333333</v>
      </c>
      <c r="H58" s="4">
        <f t="shared" si="30"/>
        <v>4.5138888888888884</v>
      </c>
      <c r="I58" s="4">
        <f t="shared" si="31"/>
        <v>7.5231481481481469E-2</v>
      </c>
      <c r="J58" s="37"/>
      <c r="K58" s="37"/>
      <c r="L58" s="37"/>
      <c r="M58" s="37"/>
      <c r="N58" s="37"/>
      <c r="O58" s="37"/>
      <c r="P58" s="37"/>
      <c r="Q58" s="37"/>
      <c r="R58" s="37"/>
    </row>
    <row r="59" spans="2:18" x14ac:dyDescent="0.25">
      <c r="B59" s="89" t="s">
        <v>354</v>
      </c>
      <c r="C59" s="5">
        <v>8</v>
      </c>
      <c r="D59" s="8">
        <v>48000</v>
      </c>
      <c r="E59" s="90">
        <f t="shared" si="27"/>
        <v>384000</v>
      </c>
      <c r="F59" s="90">
        <f t="shared" si="28"/>
        <v>32000</v>
      </c>
      <c r="G59" s="90">
        <f t="shared" si="29"/>
        <v>1066.6666666666667</v>
      </c>
      <c r="H59" s="4">
        <f t="shared" si="30"/>
        <v>44.44444444444445</v>
      </c>
      <c r="I59" s="4">
        <f t="shared" si="31"/>
        <v>0.74074074074074081</v>
      </c>
      <c r="J59" s="37"/>
      <c r="K59" s="37"/>
      <c r="L59" s="37"/>
      <c r="M59" s="37"/>
      <c r="N59" s="37"/>
      <c r="O59" s="37"/>
      <c r="P59" s="37"/>
      <c r="Q59" s="37"/>
      <c r="R59" s="37"/>
    </row>
    <row r="60" spans="2:18" x14ac:dyDescent="0.25">
      <c r="B60" s="89" t="s">
        <v>355</v>
      </c>
      <c r="C60" s="5">
        <v>6</v>
      </c>
      <c r="D60" s="8">
        <v>4300</v>
      </c>
      <c r="E60" s="90">
        <f t="shared" si="27"/>
        <v>25800</v>
      </c>
      <c r="F60" s="90">
        <f t="shared" si="28"/>
        <v>2150</v>
      </c>
      <c r="G60" s="90">
        <f t="shared" si="29"/>
        <v>71.666666666666671</v>
      </c>
      <c r="H60" s="4">
        <f t="shared" si="30"/>
        <v>2.9861111111111112</v>
      </c>
      <c r="I60" s="4">
        <f t="shared" si="31"/>
        <v>4.9768518518518517E-2</v>
      </c>
      <c r="J60" s="37"/>
      <c r="K60" s="37"/>
      <c r="L60" s="37"/>
      <c r="M60" s="37"/>
      <c r="N60" s="37"/>
      <c r="O60" s="37"/>
      <c r="P60" s="37"/>
      <c r="Q60" s="37"/>
      <c r="R60" s="37"/>
    </row>
    <row r="61" spans="2:18" x14ac:dyDescent="0.25">
      <c r="B61" s="89" t="s">
        <v>356</v>
      </c>
      <c r="C61" s="5">
        <v>3</v>
      </c>
      <c r="D61" s="8">
        <v>4500</v>
      </c>
      <c r="E61" s="90">
        <f t="shared" si="27"/>
        <v>13500</v>
      </c>
      <c r="F61" s="90">
        <f t="shared" si="28"/>
        <v>1125</v>
      </c>
      <c r="G61" s="90">
        <f t="shared" si="29"/>
        <v>37.5</v>
      </c>
      <c r="H61" s="4">
        <f t="shared" si="30"/>
        <v>1.5625</v>
      </c>
      <c r="I61" s="4">
        <f t="shared" si="31"/>
        <v>2.6041666666666668E-2</v>
      </c>
      <c r="J61" s="37"/>
      <c r="K61" s="37"/>
      <c r="L61" s="37"/>
      <c r="M61" s="37"/>
      <c r="N61" s="37"/>
      <c r="O61" s="37"/>
      <c r="P61" s="37"/>
      <c r="Q61" s="37"/>
      <c r="R61" s="37"/>
    </row>
    <row r="62" spans="2:18" x14ac:dyDescent="0.25">
      <c r="B62" s="89" t="s">
        <v>357</v>
      </c>
      <c r="C62" s="5">
        <v>6</v>
      </c>
      <c r="D62" s="8">
        <v>7100</v>
      </c>
      <c r="E62" s="90">
        <f t="shared" si="27"/>
        <v>42600</v>
      </c>
      <c r="F62" s="90">
        <f t="shared" si="28"/>
        <v>3550</v>
      </c>
      <c r="G62" s="90">
        <f t="shared" si="29"/>
        <v>118.33333333333333</v>
      </c>
      <c r="H62" s="4">
        <f t="shared" si="30"/>
        <v>4.9305555555555554</v>
      </c>
      <c r="I62" s="4">
        <f t="shared" si="31"/>
        <v>8.2175925925925916E-2</v>
      </c>
      <c r="J62" s="37"/>
      <c r="K62" s="37"/>
      <c r="L62" s="37"/>
      <c r="M62" s="37"/>
      <c r="N62" s="37"/>
      <c r="O62" s="37"/>
      <c r="P62" s="37"/>
      <c r="Q62" s="37"/>
      <c r="R62" s="37"/>
    </row>
    <row r="63" spans="2:18" x14ac:dyDescent="0.25">
      <c r="B63" s="89" t="s">
        <v>360</v>
      </c>
      <c r="C63" s="5">
        <v>6</v>
      </c>
      <c r="D63" s="8">
        <v>16500</v>
      </c>
      <c r="E63" s="90">
        <f t="shared" si="27"/>
        <v>99000</v>
      </c>
      <c r="F63" s="90">
        <f t="shared" si="28"/>
        <v>8250</v>
      </c>
      <c r="G63" s="90">
        <f t="shared" si="29"/>
        <v>275</v>
      </c>
      <c r="H63" s="4">
        <f t="shared" si="30"/>
        <v>11.458333333333334</v>
      </c>
      <c r="I63" s="4">
        <f t="shared" si="31"/>
        <v>0.19097222222222224</v>
      </c>
      <c r="J63" s="37"/>
      <c r="K63" s="37"/>
      <c r="L63" s="37"/>
      <c r="M63" s="37"/>
      <c r="N63" s="37"/>
      <c r="O63" s="37"/>
      <c r="P63" s="37"/>
      <c r="Q63" s="37"/>
      <c r="R63" s="37"/>
    </row>
    <row r="64" spans="2:18" x14ac:dyDescent="0.25">
      <c r="B64" s="89" t="s">
        <v>361</v>
      </c>
      <c r="C64" s="5">
        <v>3</v>
      </c>
      <c r="D64" s="8">
        <v>42000</v>
      </c>
      <c r="E64" s="90">
        <f t="shared" si="27"/>
        <v>126000</v>
      </c>
      <c r="F64" s="90">
        <f t="shared" si="28"/>
        <v>10500</v>
      </c>
      <c r="G64" s="90">
        <f t="shared" si="29"/>
        <v>350</v>
      </c>
      <c r="H64" s="4">
        <f t="shared" si="30"/>
        <v>14.583333333333334</v>
      </c>
      <c r="I64" s="4">
        <f t="shared" si="31"/>
        <v>0.24305555555555555</v>
      </c>
      <c r="J64" s="37"/>
      <c r="K64" s="37"/>
      <c r="L64" s="37"/>
      <c r="M64" s="37"/>
      <c r="N64" s="37"/>
      <c r="O64" s="37"/>
      <c r="P64" s="37"/>
      <c r="Q64" s="37"/>
      <c r="R64" s="37"/>
    </row>
    <row r="65" spans="2:18" x14ac:dyDescent="0.25">
      <c r="B65" s="1499" t="s">
        <v>93</v>
      </c>
      <c r="C65" s="1500"/>
      <c r="D65" s="1501"/>
      <c r="E65" s="477">
        <f>+SUM(E52:E64)</f>
        <v>1292600</v>
      </c>
      <c r="F65" s="477">
        <f t="shared" ref="F65:G65" si="32">+SUM(F52:F64)</f>
        <v>107716.66666666667</v>
      </c>
      <c r="G65" s="477">
        <f t="shared" si="32"/>
        <v>3590.5555555555557</v>
      </c>
      <c r="H65" s="477">
        <f t="shared" ref="H65" si="33">+SUM(H52:H64)</f>
        <v>149.6064814814815</v>
      </c>
      <c r="I65" s="477">
        <f t="shared" ref="I65" si="34">+SUM(I52:I64)</f>
        <v>2.4934413580246915</v>
      </c>
      <c r="J65" s="37"/>
      <c r="K65" s="37"/>
      <c r="L65" s="37"/>
      <c r="M65" s="37"/>
      <c r="N65" s="37"/>
      <c r="O65" s="37"/>
      <c r="P65" s="37"/>
      <c r="Q65" s="37"/>
      <c r="R65" s="37"/>
    </row>
    <row r="66" spans="2:18" s="37" customFormat="1" x14ac:dyDescent="0.25"/>
    <row r="67" spans="2:18" ht="27" customHeight="1" x14ac:dyDescent="0.25">
      <c r="B67" s="1495" t="s">
        <v>297</v>
      </c>
      <c r="C67" s="1496"/>
      <c r="D67" s="1496"/>
      <c r="E67" s="1496"/>
      <c r="F67" s="1496"/>
      <c r="G67" s="1496"/>
      <c r="H67" s="1497"/>
      <c r="I67" s="37"/>
      <c r="J67" s="37"/>
      <c r="K67" s="37"/>
      <c r="L67" s="37"/>
      <c r="M67" s="37"/>
      <c r="N67" s="37"/>
      <c r="O67" s="37"/>
      <c r="P67" s="37"/>
      <c r="Q67" s="37"/>
      <c r="R67" s="37"/>
    </row>
    <row r="68" spans="2:18" x14ac:dyDescent="0.25">
      <c r="B68" s="91" t="s">
        <v>310</v>
      </c>
      <c r="C68" s="86" t="s">
        <v>311</v>
      </c>
      <c r="D68" s="86" t="s">
        <v>312</v>
      </c>
      <c r="E68" s="86" t="s">
        <v>313</v>
      </c>
      <c r="F68" s="86" t="s">
        <v>349</v>
      </c>
      <c r="G68" s="53" t="s">
        <v>369</v>
      </c>
      <c r="H68" s="53" t="s">
        <v>370</v>
      </c>
      <c r="I68" s="37"/>
      <c r="J68" s="37"/>
      <c r="K68" s="37"/>
      <c r="L68" s="37"/>
      <c r="M68" s="37"/>
      <c r="N68" s="37"/>
      <c r="O68" s="37"/>
      <c r="P68" s="37"/>
      <c r="Q68" s="37"/>
      <c r="R68" s="37"/>
    </row>
    <row r="69" spans="2:18" x14ac:dyDescent="0.25">
      <c r="B69" s="480" t="s">
        <v>56</v>
      </c>
      <c r="C69" s="15">
        <f>+'NOMINA ANUAL'!D272</f>
        <v>340000</v>
      </c>
      <c r="D69" s="2">
        <v>12</v>
      </c>
      <c r="E69" s="4">
        <f>+C69*D69</f>
        <v>4080000</v>
      </c>
      <c r="F69" s="4">
        <f>+C69/30</f>
        <v>11333.333333333334</v>
      </c>
      <c r="G69" s="4">
        <f>+F69/24</f>
        <v>472.22222222222223</v>
      </c>
      <c r="H69" s="4">
        <f>+G69/60</f>
        <v>7.8703703703703702</v>
      </c>
      <c r="I69" s="37"/>
      <c r="J69" s="37"/>
      <c r="K69" s="37"/>
      <c r="L69" s="37"/>
      <c r="M69" s="37"/>
      <c r="N69" s="37"/>
      <c r="O69" s="37"/>
      <c r="P69" s="37"/>
      <c r="Q69" s="37"/>
      <c r="R69" s="37"/>
    </row>
    <row r="70" spans="2:18" x14ac:dyDescent="0.25">
      <c r="B70" s="480" t="s">
        <v>57</v>
      </c>
      <c r="C70" s="15">
        <f>+'NOMINA ANUAL'!E272</f>
        <v>480000</v>
      </c>
      <c r="D70" s="2">
        <v>12</v>
      </c>
      <c r="E70" s="4">
        <f t="shared" ref="E70:E78" si="35">+C70*D70</f>
        <v>5760000</v>
      </c>
      <c r="F70" s="4">
        <f t="shared" ref="F70:F78" si="36">+C70/30</f>
        <v>16000</v>
      </c>
      <c r="G70" s="4">
        <f t="shared" ref="G70:G78" si="37">+F70/24</f>
        <v>666.66666666666663</v>
      </c>
      <c r="H70" s="4">
        <f t="shared" ref="H70:H78" si="38">+G70/60</f>
        <v>11.111111111111111</v>
      </c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2:18" x14ac:dyDescent="0.25">
      <c r="B71" s="480" t="s">
        <v>58</v>
      </c>
      <c r="C71" s="15">
        <f>+'NOMINA ANUAL'!F272</f>
        <v>20880</v>
      </c>
      <c r="D71" s="2">
        <v>12</v>
      </c>
      <c r="E71" s="4">
        <f t="shared" si="35"/>
        <v>250560</v>
      </c>
      <c r="F71" s="4">
        <f t="shared" si="36"/>
        <v>696</v>
      </c>
      <c r="G71" s="4">
        <f t="shared" si="37"/>
        <v>29</v>
      </c>
      <c r="H71" s="4">
        <f t="shared" si="38"/>
        <v>0.48333333333333334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</row>
    <row r="72" spans="2:18" x14ac:dyDescent="0.25">
      <c r="B72" s="480" t="s">
        <v>59</v>
      </c>
      <c r="C72" s="15">
        <f>+'NOMINA ANUAL'!G272</f>
        <v>120000</v>
      </c>
      <c r="D72" s="2">
        <v>12</v>
      </c>
      <c r="E72" s="4">
        <f t="shared" si="35"/>
        <v>1440000</v>
      </c>
      <c r="F72" s="4">
        <f t="shared" si="36"/>
        <v>4000</v>
      </c>
      <c r="G72" s="4">
        <f t="shared" si="37"/>
        <v>166.66666666666666</v>
      </c>
      <c r="H72" s="4">
        <f t="shared" si="38"/>
        <v>2.7777777777777777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2:18" x14ac:dyDescent="0.25">
      <c r="B73" s="480" t="s">
        <v>60</v>
      </c>
      <c r="C73" s="15">
        <f>+'NOMINA   MENSUAL'!H32</f>
        <v>80000</v>
      </c>
      <c r="D73" s="2">
        <v>12</v>
      </c>
      <c r="E73" s="4">
        <f t="shared" si="35"/>
        <v>960000</v>
      </c>
      <c r="F73" s="4">
        <f t="shared" si="36"/>
        <v>2666.6666666666665</v>
      </c>
      <c r="G73" s="4">
        <f t="shared" si="37"/>
        <v>111.1111111111111</v>
      </c>
      <c r="H73" s="4">
        <f t="shared" si="38"/>
        <v>1.8518518518518516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</row>
    <row r="74" spans="2:18" x14ac:dyDescent="0.25">
      <c r="B74" s="480" t="s">
        <v>61</v>
      </c>
      <c r="C74" s="15">
        <f>+'NOMINA ANUAL'!I272</f>
        <v>160000</v>
      </c>
      <c r="D74" s="2">
        <v>12</v>
      </c>
      <c r="E74" s="4">
        <f t="shared" si="35"/>
        <v>1920000</v>
      </c>
      <c r="F74" s="4">
        <f t="shared" si="36"/>
        <v>5333.333333333333</v>
      </c>
      <c r="G74" s="4">
        <f t="shared" si="37"/>
        <v>222.2222222222222</v>
      </c>
      <c r="H74" s="4">
        <f t="shared" si="38"/>
        <v>3.7037037037037033</v>
      </c>
      <c r="I74" s="37"/>
      <c r="J74" s="37"/>
      <c r="K74" s="37"/>
      <c r="L74" s="37"/>
      <c r="M74" s="37"/>
      <c r="N74" s="37"/>
      <c r="O74" s="37"/>
      <c r="P74" s="37"/>
      <c r="Q74" s="37"/>
      <c r="R74" s="37"/>
    </row>
    <row r="75" spans="2:18" x14ac:dyDescent="0.25">
      <c r="B75" s="480" t="s">
        <v>62</v>
      </c>
      <c r="C75" s="15">
        <f>+'NOMINA ANUAL'!J272</f>
        <v>352721.18839999998</v>
      </c>
      <c r="D75" s="2">
        <v>12</v>
      </c>
      <c r="E75" s="4">
        <f t="shared" si="35"/>
        <v>4232654.2608000003</v>
      </c>
      <c r="F75" s="4">
        <f t="shared" si="36"/>
        <v>11757.372946666666</v>
      </c>
      <c r="G75" s="4">
        <f t="shared" si="37"/>
        <v>489.89053944444441</v>
      </c>
      <c r="H75" s="4">
        <f t="shared" si="38"/>
        <v>8.1648423240740744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</row>
    <row r="76" spans="2:18" x14ac:dyDescent="0.25">
      <c r="B76" s="480" t="s">
        <v>63</v>
      </c>
      <c r="C76" s="15">
        <f>+'NOMINA ANUAL'!K272</f>
        <v>42343.48</v>
      </c>
      <c r="D76" s="2">
        <v>12</v>
      </c>
      <c r="E76" s="4">
        <f t="shared" si="35"/>
        <v>508121.76</v>
      </c>
      <c r="F76" s="4">
        <f t="shared" si="36"/>
        <v>1411.4493333333335</v>
      </c>
      <c r="G76" s="4">
        <f t="shared" si="37"/>
        <v>58.810388888888895</v>
      </c>
      <c r="H76" s="4">
        <f t="shared" si="38"/>
        <v>0.98017314814814827</v>
      </c>
      <c r="I76" s="37"/>
      <c r="J76" s="37"/>
      <c r="K76" s="37"/>
      <c r="L76" s="37"/>
      <c r="M76" s="37"/>
      <c r="N76" s="37"/>
      <c r="O76" s="37"/>
      <c r="P76" s="37"/>
      <c r="Q76" s="37"/>
      <c r="R76" s="37"/>
    </row>
    <row r="77" spans="2:18" x14ac:dyDescent="0.25">
      <c r="B77" s="480" t="s">
        <v>64</v>
      </c>
      <c r="C77" s="15">
        <f>+'NOMINA ANUAL'!L272</f>
        <v>352721.18839999998</v>
      </c>
      <c r="D77" s="2">
        <v>12</v>
      </c>
      <c r="E77" s="4">
        <f t="shared" si="35"/>
        <v>4232654.2608000003</v>
      </c>
      <c r="F77" s="4">
        <f t="shared" si="36"/>
        <v>11757.372946666666</v>
      </c>
      <c r="G77" s="4">
        <f t="shared" si="37"/>
        <v>489.89053944444441</v>
      </c>
      <c r="H77" s="4">
        <f t="shared" si="38"/>
        <v>8.1648423240740744</v>
      </c>
      <c r="I77" s="37"/>
      <c r="J77" s="37"/>
      <c r="K77" s="37"/>
      <c r="L77" s="37"/>
      <c r="M77" s="37"/>
      <c r="N77" s="37"/>
      <c r="O77" s="37"/>
      <c r="P77" s="37"/>
      <c r="Q77" s="37"/>
      <c r="R77" s="37"/>
    </row>
    <row r="78" spans="2:18" x14ac:dyDescent="0.25">
      <c r="B78" s="480" t="s">
        <v>65</v>
      </c>
      <c r="C78" s="15">
        <f>+'NOMINA ANUAL'!M272</f>
        <v>166800</v>
      </c>
      <c r="D78" s="2">
        <v>12</v>
      </c>
      <c r="E78" s="4">
        <f t="shared" si="35"/>
        <v>2001600</v>
      </c>
      <c r="F78" s="4">
        <f t="shared" si="36"/>
        <v>5560</v>
      </c>
      <c r="G78" s="4">
        <f t="shared" si="37"/>
        <v>231.66666666666666</v>
      </c>
      <c r="H78" s="4">
        <f t="shared" si="38"/>
        <v>3.8611111111111112</v>
      </c>
      <c r="I78" s="37"/>
      <c r="J78" s="37"/>
      <c r="K78" s="37"/>
      <c r="L78" s="37"/>
      <c r="M78" s="37"/>
      <c r="N78" s="37"/>
      <c r="O78" s="37"/>
      <c r="P78" s="37"/>
      <c r="Q78" s="37"/>
      <c r="R78" s="37"/>
    </row>
    <row r="79" spans="2:18" x14ac:dyDescent="0.25">
      <c r="B79" s="26" t="s">
        <v>49</v>
      </c>
      <c r="C79" s="477">
        <f>+SUM(C69:C78)</f>
        <v>2115465.8567999997</v>
      </c>
      <c r="D79" s="477"/>
      <c r="E79" s="477">
        <f t="shared" ref="E79:H79" si="39">+SUM(E69:E78)</f>
        <v>25385590.281600002</v>
      </c>
      <c r="F79" s="477">
        <f t="shared" si="39"/>
        <v>70515.528559999992</v>
      </c>
      <c r="G79" s="477">
        <f t="shared" si="39"/>
        <v>2938.1470233333334</v>
      </c>
      <c r="H79" s="477">
        <f t="shared" si="39"/>
        <v>48.969117055555557</v>
      </c>
      <c r="I79" s="37"/>
      <c r="J79" s="37"/>
      <c r="K79" s="37"/>
      <c r="L79" s="37"/>
      <c r="M79" s="37"/>
      <c r="N79" s="37"/>
      <c r="O79" s="37"/>
      <c r="P79" s="37"/>
      <c r="Q79" s="37"/>
      <c r="R79" s="37"/>
    </row>
    <row r="80" spans="2:18" s="37" customFormat="1" x14ac:dyDescent="0.25"/>
    <row r="81" spans="1:37" s="37" customFormat="1" x14ac:dyDescent="0.25"/>
    <row r="82" spans="1:37" ht="35.25" customHeight="1" x14ac:dyDescent="0.25">
      <c r="B82" s="1498" t="s">
        <v>292</v>
      </c>
      <c r="C82" s="1498"/>
      <c r="D82" s="1498"/>
      <c r="E82" s="1498"/>
      <c r="F82" s="1498"/>
      <c r="G82" s="1498"/>
      <c r="H82" s="37"/>
      <c r="I82" s="37"/>
      <c r="J82" s="37"/>
      <c r="K82" s="37"/>
      <c r="L82" s="37"/>
      <c r="M82" s="37"/>
      <c r="N82" s="37"/>
      <c r="O82" s="37"/>
    </row>
    <row r="83" spans="1:37" s="7" customFormat="1" x14ac:dyDescent="0.25">
      <c r="A83" s="35"/>
      <c r="B83" s="23" t="s">
        <v>293</v>
      </c>
      <c r="C83" s="23" t="s">
        <v>296</v>
      </c>
      <c r="D83" s="23" t="s">
        <v>311</v>
      </c>
      <c r="E83" s="23" t="s">
        <v>350</v>
      </c>
      <c r="F83" s="92" t="s">
        <v>369</v>
      </c>
      <c r="G83" s="92" t="s">
        <v>370</v>
      </c>
      <c r="H83" s="35"/>
      <c r="I83" s="35"/>
      <c r="J83" s="35"/>
      <c r="K83" s="35"/>
      <c r="L83" s="35"/>
      <c r="M83" s="35"/>
      <c r="N83" s="35"/>
      <c r="O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spans="1:37" x14ac:dyDescent="0.25">
      <c r="B84" s="2" t="s">
        <v>270</v>
      </c>
      <c r="C84" s="41">
        <f>+E18</f>
        <v>2089000</v>
      </c>
      <c r="D84" s="41">
        <f>+F18</f>
        <v>174083.33333333331</v>
      </c>
      <c r="E84" s="41">
        <f>+G18</f>
        <v>5802.7777777777783</v>
      </c>
      <c r="F84" s="4">
        <f>+E84/24</f>
        <v>241.78240740740742</v>
      </c>
      <c r="G84" s="4">
        <f>+F84/60</f>
        <v>4.0297067901234573</v>
      </c>
      <c r="H84" s="37"/>
      <c r="I84" s="37"/>
      <c r="J84" s="37"/>
      <c r="K84" s="37"/>
      <c r="L84" s="37"/>
      <c r="M84" s="37"/>
      <c r="N84" s="37"/>
      <c r="O84" s="37"/>
    </row>
    <row r="85" spans="1:37" x14ac:dyDescent="0.25">
      <c r="B85" s="2" t="s">
        <v>294</v>
      </c>
      <c r="C85" s="41">
        <f>+H27</f>
        <v>4416000</v>
      </c>
      <c r="D85" s="41">
        <f>+I27</f>
        <v>368000</v>
      </c>
      <c r="E85" s="41">
        <f>+J27</f>
        <v>12266.666666666666</v>
      </c>
      <c r="F85" s="4">
        <f t="shared" ref="F85:F88" si="40">+E85/24</f>
        <v>511.11111111111109</v>
      </c>
      <c r="G85" s="4">
        <f t="shared" ref="G85:G88" si="41">+F85/60</f>
        <v>8.5185185185185173</v>
      </c>
      <c r="H85" s="37"/>
      <c r="I85" s="37"/>
      <c r="J85" s="37"/>
      <c r="K85" s="37"/>
      <c r="L85" s="37"/>
      <c r="M85" s="37"/>
      <c r="N85" s="37"/>
      <c r="O85" s="37"/>
    </row>
    <row r="86" spans="1:37" x14ac:dyDescent="0.25">
      <c r="B86" s="2" t="s">
        <v>295</v>
      </c>
      <c r="C86" s="41">
        <f>+E48</f>
        <v>2870500</v>
      </c>
      <c r="D86" s="41">
        <f>+F48</f>
        <v>239208.33333333334</v>
      </c>
      <c r="E86" s="41">
        <f>+G48</f>
        <v>7973.6111111111104</v>
      </c>
      <c r="F86" s="4">
        <f t="shared" si="40"/>
        <v>332.23379629629625</v>
      </c>
      <c r="G86" s="4">
        <f t="shared" si="41"/>
        <v>5.5372299382716044</v>
      </c>
      <c r="H86" s="37"/>
      <c r="I86" s="37"/>
      <c r="J86" s="37"/>
      <c r="K86" s="37"/>
      <c r="L86" s="37"/>
      <c r="M86" s="37"/>
      <c r="N86" s="37"/>
      <c r="O86" s="37"/>
    </row>
    <row r="87" spans="1:37" x14ac:dyDescent="0.25">
      <c r="B87" s="2" t="s">
        <v>367</v>
      </c>
      <c r="C87" s="41">
        <f>+E65</f>
        <v>1292600</v>
      </c>
      <c r="D87" s="41">
        <f t="shared" ref="D87:E87" si="42">+F65</f>
        <v>107716.66666666667</v>
      </c>
      <c r="E87" s="41">
        <f t="shared" si="42"/>
        <v>3590.5555555555557</v>
      </c>
      <c r="F87" s="4">
        <f t="shared" si="40"/>
        <v>149.6064814814815</v>
      </c>
      <c r="G87" s="4">
        <f t="shared" si="41"/>
        <v>2.4934413580246915</v>
      </c>
      <c r="H87" s="37"/>
      <c r="I87" s="37"/>
      <c r="J87" s="37"/>
      <c r="K87" s="37"/>
      <c r="L87" s="37"/>
      <c r="M87" s="37"/>
      <c r="N87" s="37"/>
      <c r="O87" s="37"/>
    </row>
    <row r="88" spans="1:37" x14ac:dyDescent="0.25">
      <c r="B88" s="2" t="s">
        <v>314</v>
      </c>
      <c r="C88" s="41">
        <f>+E79</f>
        <v>25385590.281600002</v>
      </c>
      <c r="D88" s="15">
        <f>+C79</f>
        <v>2115465.8567999997</v>
      </c>
      <c r="E88" s="4">
        <f>+D88/30</f>
        <v>70515.528559999992</v>
      </c>
      <c r="F88" s="4">
        <f t="shared" si="40"/>
        <v>2938.147023333333</v>
      </c>
      <c r="G88" s="4">
        <f t="shared" si="41"/>
        <v>48.96911705555555</v>
      </c>
      <c r="H88" s="37"/>
      <c r="I88" s="37"/>
      <c r="J88" s="37"/>
      <c r="K88" s="37"/>
      <c r="L88" s="37"/>
      <c r="M88" s="37"/>
      <c r="N88" s="37"/>
      <c r="O88" s="37"/>
    </row>
    <row r="89" spans="1:37" x14ac:dyDescent="0.25">
      <c r="B89" s="99" t="s">
        <v>257</v>
      </c>
      <c r="C89" s="476">
        <f>SUM(C84:C88)</f>
        <v>36053690.281599998</v>
      </c>
      <c r="D89" s="476">
        <f t="shared" ref="D89:E89" si="43">SUM(D84:D88)</f>
        <v>3004474.1901333332</v>
      </c>
      <c r="E89" s="476">
        <f t="shared" si="43"/>
        <v>100149.1396711111</v>
      </c>
      <c r="F89" s="477">
        <f t="shared" ref="F89" si="44">SUM(F84:F88)</f>
        <v>4172.8808196296295</v>
      </c>
      <c r="G89" s="477">
        <f t="shared" ref="G89" si="45">SUM(G84:G88)</f>
        <v>69.548013660493822</v>
      </c>
      <c r="H89" s="37"/>
      <c r="I89" s="37"/>
      <c r="J89" s="37"/>
      <c r="K89" s="37"/>
      <c r="L89" s="37"/>
      <c r="M89" s="37"/>
      <c r="N89" s="37"/>
      <c r="O89" s="37"/>
    </row>
    <row r="90" spans="1:37" s="37" customFormat="1" x14ac:dyDescent="0.25"/>
    <row r="91" spans="1:37" s="37" customFormat="1" x14ac:dyDescent="0.25"/>
    <row r="92" spans="1:37" s="37" customFormat="1" x14ac:dyDescent="0.25"/>
    <row r="93" spans="1:37" s="37" customFormat="1" hidden="1" x14ac:dyDescent="0.25"/>
    <row r="94" spans="1:37" s="37" customFormat="1" hidden="1" x14ac:dyDescent="0.25"/>
    <row r="95" spans="1:37" s="37" customFormat="1" hidden="1" x14ac:dyDescent="0.25"/>
    <row r="96" spans="1:37" s="37" customFormat="1" hidden="1" x14ac:dyDescent="0.25"/>
    <row r="97" s="37" customFormat="1" hidden="1" x14ac:dyDescent="0.25"/>
    <row r="98" s="37" customFormat="1" hidden="1" x14ac:dyDescent="0.25"/>
    <row r="99" s="37" customFormat="1" hidden="1" x14ac:dyDescent="0.25"/>
    <row r="100" s="37" customFormat="1" hidden="1" x14ac:dyDescent="0.25"/>
    <row r="101" s="37" customFormat="1" hidden="1" x14ac:dyDescent="0.25"/>
    <row r="102" s="37" customFormat="1" hidden="1" x14ac:dyDescent="0.25"/>
    <row r="103" s="37" customFormat="1" hidden="1" x14ac:dyDescent="0.25"/>
    <row r="104" s="37" customFormat="1" hidden="1" x14ac:dyDescent="0.25"/>
    <row r="105" s="37" customFormat="1" hidden="1" x14ac:dyDescent="0.25"/>
    <row r="106" s="37" customFormat="1" hidden="1" x14ac:dyDescent="0.25"/>
    <row r="107" s="37" customFormat="1" hidden="1" x14ac:dyDescent="0.25"/>
    <row r="108" s="37" customFormat="1" hidden="1" x14ac:dyDescent="0.25"/>
    <row r="109" s="37" customFormat="1" hidden="1" x14ac:dyDescent="0.25"/>
    <row r="110" s="37" customFormat="1" hidden="1" x14ac:dyDescent="0.25"/>
    <row r="111" s="37" customFormat="1" hidden="1" x14ac:dyDescent="0.25"/>
    <row r="112" s="37" customFormat="1" hidden="1" x14ac:dyDescent="0.25"/>
    <row r="113" s="37" customFormat="1" hidden="1" x14ac:dyDescent="0.25"/>
    <row r="114" s="37" customFormat="1" hidden="1" x14ac:dyDescent="0.25"/>
    <row r="115" s="37" customFormat="1" hidden="1" x14ac:dyDescent="0.25"/>
    <row r="116" s="37" customFormat="1" hidden="1" x14ac:dyDescent="0.25"/>
    <row r="117" s="37" customFormat="1" hidden="1" x14ac:dyDescent="0.25"/>
    <row r="118" s="37" customFormat="1" hidden="1" x14ac:dyDescent="0.25"/>
    <row r="119" s="37" customFormat="1" hidden="1" x14ac:dyDescent="0.25"/>
    <row r="120" s="37" customFormat="1" hidden="1" x14ac:dyDescent="0.25"/>
    <row r="121" s="37" customFormat="1" hidden="1" x14ac:dyDescent="0.25"/>
    <row r="122" s="37" customFormat="1" hidden="1" x14ac:dyDescent="0.25"/>
    <row r="123" s="37" customFormat="1" hidden="1" x14ac:dyDescent="0.25"/>
    <row r="124" s="37" customFormat="1" hidden="1" x14ac:dyDescent="0.25"/>
    <row r="125" s="37" customFormat="1" hidden="1" x14ac:dyDescent="0.25"/>
    <row r="126" s="37" customFormat="1" hidden="1" x14ac:dyDescent="0.25"/>
    <row r="127" s="37" customFormat="1" hidden="1" x14ac:dyDescent="0.25"/>
    <row r="128" s="37" customFormat="1" hidden="1" x14ac:dyDescent="0.25"/>
    <row r="129" s="37" customFormat="1" hidden="1" x14ac:dyDescent="0.25"/>
  </sheetData>
  <mergeCells count="11">
    <mergeCell ref="B6:L6"/>
    <mergeCell ref="B7:L7"/>
    <mergeCell ref="B8:L8"/>
    <mergeCell ref="B67:H67"/>
    <mergeCell ref="B82:G82"/>
    <mergeCell ref="B48:D48"/>
    <mergeCell ref="B65:D65"/>
    <mergeCell ref="B11:I11"/>
    <mergeCell ref="B21:L21"/>
    <mergeCell ref="B30:I30"/>
    <mergeCell ref="B50:I5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9B27-860F-4F68-A409-74692FFEB657}">
  <sheetPr>
    <tabColor rgb="FFFFFF00"/>
  </sheetPr>
  <dimension ref="A1:BD467"/>
  <sheetViews>
    <sheetView showGridLines="0" topLeftCell="A19" zoomScaleNormal="100" workbookViewId="0">
      <selection activeCell="AY8" sqref="AX8:AY8"/>
    </sheetView>
  </sheetViews>
  <sheetFormatPr baseColWidth="10" defaultColWidth="0" defaultRowHeight="15" zeroHeight="1" x14ac:dyDescent="0.25"/>
  <cols>
    <col min="1" max="1" width="5" style="37" customWidth="1"/>
    <col min="2" max="2" width="17" style="56" customWidth="1"/>
    <col min="3" max="3" width="19.85546875" style="57" customWidth="1"/>
    <col min="4" max="4" width="19.85546875" style="58" customWidth="1"/>
    <col min="5" max="5" width="18.85546875" style="57" customWidth="1"/>
    <col min="6" max="6" width="11.42578125" style="59" customWidth="1"/>
    <col min="7" max="7" width="19.5703125" style="60" customWidth="1"/>
    <col min="8" max="8" width="19.5703125" style="61" customWidth="1"/>
    <col min="9" max="9" width="19.5703125" style="60" customWidth="1"/>
    <col min="10" max="10" width="11.42578125" style="62" customWidth="1"/>
    <col min="11" max="11" width="23.140625" style="63" bestFit="1" customWidth="1"/>
    <col min="12" max="12" width="19.5703125" style="64" customWidth="1"/>
    <col min="13" max="13" width="19.5703125" style="63" customWidth="1"/>
    <col min="14" max="14" width="11.42578125" style="65" customWidth="1"/>
    <col min="15" max="15" width="23.140625" style="66" bestFit="1" customWidth="1"/>
    <col min="16" max="16" width="17.7109375" style="67" customWidth="1"/>
    <col min="17" max="17" width="17.7109375" style="66" customWidth="1"/>
    <col min="18" max="18" width="11.42578125" style="68" customWidth="1"/>
    <col min="19" max="19" width="23.140625" style="69" bestFit="1" customWidth="1"/>
    <col min="20" max="20" width="17.7109375" style="70" customWidth="1"/>
    <col min="21" max="21" width="17.7109375" style="69" customWidth="1"/>
    <col min="22" max="22" width="11.42578125" style="16" customWidth="1"/>
    <col min="23" max="23" width="23.140625" style="75" bestFit="1" customWidth="1"/>
    <col min="24" max="24" width="17.7109375" style="75" customWidth="1"/>
    <col min="25" max="25" width="17.7109375" style="76" customWidth="1"/>
    <col min="26" max="26" width="11.42578125" style="77" customWidth="1"/>
    <col min="27" max="27" width="20" style="78" customWidth="1"/>
    <col min="28" max="28" width="20" style="79" customWidth="1"/>
    <col min="29" max="29" width="20" style="80" customWidth="1"/>
    <col min="30" max="30" width="11.42578125" style="62" customWidth="1"/>
    <col min="31" max="33" width="20.42578125" style="63" customWidth="1"/>
    <col min="34" max="34" width="11.42578125" style="65" customWidth="1"/>
    <col min="35" max="35" width="22.28515625" style="66" customWidth="1"/>
    <col min="36" max="36" width="22.28515625" style="67" customWidth="1"/>
    <col min="37" max="37" width="19" style="66" customWidth="1"/>
    <col min="38" max="38" width="11.42578125" style="16" customWidth="1"/>
    <col min="39" max="39" width="23.140625" style="75" bestFit="1" customWidth="1"/>
    <col min="40" max="41" width="17.7109375" style="75" customWidth="1"/>
    <col min="42" max="42" width="11.42578125" style="62" customWidth="1"/>
    <col min="43" max="44" width="18.28515625" style="63" customWidth="1"/>
    <col min="45" max="45" width="18.28515625" style="81" customWidth="1"/>
    <col min="46" max="46" width="13.85546875" style="82" customWidth="1"/>
    <col min="47" max="47" width="23.140625" style="83" bestFit="1" customWidth="1"/>
    <col min="48" max="49" width="17.7109375" style="83" customWidth="1"/>
    <col min="50" max="51" width="11.42578125" customWidth="1"/>
    <col min="57" max="16384" width="11.42578125" hidden="1"/>
  </cols>
  <sheetData>
    <row r="1" spans="1:49" s="37" customFormat="1" x14ac:dyDescent="0.25">
      <c r="C1" s="103"/>
      <c r="D1" s="571"/>
      <c r="E1" s="103"/>
      <c r="G1" s="572"/>
      <c r="H1" s="573"/>
      <c r="I1" s="572"/>
      <c r="K1" s="103"/>
      <c r="L1" s="571"/>
      <c r="M1" s="103"/>
      <c r="O1" s="103"/>
      <c r="P1" s="571"/>
      <c r="Q1" s="103"/>
      <c r="S1" s="103"/>
      <c r="T1" s="571"/>
      <c r="U1" s="103"/>
      <c r="W1" s="103"/>
      <c r="X1" s="103"/>
      <c r="Y1" s="231"/>
      <c r="AA1" s="103"/>
      <c r="AB1" s="571"/>
      <c r="AC1" s="231"/>
      <c r="AE1" s="103"/>
      <c r="AF1" s="103"/>
      <c r="AG1" s="103"/>
      <c r="AI1" s="103"/>
      <c r="AJ1" s="571"/>
      <c r="AK1" s="103"/>
      <c r="AM1" s="103"/>
      <c r="AN1" s="103"/>
      <c r="AO1" s="103"/>
      <c r="AQ1" s="103"/>
      <c r="AR1" s="103"/>
      <c r="AS1" s="231"/>
      <c r="AU1" s="103"/>
      <c r="AV1" s="103"/>
      <c r="AW1" s="103"/>
    </row>
    <row r="2" spans="1:49" s="37" customFormat="1" ht="18.75" x14ac:dyDescent="0.3">
      <c r="B2" s="1437" t="s">
        <v>71</v>
      </c>
      <c r="C2" s="1437"/>
      <c r="D2" s="1437"/>
      <c r="E2" s="1437"/>
      <c r="F2" s="1437"/>
      <c r="G2" s="1437"/>
      <c r="H2" s="1437"/>
      <c r="I2" s="1437"/>
      <c r="J2" s="1437"/>
      <c r="K2" s="1437"/>
      <c r="L2" s="1437"/>
      <c r="M2" s="1437"/>
      <c r="N2" s="1437"/>
      <c r="O2" s="1437"/>
      <c r="P2" s="1437"/>
      <c r="Q2" s="1437"/>
      <c r="R2" s="1437"/>
      <c r="S2" s="1437"/>
      <c r="T2" s="1437"/>
      <c r="U2" s="1437"/>
      <c r="V2" s="1437"/>
      <c r="W2" s="1437"/>
      <c r="X2" s="1437"/>
      <c r="Y2" s="1437"/>
      <c r="Z2" s="1437"/>
      <c r="AA2" s="1437"/>
      <c r="AB2" s="1437"/>
      <c r="AC2" s="1437"/>
      <c r="AD2" s="1437"/>
      <c r="AE2" s="1437"/>
      <c r="AF2" s="1437"/>
      <c r="AG2" s="1437"/>
      <c r="AH2" s="1437"/>
      <c r="AI2" s="1437"/>
      <c r="AJ2" s="1437"/>
      <c r="AK2" s="1437"/>
      <c r="AL2" s="1437"/>
      <c r="AM2" s="1437"/>
      <c r="AN2" s="1437"/>
      <c r="AO2" s="1437"/>
      <c r="AP2" s="1437"/>
      <c r="AQ2" s="1437"/>
      <c r="AR2" s="1437"/>
      <c r="AS2" s="1437"/>
      <c r="AT2" s="1437"/>
      <c r="AU2" s="1437"/>
      <c r="AV2" s="1437"/>
      <c r="AW2" s="1437"/>
    </row>
    <row r="3" spans="1:49" s="37" customFormat="1" ht="18.75" x14ac:dyDescent="0.3">
      <c r="B3" s="1437" t="s">
        <v>595</v>
      </c>
      <c r="C3" s="1437"/>
      <c r="D3" s="1437"/>
      <c r="E3" s="1437"/>
      <c r="F3" s="1437"/>
      <c r="G3" s="1437"/>
      <c r="H3" s="1437"/>
      <c r="I3" s="1437"/>
      <c r="J3" s="1437"/>
      <c r="K3" s="1437"/>
      <c r="L3" s="1437"/>
      <c r="M3" s="1437"/>
      <c r="N3" s="1437"/>
      <c r="O3" s="1437"/>
      <c r="P3" s="1437"/>
      <c r="Q3" s="1437"/>
      <c r="R3" s="1437"/>
      <c r="S3" s="1437"/>
      <c r="T3" s="1437"/>
      <c r="U3" s="1437"/>
      <c r="V3" s="1437"/>
      <c r="W3" s="1437"/>
      <c r="X3" s="1437"/>
      <c r="Y3" s="1437"/>
      <c r="Z3" s="1437"/>
      <c r="AA3" s="1437"/>
      <c r="AB3" s="1437"/>
      <c r="AC3" s="1437"/>
      <c r="AD3" s="1437"/>
      <c r="AE3" s="1437"/>
      <c r="AF3" s="1437"/>
      <c r="AG3" s="1437"/>
      <c r="AH3" s="1437"/>
      <c r="AI3" s="1437"/>
      <c r="AJ3" s="1437"/>
      <c r="AK3" s="1437"/>
      <c r="AL3" s="1437"/>
      <c r="AM3" s="1437"/>
      <c r="AN3" s="1437"/>
      <c r="AO3" s="1437"/>
      <c r="AP3" s="1437"/>
      <c r="AQ3" s="1437"/>
      <c r="AR3" s="1437"/>
      <c r="AS3" s="1437"/>
      <c r="AT3" s="1437"/>
      <c r="AU3" s="1437"/>
      <c r="AV3" s="1437"/>
      <c r="AW3" s="1437"/>
    </row>
    <row r="4" spans="1:49" s="37" customFormat="1" ht="18.75" x14ac:dyDescent="0.3">
      <c r="B4" s="1437" t="s">
        <v>596</v>
      </c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  <c r="R4" s="1437"/>
      <c r="S4" s="1437"/>
      <c r="T4" s="1437"/>
      <c r="U4" s="1437"/>
      <c r="V4" s="1437"/>
      <c r="W4" s="1437"/>
      <c r="X4" s="1437"/>
      <c r="Y4" s="1437"/>
      <c r="Z4" s="1437"/>
      <c r="AA4" s="1437"/>
      <c r="AB4" s="1437"/>
      <c r="AC4" s="1437"/>
      <c r="AD4" s="1437"/>
      <c r="AE4" s="1437"/>
      <c r="AF4" s="1437"/>
      <c r="AG4" s="1437"/>
      <c r="AH4" s="1437"/>
      <c r="AI4" s="1437"/>
      <c r="AJ4" s="1437"/>
      <c r="AK4" s="1437"/>
      <c r="AL4" s="1437"/>
      <c r="AM4" s="1437"/>
      <c r="AN4" s="1437"/>
      <c r="AO4" s="1437"/>
      <c r="AP4" s="1437"/>
      <c r="AQ4" s="1437"/>
      <c r="AR4" s="1437"/>
      <c r="AS4" s="1437"/>
      <c r="AT4" s="1437"/>
      <c r="AU4" s="1437"/>
      <c r="AV4" s="1437"/>
      <c r="AW4" s="1437"/>
    </row>
    <row r="5" spans="1:49" s="37" customFormat="1" ht="15.75" thickBot="1" x14ac:dyDescent="0.3">
      <c r="C5" s="103"/>
      <c r="D5" s="571"/>
      <c r="E5" s="103"/>
      <c r="G5" s="572"/>
      <c r="H5" s="573"/>
      <c r="I5" s="572"/>
      <c r="K5" s="103"/>
      <c r="L5" s="571"/>
      <c r="M5" s="103"/>
      <c r="O5" s="103"/>
      <c r="P5" s="571"/>
      <c r="Q5" s="103"/>
      <c r="S5" s="103"/>
      <c r="T5" s="571"/>
      <c r="U5" s="103"/>
      <c r="W5" s="103"/>
      <c r="X5" s="103"/>
      <c r="Y5" s="231"/>
      <c r="AA5" s="103"/>
      <c r="AB5" s="571"/>
      <c r="AC5" s="231"/>
      <c r="AE5" s="103"/>
      <c r="AF5" s="103"/>
      <c r="AG5" s="103"/>
      <c r="AI5" s="103"/>
      <c r="AJ5" s="571"/>
      <c r="AK5" s="103"/>
      <c r="AM5" s="103"/>
      <c r="AN5" s="103"/>
      <c r="AO5" s="103"/>
      <c r="AQ5" s="103"/>
      <c r="AR5" s="103"/>
      <c r="AS5" s="231"/>
      <c r="AU5" s="103"/>
      <c r="AV5" s="103"/>
      <c r="AW5" s="103"/>
    </row>
    <row r="6" spans="1:49" ht="21" customHeight="1" thickBot="1" x14ac:dyDescent="0.4">
      <c r="B6" s="1535" t="s">
        <v>594</v>
      </c>
      <c r="C6" s="1536"/>
      <c r="D6" s="1536"/>
      <c r="E6" s="1536"/>
      <c r="F6" s="1536"/>
      <c r="G6" s="1536"/>
      <c r="H6" s="1536"/>
      <c r="I6" s="1536"/>
      <c r="J6" s="1536"/>
      <c r="K6" s="1536"/>
      <c r="L6" s="1536"/>
      <c r="M6" s="1536"/>
      <c r="N6" s="1536"/>
      <c r="O6" s="1536"/>
      <c r="P6" s="1536"/>
      <c r="Q6" s="1536"/>
      <c r="R6" s="1536"/>
      <c r="S6" s="1536"/>
      <c r="T6" s="1536"/>
      <c r="U6" s="1536"/>
      <c r="V6" s="1536"/>
      <c r="W6" s="1536"/>
      <c r="X6" s="1536"/>
      <c r="Y6" s="1536"/>
      <c r="Z6" s="1536"/>
      <c r="AA6" s="1536"/>
      <c r="AB6" s="1536"/>
      <c r="AC6" s="1536"/>
      <c r="AD6" s="1536"/>
      <c r="AE6" s="1536"/>
      <c r="AF6" s="1536"/>
      <c r="AG6" s="1536"/>
      <c r="AH6" s="1536"/>
      <c r="AI6" s="1536"/>
      <c r="AJ6" s="1536"/>
      <c r="AK6" s="1536"/>
      <c r="AL6" s="1536"/>
      <c r="AM6" s="1536"/>
      <c r="AN6" s="1536"/>
      <c r="AO6" s="1536"/>
      <c r="AP6" s="1536"/>
      <c r="AQ6" s="1536"/>
      <c r="AR6" s="1536"/>
      <c r="AS6" s="1536"/>
      <c r="AT6" s="1536"/>
      <c r="AU6" s="1536"/>
      <c r="AV6" s="1536"/>
      <c r="AW6" s="1537"/>
    </row>
    <row r="7" spans="1:49" s="51" customFormat="1" x14ac:dyDescent="0.25">
      <c r="A7" s="462"/>
      <c r="B7" s="1547">
        <v>44348</v>
      </c>
      <c r="C7" s="1548"/>
      <c r="D7" s="1548"/>
      <c r="E7" s="1549"/>
      <c r="F7" s="1541">
        <v>44378</v>
      </c>
      <c r="G7" s="1542"/>
      <c r="H7" s="1542"/>
      <c r="I7" s="1543"/>
      <c r="J7" s="1550">
        <v>44409</v>
      </c>
      <c r="K7" s="1551"/>
      <c r="L7" s="1551"/>
      <c r="M7" s="1552"/>
      <c r="N7" s="1553">
        <v>44440</v>
      </c>
      <c r="O7" s="1554"/>
      <c r="P7" s="1554"/>
      <c r="Q7" s="1555"/>
      <c r="R7" s="1544">
        <v>44470</v>
      </c>
      <c r="S7" s="1545"/>
      <c r="T7" s="1545"/>
      <c r="U7" s="1546"/>
      <c r="V7" s="1547">
        <v>44501</v>
      </c>
      <c r="W7" s="1548"/>
      <c r="X7" s="1548"/>
      <c r="Y7" s="1549"/>
      <c r="Z7" s="1541">
        <v>44531</v>
      </c>
      <c r="AA7" s="1542"/>
      <c r="AB7" s="1542"/>
      <c r="AC7" s="1543"/>
      <c r="AD7" s="1550">
        <v>44562</v>
      </c>
      <c r="AE7" s="1551"/>
      <c r="AF7" s="1551"/>
      <c r="AG7" s="1552"/>
      <c r="AH7" s="1553">
        <v>44593</v>
      </c>
      <c r="AI7" s="1554"/>
      <c r="AJ7" s="1554"/>
      <c r="AK7" s="1555"/>
      <c r="AL7" s="1544">
        <v>44621</v>
      </c>
      <c r="AM7" s="1545"/>
      <c r="AN7" s="1545"/>
      <c r="AO7" s="1546"/>
      <c r="AP7" s="1538">
        <v>44652</v>
      </c>
      <c r="AQ7" s="1539"/>
      <c r="AR7" s="1539"/>
      <c r="AS7" s="1540"/>
      <c r="AT7" s="1541">
        <v>44682</v>
      </c>
      <c r="AU7" s="1542"/>
      <c r="AV7" s="1542"/>
      <c r="AW7" s="1543"/>
    </row>
    <row r="8" spans="1:49" s="1" customFormat="1" x14ac:dyDescent="0.25">
      <c r="A8" s="96"/>
      <c r="B8" s="502" t="s">
        <v>322</v>
      </c>
      <c r="C8" s="481" t="s">
        <v>323</v>
      </c>
      <c r="D8" s="482" t="s">
        <v>324</v>
      </c>
      <c r="E8" s="503" t="s">
        <v>325</v>
      </c>
      <c r="F8" s="494" t="s">
        <v>322</v>
      </c>
      <c r="G8" s="487" t="s">
        <v>323</v>
      </c>
      <c r="H8" s="488" t="s">
        <v>324</v>
      </c>
      <c r="I8" s="495" t="s">
        <v>325</v>
      </c>
      <c r="J8" s="512" t="s">
        <v>322</v>
      </c>
      <c r="K8" s="513" t="s">
        <v>323</v>
      </c>
      <c r="L8" s="514" t="s">
        <v>324</v>
      </c>
      <c r="M8" s="515" t="s">
        <v>325</v>
      </c>
      <c r="N8" s="526" t="s">
        <v>322</v>
      </c>
      <c r="O8" s="428" t="s">
        <v>323</v>
      </c>
      <c r="P8" s="523" t="s">
        <v>324</v>
      </c>
      <c r="Q8" s="527" t="s">
        <v>325</v>
      </c>
      <c r="R8" s="538" t="s">
        <v>322</v>
      </c>
      <c r="S8" s="19" t="s">
        <v>323</v>
      </c>
      <c r="T8" s="539" t="s">
        <v>324</v>
      </c>
      <c r="U8" s="540" t="s">
        <v>325</v>
      </c>
      <c r="V8" s="502" t="s">
        <v>322</v>
      </c>
      <c r="W8" s="481" t="s">
        <v>323</v>
      </c>
      <c r="X8" s="482" t="s">
        <v>324</v>
      </c>
      <c r="Y8" s="548" t="s">
        <v>325</v>
      </c>
      <c r="Z8" s="494" t="s">
        <v>322</v>
      </c>
      <c r="AA8" s="489" t="s">
        <v>323</v>
      </c>
      <c r="AB8" s="488" t="s">
        <v>324</v>
      </c>
      <c r="AC8" s="550" t="s">
        <v>325</v>
      </c>
      <c r="AD8" s="512" t="s">
        <v>322</v>
      </c>
      <c r="AE8" s="513" t="s">
        <v>323</v>
      </c>
      <c r="AF8" s="514" t="s">
        <v>324</v>
      </c>
      <c r="AG8" s="551" t="s">
        <v>325</v>
      </c>
      <c r="AH8" s="526" t="s">
        <v>322</v>
      </c>
      <c r="AI8" s="428" t="s">
        <v>323</v>
      </c>
      <c r="AJ8" s="523" t="s">
        <v>324</v>
      </c>
      <c r="AK8" s="554" t="s">
        <v>325</v>
      </c>
      <c r="AL8" s="557" t="s">
        <v>322</v>
      </c>
      <c r="AM8" s="558" t="s">
        <v>323</v>
      </c>
      <c r="AN8" s="539" t="s">
        <v>324</v>
      </c>
      <c r="AO8" s="559" t="s">
        <v>325</v>
      </c>
      <c r="AP8" s="562" t="s">
        <v>322</v>
      </c>
      <c r="AQ8" s="563" t="s">
        <v>323</v>
      </c>
      <c r="AR8" s="71" t="s">
        <v>324</v>
      </c>
      <c r="AS8" s="564" t="s">
        <v>325</v>
      </c>
      <c r="AT8" s="567" t="s">
        <v>322</v>
      </c>
      <c r="AU8" s="568" t="s">
        <v>323</v>
      </c>
      <c r="AV8" s="488" t="s">
        <v>324</v>
      </c>
      <c r="AW8" s="550" t="s">
        <v>325</v>
      </c>
    </row>
    <row r="9" spans="1:49" x14ac:dyDescent="0.25">
      <c r="B9" s="504">
        <v>1</v>
      </c>
      <c r="C9" s="484">
        <v>4200000</v>
      </c>
      <c r="D9" s="485">
        <v>500</v>
      </c>
      <c r="E9" s="505">
        <f>SUM(C9/D9)</f>
        <v>8400</v>
      </c>
      <c r="F9" s="496">
        <v>1</v>
      </c>
      <c r="G9" s="491">
        <v>3800000</v>
      </c>
      <c r="H9" s="492">
        <v>470</v>
      </c>
      <c r="I9" s="497">
        <f>G9/H9</f>
        <v>8085.1063829787236</v>
      </c>
      <c r="J9" s="516">
        <v>1</v>
      </c>
      <c r="K9" s="517">
        <v>3890000</v>
      </c>
      <c r="L9" s="518">
        <v>470</v>
      </c>
      <c r="M9" s="519">
        <f>SUM(K9/L9)</f>
        <v>8276.5957446808516</v>
      </c>
      <c r="N9" s="528">
        <v>1</v>
      </c>
      <c r="O9" s="524">
        <v>3980000</v>
      </c>
      <c r="P9" s="525">
        <v>470</v>
      </c>
      <c r="Q9" s="529">
        <f>SUM(O9/P9)</f>
        <v>8468.0851063829796</v>
      </c>
      <c r="R9" s="541">
        <v>1</v>
      </c>
      <c r="S9" s="131">
        <v>4200000</v>
      </c>
      <c r="T9" s="542">
        <v>470</v>
      </c>
      <c r="U9" s="543">
        <f>SUM(S9/T9)</f>
        <v>8936.1702127659573</v>
      </c>
      <c r="V9" s="504">
        <v>1</v>
      </c>
      <c r="W9" s="484">
        <v>4100000</v>
      </c>
      <c r="X9" s="485">
        <v>500</v>
      </c>
      <c r="Y9" s="505">
        <f>SUM(W9/X9)</f>
        <v>8200</v>
      </c>
      <c r="Z9" s="496">
        <v>1</v>
      </c>
      <c r="AA9" s="491">
        <v>3890000</v>
      </c>
      <c r="AB9" s="492">
        <v>470</v>
      </c>
      <c r="AC9" s="497">
        <f>AA9/AB9</f>
        <v>8276.5957446808516</v>
      </c>
      <c r="AD9" s="516">
        <v>1</v>
      </c>
      <c r="AE9" s="517">
        <v>3800000</v>
      </c>
      <c r="AF9" s="518">
        <v>470</v>
      </c>
      <c r="AG9" s="552">
        <f>SUM(AE9/AF9)</f>
        <v>8085.1063829787236</v>
      </c>
      <c r="AH9" s="528">
        <v>1</v>
      </c>
      <c r="AI9" s="524">
        <v>3768000</v>
      </c>
      <c r="AJ9" s="525">
        <v>450</v>
      </c>
      <c r="AK9" s="555">
        <f>SUM(AI9/AJ9)</f>
        <v>8373.3333333333339</v>
      </c>
      <c r="AL9" s="541">
        <v>1</v>
      </c>
      <c r="AM9" s="131">
        <v>3980000</v>
      </c>
      <c r="AN9" s="542">
        <v>470</v>
      </c>
      <c r="AO9" s="560">
        <f>SUM(AM9/AN9)</f>
        <v>8468.0851063829796</v>
      </c>
      <c r="AP9" s="565">
        <v>1</v>
      </c>
      <c r="AQ9" s="73">
        <v>3800000</v>
      </c>
      <c r="AR9" s="74">
        <v>460</v>
      </c>
      <c r="AS9" s="566">
        <f>SUM(AQ9/AR9)</f>
        <v>8260.8695652173919</v>
      </c>
      <c r="AT9" s="569">
        <v>1</v>
      </c>
      <c r="AU9" s="475">
        <v>3650000</v>
      </c>
      <c r="AV9" s="492">
        <v>450</v>
      </c>
      <c r="AW9" s="570">
        <f>SUM(AU9/AV9)</f>
        <v>8111.1111111111113</v>
      </c>
    </row>
    <row r="10" spans="1:49" x14ac:dyDescent="0.25">
      <c r="B10" s="504">
        <v>2</v>
      </c>
      <c r="C10" s="484">
        <v>3800000</v>
      </c>
      <c r="D10" s="485">
        <v>470</v>
      </c>
      <c r="E10" s="505">
        <f t="shared" ref="E10:E38" si="0">SUM(C10/D10)</f>
        <v>8085.1063829787236</v>
      </c>
      <c r="F10" s="496">
        <v>2</v>
      </c>
      <c r="G10" s="491">
        <v>3700000</v>
      </c>
      <c r="H10" s="492">
        <v>465</v>
      </c>
      <c r="I10" s="497">
        <f t="shared" ref="I10:I39" si="1">G10/H10</f>
        <v>7956.989247311828</v>
      </c>
      <c r="J10" s="516">
        <v>2</v>
      </c>
      <c r="K10" s="517">
        <v>3890000</v>
      </c>
      <c r="L10" s="518">
        <v>465</v>
      </c>
      <c r="M10" s="519">
        <f t="shared" ref="M10:M38" si="2">SUM(K10/L10)</f>
        <v>8365.5913978494627</v>
      </c>
      <c r="N10" s="528">
        <v>2</v>
      </c>
      <c r="O10" s="524">
        <v>3760000</v>
      </c>
      <c r="P10" s="525">
        <v>465</v>
      </c>
      <c r="Q10" s="529">
        <f t="shared" ref="Q10:Q38" si="3">SUM(O10/P10)</f>
        <v>8086.0215053763441</v>
      </c>
      <c r="R10" s="541">
        <v>2</v>
      </c>
      <c r="S10" s="131">
        <v>3800000</v>
      </c>
      <c r="T10" s="542">
        <v>465</v>
      </c>
      <c r="U10" s="543">
        <f t="shared" ref="U10:U38" si="4">SUM(S10/T10)</f>
        <v>8172.0430107526881</v>
      </c>
      <c r="V10" s="504">
        <v>2</v>
      </c>
      <c r="W10" s="484">
        <v>3768000</v>
      </c>
      <c r="X10" s="485">
        <v>470</v>
      </c>
      <c r="Y10" s="505">
        <f t="shared" ref="Y10:Y39" si="5">SUM(W10/X10)</f>
        <v>8017.0212765957449</v>
      </c>
      <c r="Z10" s="496">
        <v>2</v>
      </c>
      <c r="AA10" s="491">
        <v>3890000</v>
      </c>
      <c r="AB10" s="492">
        <v>465</v>
      </c>
      <c r="AC10" s="497">
        <f t="shared" ref="AC10:AC39" si="6">AA10/AB10</f>
        <v>8365.5913978494627</v>
      </c>
      <c r="AD10" s="516">
        <v>2</v>
      </c>
      <c r="AE10" s="517">
        <v>3700000</v>
      </c>
      <c r="AF10" s="518">
        <v>460</v>
      </c>
      <c r="AG10" s="552">
        <f t="shared" ref="AG10:AG39" si="7">SUM(AE10/AF10)</f>
        <v>8043.478260869565</v>
      </c>
      <c r="AH10" s="528">
        <v>2</v>
      </c>
      <c r="AI10" s="524">
        <v>3890000</v>
      </c>
      <c r="AJ10" s="525">
        <v>490</v>
      </c>
      <c r="AK10" s="555">
        <f t="shared" ref="AK10:AK39" si="8">SUM(AI10/AJ10)</f>
        <v>7938.7755102040819</v>
      </c>
      <c r="AL10" s="541">
        <v>2</v>
      </c>
      <c r="AM10" s="131">
        <v>3760000</v>
      </c>
      <c r="AN10" s="542">
        <v>465</v>
      </c>
      <c r="AO10" s="560">
        <f t="shared" ref="AO10:AO38" si="9">SUM(AM10/AN10)</f>
        <v>8086.0215053763441</v>
      </c>
      <c r="AP10" s="565">
        <v>2</v>
      </c>
      <c r="AQ10" s="73">
        <v>3700000</v>
      </c>
      <c r="AR10" s="74">
        <v>450</v>
      </c>
      <c r="AS10" s="566">
        <f t="shared" ref="AS10:AS38" si="10">SUM(AQ10/AR10)</f>
        <v>8222.2222222222226</v>
      </c>
      <c r="AT10" s="569">
        <v>2</v>
      </c>
      <c r="AU10" s="475">
        <v>3876000</v>
      </c>
      <c r="AV10" s="492">
        <v>450</v>
      </c>
      <c r="AW10" s="570">
        <f t="shared" ref="AW10:AW39" si="11">SUM(AU10/AV10)</f>
        <v>8613.3333333333339</v>
      </c>
    </row>
    <row r="11" spans="1:49" x14ac:dyDescent="0.25">
      <c r="B11" s="504">
        <v>3</v>
      </c>
      <c r="C11" s="484">
        <v>3700000</v>
      </c>
      <c r="D11" s="485">
        <v>465</v>
      </c>
      <c r="E11" s="505">
        <f t="shared" si="0"/>
        <v>7956.989247311828</v>
      </c>
      <c r="F11" s="496">
        <v>3</v>
      </c>
      <c r="G11" s="491">
        <v>3980000</v>
      </c>
      <c r="H11" s="492">
        <v>490</v>
      </c>
      <c r="I11" s="497">
        <f t="shared" si="1"/>
        <v>8122.4489795918371</v>
      </c>
      <c r="J11" s="516">
        <v>3</v>
      </c>
      <c r="K11" s="517">
        <v>3800000</v>
      </c>
      <c r="L11" s="518">
        <v>490</v>
      </c>
      <c r="M11" s="519">
        <f t="shared" si="2"/>
        <v>7755.1020408163267</v>
      </c>
      <c r="N11" s="528">
        <v>3</v>
      </c>
      <c r="O11" s="524">
        <v>4100000</v>
      </c>
      <c r="P11" s="525">
        <v>490</v>
      </c>
      <c r="Q11" s="529">
        <f t="shared" si="3"/>
        <v>8367.3469387755104</v>
      </c>
      <c r="R11" s="541">
        <v>3</v>
      </c>
      <c r="S11" s="131">
        <v>3890000</v>
      </c>
      <c r="T11" s="542">
        <v>490</v>
      </c>
      <c r="U11" s="543">
        <f t="shared" si="4"/>
        <v>7938.7755102040819</v>
      </c>
      <c r="V11" s="504">
        <v>3</v>
      </c>
      <c r="W11" s="484">
        <v>3890000</v>
      </c>
      <c r="X11" s="485">
        <v>465</v>
      </c>
      <c r="Y11" s="505">
        <f t="shared" si="5"/>
        <v>8365.5913978494627</v>
      </c>
      <c r="Z11" s="496">
        <v>3</v>
      </c>
      <c r="AA11" s="491">
        <v>3800000</v>
      </c>
      <c r="AB11" s="492">
        <v>470</v>
      </c>
      <c r="AC11" s="497">
        <f t="shared" si="6"/>
        <v>8085.1063829787236</v>
      </c>
      <c r="AD11" s="516">
        <v>3</v>
      </c>
      <c r="AE11" s="517">
        <v>3950000</v>
      </c>
      <c r="AF11" s="518">
        <v>470</v>
      </c>
      <c r="AG11" s="552">
        <f t="shared" si="7"/>
        <v>8404.2553191489369</v>
      </c>
      <c r="AH11" s="528">
        <v>3</v>
      </c>
      <c r="AI11" s="524">
        <v>3890000</v>
      </c>
      <c r="AJ11" s="525">
        <v>480</v>
      </c>
      <c r="AK11" s="555">
        <f t="shared" si="8"/>
        <v>8104.166666666667</v>
      </c>
      <c r="AL11" s="541">
        <v>3</v>
      </c>
      <c r="AM11" s="131">
        <v>4100000</v>
      </c>
      <c r="AN11" s="542">
        <v>470</v>
      </c>
      <c r="AO11" s="560">
        <f t="shared" si="9"/>
        <v>8723.4042553191484</v>
      </c>
      <c r="AP11" s="565">
        <v>3</v>
      </c>
      <c r="AQ11" s="73">
        <v>3950000</v>
      </c>
      <c r="AR11" s="74">
        <v>489.87341772151899</v>
      </c>
      <c r="AS11" s="566">
        <f t="shared" si="10"/>
        <v>8063.3074935400518</v>
      </c>
      <c r="AT11" s="569">
        <v>3</v>
      </c>
      <c r="AU11" s="475">
        <v>3540000</v>
      </c>
      <c r="AV11" s="492">
        <v>450</v>
      </c>
      <c r="AW11" s="570">
        <f t="shared" si="11"/>
        <v>7866.666666666667</v>
      </c>
    </row>
    <row r="12" spans="1:49" x14ac:dyDescent="0.25">
      <c r="B12" s="504">
        <v>4</v>
      </c>
      <c r="C12" s="484">
        <v>3950000</v>
      </c>
      <c r="D12" s="485">
        <v>490</v>
      </c>
      <c r="E12" s="505">
        <f t="shared" si="0"/>
        <v>8061.2244897959181</v>
      </c>
      <c r="F12" s="496">
        <v>4</v>
      </c>
      <c r="G12" s="491">
        <v>3760000</v>
      </c>
      <c r="H12" s="492">
        <v>480</v>
      </c>
      <c r="I12" s="497">
        <f t="shared" si="1"/>
        <v>7833.333333333333</v>
      </c>
      <c r="J12" s="516">
        <v>4</v>
      </c>
      <c r="K12" s="517">
        <v>3700000</v>
      </c>
      <c r="L12" s="518">
        <v>480</v>
      </c>
      <c r="M12" s="519">
        <f t="shared" si="2"/>
        <v>7708.333333333333</v>
      </c>
      <c r="N12" s="528">
        <v>4</v>
      </c>
      <c r="O12" s="524">
        <v>3768000</v>
      </c>
      <c r="P12" s="525">
        <v>480</v>
      </c>
      <c r="Q12" s="529">
        <f t="shared" si="3"/>
        <v>7850</v>
      </c>
      <c r="R12" s="541">
        <v>4</v>
      </c>
      <c r="S12" s="131">
        <v>3890000</v>
      </c>
      <c r="T12" s="542">
        <v>480</v>
      </c>
      <c r="U12" s="543">
        <f t="shared" si="4"/>
        <v>8104.166666666667</v>
      </c>
      <c r="V12" s="504">
        <v>4</v>
      </c>
      <c r="W12" s="484">
        <v>3890000</v>
      </c>
      <c r="X12" s="485">
        <v>470</v>
      </c>
      <c r="Y12" s="505">
        <f t="shared" si="5"/>
        <v>8276.5957446808516</v>
      </c>
      <c r="Z12" s="496">
        <v>4</v>
      </c>
      <c r="AA12" s="491">
        <v>3700000</v>
      </c>
      <c r="AB12" s="492">
        <v>460</v>
      </c>
      <c r="AC12" s="497">
        <f t="shared" si="6"/>
        <v>8043.478260869565</v>
      </c>
      <c r="AD12" s="516">
        <v>4</v>
      </c>
      <c r="AE12" s="517">
        <v>3890000</v>
      </c>
      <c r="AF12" s="518">
        <v>460</v>
      </c>
      <c r="AG12" s="552">
        <f t="shared" si="7"/>
        <v>8456.5217391304341</v>
      </c>
      <c r="AH12" s="528">
        <v>4</v>
      </c>
      <c r="AI12" s="524">
        <v>3800000</v>
      </c>
      <c r="AJ12" s="525">
        <v>480</v>
      </c>
      <c r="AK12" s="555">
        <f t="shared" si="8"/>
        <v>7916.666666666667</v>
      </c>
      <c r="AL12" s="541">
        <v>4</v>
      </c>
      <c r="AM12" s="131">
        <v>3768000</v>
      </c>
      <c r="AN12" s="542">
        <v>460</v>
      </c>
      <c r="AO12" s="560">
        <f t="shared" si="9"/>
        <v>8191.304347826087</v>
      </c>
      <c r="AP12" s="565">
        <v>4</v>
      </c>
      <c r="AQ12" s="73">
        <v>3870000</v>
      </c>
      <c r="AR12" s="74">
        <v>480</v>
      </c>
      <c r="AS12" s="566">
        <f t="shared" si="10"/>
        <v>8062.5</v>
      </c>
      <c r="AT12" s="569">
        <v>4</v>
      </c>
      <c r="AU12" s="475">
        <v>4234000</v>
      </c>
      <c r="AV12" s="492">
        <v>485</v>
      </c>
      <c r="AW12" s="570">
        <f t="shared" si="11"/>
        <v>8729.8969072164946</v>
      </c>
    </row>
    <row r="13" spans="1:49" x14ac:dyDescent="0.25">
      <c r="B13" s="504">
        <v>5</v>
      </c>
      <c r="C13" s="484">
        <v>3870000</v>
      </c>
      <c r="D13" s="485">
        <v>480</v>
      </c>
      <c r="E13" s="505">
        <f t="shared" si="0"/>
        <v>8062.5</v>
      </c>
      <c r="F13" s="496">
        <v>5</v>
      </c>
      <c r="G13" s="491">
        <v>4100000</v>
      </c>
      <c r="H13" s="492">
        <v>495</v>
      </c>
      <c r="I13" s="497">
        <f t="shared" si="1"/>
        <v>8282.8282828282827</v>
      </c>
      <c r="J13" s="516">
        <v>5</v>
      </c>
      <c r="K13" s="517">
        <v>3950000</v>
      </c>
      <c r="L13" s="518">
        <v>495</v>
      </c>
      <c r="M13" s="519">
        <f t="shared" si="2"/>
        <v>7979.7979797979797</v>
      </c>
      <c r="N13" s="528">
        <v>5</v>
      </c>
      <c r="O13" s="524">
        <v>3890000</v>
      </c>
      <c r="P13" s="525">
        <v>495</v>
      </c>
      <c r="Q13" s="529">
        <f t="shared" si="3"/>
        <v>7858.5858585858587</v>
      </c>
      <c r="R13" s="541">
        <v>5</v>
      </c>
      <c r="S13" s="131">
        <v>3800000</v>
      </c>
      <c r="T13" s="542">
        <v>485</v>
      </c>
      <c r="U13" s="543">
        <f t="shared" si="4"/>
        <v>7835.0515463917527</v>
      </c>
      <c r="V13" s="504">
        <v>5</v>
      </c>
      <c r="W13" s="484">
        <v>3800000</v>
      </c>
      <c r="X13" s="485">
        <v>460</v>
      </c>
      <c r="Y13" s="505">
        <f t="shared" si="5"/>
        <v>8260.8695652173919</v>
      </c>
      <c r="Z13" s="496">
        <v>5</v>
      </c>
      <c r="AA13" s="491">
        <v>3950000</v>
      </c>
      <c r="AB13" s="492">
        <v>450</v>
      </c>
      <c r="AC13" s="497">
        <f t="shared" si="6"/>
        <v>8777.7777777777774</v>
      </c>
      <c r="AD13" s="516">
        <v>5</v>
      </c>
      <c r="AE13" s="517">
        <v>3890000</v>
      </c>
      <c r="AF13" s="518">
        <v>450</v>
      </c>
      <c r="AG13" s="552">
        <f t="shared" si="7"/>
        <v>8644.4444444444453</v>
      </c>
      <c r="AH13" s="528">
        <v>5</v>
      </c>
      <c r="AI13" s="524">
        <v>3700000</v>
      </c>
      <c r="AJ13" s="525">
        <v>470</v>
      </c>
      <c r="AK13" s="555">
        <f t="shared" si="8"/>
        <v>7872.3404255319147</v>
      </c>
      <c r="AL13" s="541">
        <v>5</v>
      </c>
      <c r="AM13" s="131">
        <v>3890000</v>
      </c>
      <c r="AN13" s="542">
        <v>450</v>
      </c>
      <c r="AO13" s="560">
        <f t="shared" si="9"/>
        <v>8644.4444444444453</v>
      </c>
      <c r="AP13" s="565">
        <v>5</v>
      </c>
      <c r="AQ13" s="73">
        <v>4100000</v>
      </c>
      <c r="AR13" s="74">
        <v>490</v>
      </c>
      <c r="AS13" s="566">
        <f t="shared" si="10"/>
        <v>8367.3469387755104</v>
      </c>
      <c r="AT13" s="569">
        <v>5</v>
      </c>
      <c r="AU13" s="475">
        <v>4100000</v>
      </c>
      <c r="AV13" s="492">
        <v>490</v>
      </c>
      <c r="AW13" s="570">
        <f t="shared" si="11"/>
        <v>8367.3469387755104</v>
      </c>
    </row>
    <row r="14" spans="1:49" x14ac:dyDescent="0.25">
      <c r="B14" s="504">
        <v>6</v>
      </c>
      <c r="C14" s="484">
        <v>4100000</v>
      </c>
      <c r="D14" s="485">
        <v>500</v>
      </c>
      <c r="E14" s="505">
        <f t="shared" si="0"/>
        <v>8200</v>
      </c>
      <c r="F14" s="496">
        <v>6</v>
      </c>
      <c r="G14" s="491">
        <v>3768000</v>
      </c>
      <c r="H14" s="492">
        <v>480</v>
      </c>
      <c r="I14" s="497">
        <f t="shared" si="1"/>
        <v>7850</v>
      </c>
      <c r="J14" s="516">
        <v>6</v>
      </c>
      <c r="K14" s="517">
        <v>3870000</v>
      </c>
      <c r="L14" s="518">
        <v>480</v>
      </c>
      <c r="M14" s="519">
        <f t="shared" si="2"/>
        <v>8062.5</v>
      </c>
      <c r="N14" s="528">
        <v>6</v>
      </c>
      <c r="O14" s="524">
        <v>3890000</v>
      </c>
      <c r="P14" s="525">
        <v>480</v>
      </c>
      <c r="Q14" s="529">
        <f t="shared" si="3"/>
        <v>8104.166666666667</v>
      </c>
      <c r="R14" s="541">
        <v>6</v>
      </c>
      <c r="S14" s="131">
        <v>3700000</v>
      </c>
      <c r="T14" s="542">
        <v>480</v>
      </c>
      <c r="U14" s="543">
        <f t="shared" si="4"/>
        <v>7708.333333333333</v>
      </c>
      <c r="V14" s="504">
        <v>6</v>
      </c>
      <c r="W14" s="484">
        <v>3700000</v>
      </c>
      <c r="X14" s="485">
        <v>450</v>
      </c>
      <c r="Y14" s="505">
        <f t="shared" si="5"/>
        <v>8222.2222222222226</v>
      </c>
      <c r="Z14" s="496">
        <v>6</v>
      </c>
      <c r="AA14" s="491">
        <v>3870000</v>
      </c>
      <c r="AB14" s="492">
        <v>480</v>
      </c>
      <c r="AC14" s="497">
        <f t="shared" si="6"/>
        <v>8062.5</v>
      </c>
      <c r="AD14" s="516">
        <v>6</v>
      </c>
      <c r="AE14" s="517">
        <v>3800000</v>
      </c>
      <c r="AF14" s="518">
        <v>465</v>
      </c>
      <c r="AG14" s="552">
        <f t="shared" si="7"/>
        <v>8172.0430107526881</v>
      </c>
      <c r="AH14" s="528">
        <v>6</v>
      </c>
      <c r="AI14" s="524">
        <v>3950000</v>
      </c>
      <c r="AJ14" s="525">
        <v>480</v>
      </c>
      <c r="AK14" s="555">
        <f t="shared" si="8"/>
        <v>8229.1666666666661</v>
      </c>
      <c r="AL14" s="541">
        <v>6</v>
      </c>
      <c r="AM14" s="131">
        <v>3890000</v>
      </c>
      <c r="AN14" s="542">
        <v>480</v>
      </c>
      <c r="AO14" s="560">
        <f t="shared" si="9"/>
        <v>8104.166666666667</v>
      </c>
      <c r="AP14" s="565">
        <v>6</v>
      </c>
      <c r="AQ14" s="73">
        <v>3980000</v>
      </c>
      <c r="AR14" s="74">
        <v>488.43187660668383</v>
      </c>
      <c r="AS14" s="566">
        <f t="shared" si="10"/>
        <v>8148.5263157894733</v>
      </c>
      <c r="AT14" s="569">
        <v>6</v>
      </c>
      <c r="AU14" s="475">
        <v>3760000</v>
      </c>
      <c r="AV14" s="492">
        <v>450</v>
      </c>
      <c r="AW14" s="570">
        <f t="shared" si="11"/>
        <v>8355.5555555555547</v>
      </c>
    </row>
    <row r="15" spans="1:49" x14ac:dyDescent="0.25">
      <c r="B15" s="504">
        <v>7</v>
      </c>
      <c r="C15" s="484">
        <v>3980000</v>
      </c>
      <c r="D15" s="485">
        <v>495</v>
      </c>
      <c r="E15" s="505">
        <f t="shared" si="0"/>
        <v>8040.4040404040406</v>
      </c>
      <c r="F15" s="496">
        <v>7</v>
      </c>
      <c r="G15" s="491">
        <v>3890000</v>
      </c>
      <c r="H15" s="492">
        <v>450</v>
      </c>
      <c r="I15" s="497">
        <f t="shared" si="1"/>
        <v>8644.4444444444453</v>
      </c>
      <c r="J15" s="516">
        <v>7</v>
      </c>
      <c r="K15" s="517">
        <v>3768000</v>
      </c>
      <c r="L15" s="518">
        <v>450</v>
      </c>
      <c r="M15" s="519">
        <f t="shared" si="2"/>
        <v>8373.3333333333339</v>
      </c>
      <c r="N15" s="528">
        <v>7</v>
      </c>
      <c r="O15" s="524">
        <v>3800000</v>
      </c>
      <c r="P15" s="525">
        <v>450</v>
      </c>
      <c r="Q15" s="529">
        <f t="shared" si="3"/>
        <v>8444.4444444444453</v>
      </c>
      <c r="R15" s="541">
        <v>7</v>
      </c>
      <c r="S15" s="131">
        <v>3950000</v>
      </c>
      <c r="T15" s="542">
        <v>450</v>
      </c>
      <c r="U15" s="543">
        <f t="shared" si="4"/>
        <v>8777.7777777777774</v>
      </c>
      <c r="V15" s="504">
        <v>7</v>
      </c>
      <c r="W15" s="484">
        <v>3950000</v>
      </c>
      <c r="X15" s="485">
        <v>480</v>
      </c>
      <c r="Y15" s="505">
        <f t="shared" si="5"/>
        <v>8229.1666666666661</v>
      </c>
      <c r="Z15" s="496">
        <v>7</v>
      </c>
      <c r="AA15" s="491">
        <v>3768000</v>
      </c>
      <c r="AB15" s="492">
        <v>450</v>
      </c>
      <c r="AC15" s="497">
        <f t="shared" si="6"/>
        <v>8373.3333333333339</v>
      </c>
      <c r="AD15" s="516">
        <v>7</v>
      </c>
      <c r="AE15" s="517">
        <v>3700000</v>
      </c>
      <c r="AF15" s="518">
        <v>460</v>
      </c>
      <c r="AG15" s="552">
        <f t="shared" si="7"/>
        <v>8043.478260869565</v>
      </c>
      <c r="AH15" s="528">
        <v>7</v>
      </c>
      <c r="AI15" s="524">
        <v>3870000</v>
      </c>
      <c r="AJ15" s="525">
        <v>470</v>
      </c>
      <c r="AK15" s="555">
        <f t="shared" si="8"/>
        <v>8234.0425531914898</v>
      </c>
      <c r="AL15" s="541">
        <v>7</v>
      </c>
      <c r="AM15" s="131">
        <v>3800000</v>
      </c>
      <c r="AN15" s="542">
        <v>450</v>
      </c>
      <c r="AO15" s="560">
        <f t="shared" si="9"/>
        <v>8444.4444444444453</v>
      </c>
      <c r="AP15" s="565">
        <v>7</v>
      </c>
      <c r="AQ15" s="73">
        <v>3890000</v>
      </c>
      <c r="AR15" s="74">
        <v>470</v>
      </c>
      <c r="AS15" s="566">
        <f t="shared" si="10"/>
        <v>8276.5957446808516</v>
      </c>
      <c r="AT15" s="569">
        <v>7</v>
      </c>
      <c r="AU15" s="475">
        <v>4050000</v>
      </c>
      <c r="AV15" s="492">
        <v>520</v>
      </c>
      <c r="AW15" s="570">
        <f t="shared" si="11"/>
        <v>7788.4615384615381</v>
      </c>
    </row>
    <row r="16" spans="1:49" x14ac:dyDescent="0.25">
      <c r="B16" s="504">
        <v>8</v>
      </c>
      <c r="C16" s="484">
        <v>3760000</v>
      </c>
      <c r="D16" s="485">
        <v>450</v>
      </c>
      <c r="E16" s="505">
        <f t="shared" si="0"/>
        <v>8355.5555555555547</v>
      </c>
      <c r="F16" s="496">
        <v>8</v>
      </c>
      <c r="G16" s="491">
        <v>3890000</v>
      </c>
      <c r="H16" s="492">
        <v>480</v>
      </c>
      <c r="I16" s="497">
        <f t="shared" si="1"/>
        <v>8104.166666666667</v>
      </c>
      <c r="J16" s="516">
        <v>8</v>
      </c>
      <c r="K16" s="517">
        <v>3890000</v>
      </c>
      <c r="L16" s="518">
        <v>480</v>
      </c>
      <c r="M16" s="519">
        <f t="shared" si="2"/>
        <v>8104.166666666667</v>
      </c>
      <c r="N16" s="528">
        <v>8</v>
      </c>
      <c r="O16" s="524">
        <v>3700000</v>
      </c>
      <c r="P16" s="525">
        <v>480</v>
      </c>
      <c r="Q16" s="529">
        <f t="shared" si="3"/>
        <v>7708.333333333333</v>
      </c>
      <c r="R16" s="541">
        <v>8</v>
      </c>
      <c r="S16" s="131">
        <v>3870000</v>
      </c>
      <c r="T16" s="542">
        <v>480</v>
      </c>
      <c r="U16" s="543">
        <f t="shared" si="4"/>
        <v>8062.5</v>
      </c>
      <c r="V16" s="504">
        <v>8</v>
      </c>
      <c r="W16" s="484">
        <v>3870000</v>
      </c>
      <c r="X16" s="485">
        <v>450</v>
      </c>
      <c r="Y16" s="505">
        <f t="shared" si="5"/>
        <v>8600</v>
      </c>
      <c r="Z16" s="496">
        <v>8</v>
      </c>
      <c r="AA16" s="491">
        <v>3890000</v>
      </c>
      <c r="AB16" s="492">
        <v>510</v>
      </c>
      <c r="AC16" s="497">
        <f t="shared" si="6"/>
        <v>7627.4509803921565</v>
      </c>
      <c r="AD16" s="516">
        <v>8</v>
      </c>
      <c r="AE16" s="517">
        <v>3950000</v>
      </c>
      <c r="AF16" s="518">
        <v>480</v>
      </c>
      <c r="AG16" s="552">
        <f t="shared" si="7"/>
        <v>8229.1666666666661</v>
      </c>
      <c r="AH16" s="528">
        <v>8</v>
      </c>
      <c r="AI16" s="524">
        <v>3768000</v>
      </c>
      <c r="AJ16" s="525">
        <v>470</v>
      </c>
      <c r="AK16" s="555">
        <f t="shared" si="8"/>
        <v>8017.0212765957449</v>
      </c>
      <c r="AL16" s="541">
        <v>8</v>
      </c>
      <c r="AM16" s="131">
        <v>3700000</v>
      </c>
      <c r="AN16" s="542">
        <v>460</v>
      </c>
      <c r="AO16" s="560">
        <f t="shared" si="9"/>
        <v>8043.478260869565</v>
      </c>
      <c r="AP16" s="565">
        <v>8</v>
      </c>
      <c r="AQ16" s="73">
        <v>3890000</v>
      </c>
      <c r="AR16" s="74">
        <v>480</v>
      </c>
      <c r="AS16" s="566">
        <f t="shared" si="10"/>
        <v>8104.166666666667</v>
      </c>
      <c r="AT16" s="569">
        <v>8</v>
      </c>
      <c r="AU16" s="491">
        <v>3700000</v>
      </c>
      <c r="AV16" s="492">
        <v>450</v>
      </c>
      <c r="AW16" s="570">
        <f t="shared" si="11"/>
        <v>8222.2222222222226</v>
      </c>
    </row>
    <row r="17" spans="2:49" x14ac:dyDescent="0.25">
      <c r="B17" s="504">
        <v>9</v>
      </c>
      <c r="C17" s="484">
        <v>4100000</v>
      </c>
      <c r="D17" s="485">
        <v>510</v>
      </c>
      <c r="E17" s="505">
        <f t="shared" si="0"/>
        <v>8039.2156862745096</v>
      </c>
      <c r="F17" s="496">
        <v>9</v>
      </c>
      <c r="G17" s="491">
        <v>3768000</v>
      </c>
      <c r="H17" s="492">
        <v>460</v>
      </c>
      <c r="I17" s="497">
        <f t="shared" si="1"/>
        <v>8191.304347826087</v>
      </c>
      <c r="J17" s="516">
        <v>9</v>
      </c>
      <c r="K17" s="517">
        <v>3890000</v>
      </c>
      <c r="L17" s="518">
        <v>460</v>
      </c>
      <c r="M17" s="519">
        <f t="shared" si="2"/>
        <v>8456.5217391304341</v>
      </c>
      <c r="N17" s="528">
        <v>9</v>
      </c>
      <c r="O17" s="524">
        <v>3950000</v>
      </c>
      <c r="P17" s="525">
        <v>460</v>
      </c>
      <c r="Q17" s="529">
        <f t="shared" si="3"/>
        <v>8586.95652173913</v>
      </c>
      <c r="R17" s="541">
        <v>9</v>
      </c>
      <c r="S17" s="131">
        <v>3768000</v>
      </c>
      <c r="T17" s="542">
        <v>460</v>
      </c>
      <c r="U17" s="543">
        <f t="shared" si="4"/>
        <v>8191.304347826087</v>
      </c>
      <c r="V17" s="504">
        <v>9</v>
      </c>
      <c r="W17" s="484">
        <v>4100000</v>
      </c>
      <c r="X17" s="485">
        <v>510</v>
      </c>
      <c r="Y17" s="505">
        <f t="shared" si="5"/>
        <v>8039.2156862745096</v>
      </c>
      <c r="Z17" s="496">
        <v>9</v>
      </c>
      <c r="AA17" s="491">
        <v>3890000</v>
      </c>
      <c r="AB17" s="492">
        <v>460</v>
      </c>
      <c r="AC17" s="497">
        <f t="shared" si="6"/>
        <v>8456.5217391304341</v>
      </c>
      <c r="AD17" s="516">
        <v>9</v>
      </c>
      <c r="AE17" s="517">
        <v>3870000</v>
      </c>
      <c r="AF17" s="518">
        <v>450</v>
      </c>
      <c r="AG17" s="552">
        <f t="shared" si="7"/>
        <v>8600</v>
      </c>
      <c r="AH17" s="528">
        <v>9</v>
      </c>
      <c r="AI17" s="524">
        <v>3890000</v>
      </c>
      <c r="AJ17" s="525">
        <v>465</v>
      </c>
      <c r="AK17" s="555">
        <f t="shared" si="8"/>
        <v>8365.5913978494627</v>
      </c>
      <c r="AL17" s="541">
        <v>9</v>
      </c>
      <c r="AM17" s="131">
        <v>3950000</v>
      </c>
      <c r="AN17" s="542">
        <v>460</v>
      </c>
      <c r="AO17" s="560">
        <f t="shared" si="9"/>
        <v>8586.95652173913</v>
      </c>
      <c r="AP17" s="565">
        <v>9</v>
      </c>
      <c r="AQ17" s="73">
        <v>3800000</v>
      </c>
      <c r="AR17" s="74">
        <v>460</v>
      </c>
      <c r="AS17" s="566">
        <f t="shared" si="10"/>
        <v>8260.8695652173919</v>
      </c>
      <c r="AT17" s="569">
        <v>9</v>
      </c>
      <c r="AU17" s="491">
        <v>3950000</v>
      </c>
      <c r="AV17" s="492">
        <v>473.36683417085425</v>
      </c>
      <c r="AW17" s="570">
        <f t="shared" si="11"/>
        <v>8344.4798301486207</v>
      </c>
    </row>
    <row r="18" spans="2:49" x14ac:dyDescent="0.25">
      <c r="B18" s="504">
        <v>10</v>
      </c>
      <c r="C18" s="484">
        <v>3768000</v>
      </c>
      <c r="D18" s="485">
        <v>460</v>
      </c>
      <c r="E18" s="505">
        <f t="shared" si="0"/>
        <v>8191.304347826087</v>
      </c>
      <c r="F18" s="496">
        <v>10</v>
      </c>
      <c r="G18" s="491">
        <v>3890000</v>
      </c>
      <c r="H18" s="492">
        <v>490</v>
      </c>
      <c r="I18" s="497">
        <f t="shared" si="1"/>
        <v>7938.7755102040819</v>
      </c>
      <c r="J18" s="516">
        <v>10</v>
      </c>
      <c r="K18" s="517">
        <v>3800000</v>
      </c>
      <c r="L18" s="518">
        <v>470</v>
      </c>
      <c r="M18" s="519">
        <f t="shared" si="2"/>
        <v>8085.1063829787236</v>
      </c>
      <c r="N18" s="528">
        <v>10</v>
      </c>
      <c r="O18" s="524">
        <v>3870000</v>
      </c>
      <c r="P18" s="525">
        <v>470</v>
      </c>
      <c r="Q18" s="529">
        <f t="shared" si="3"/>
        <v>8234.0425531914898</v>
      </c>
      <c r="R18" s="541">
        <v>10</v>
      </c>
      <c r="S18" s="131">
        <v>3890000</v>
      </c>
      <c r="T18" s="542">
        <v>470</v>
      </c>
      <c r="U18" s="543">
        <f t="shared" si="4"/>
        <v>8276.5957446808516</v>
      </c>
      <c r="V18" s="504">
        <v>10</v>
      </c>
      <c r="W18" s="484">
        <v>3980000</v>
      </c>
      <c r="X18" s="485">
        <v>460</v>
      </c>
      <c r="Y18" s="505">
        <f t="shared" si="5"/>
        <v>8652.173913043478</v>
      </c>
      <c r="Z18" s="496">
        <v>10</v>
      </c>
      <c r="AA18" s="491">
        <v>3800000</v>
      </c>
      <c r="AB18" s="492">
        <v>465</v>
      </c>
      <c r="AC18" s="497">
        <f t="shared" si="6"/>
        <v>8172.0430107526881</v>
      </c>
      <c r="AD18" s="516">
        <v>10</v>
      </c>
      <c r="AE18" s="517">
        <v>3768000</v>
      </c>
      <c r="AF18" s="518">
        <v>480</v>
      </c>
      <c r="AG18" s="552">
        <f t="shared" si="7"/>
        <v>7850</v>
      </c>
      <c r="AH18" s="528">
        <v>10</v>
      </c>
      <c r="AI18" s="524">
        <v>3890000</v>
      </c>
      <c r="AJ18" s="525">
        <v>450</v>
      </c>
      <c r="AK18" s="555">
        <f t="shared" si="8"/>
        <v>8644.4444444444453</v>
      </c>
      <c r="AL18" s="541">
        <v>10</v>
      </c>
      <c r="AM18" s="131">
        <v>3870000</v>
      </c>
      <c r="AN18" s="542">
        <v>465</v>
      </c>
      <c r="AO18" s="560">
        <f t="shared" si="9"/>
        <v>8322.5806451612898</v>
      </c>
      <c r="AP18" s="565">
        <v>10</v>
      </c>
      <c r="AQ18" s="73">
        <v>3700000</v>
      </c>
      <c r="AR18" s="74">
        <v>460</v>
      </c>
      <c r="AS18" s="566">
        <f t="shared" si="10"/>
        <v>8043.478260869565</v>
      </c>
      <c r="AT18" s="569">
        <v>10</v>
      </c>
      <c r="AU18" s="491">
        <v>3870000</v>
      </c>
      <c r="AV18" s="492">
        <v>480</v>
      </c>
      <c r="AW18" s="570">
        <f t="shared" si="11"/>
        <v>8062.5</v>
      </c>
    </row>
    <row r="19" spans="2:49" x14ac:dyDescent="0.25">
      <c r="B19" s="504">
        <v>11</v>
      </c>
      <c r="C19" s="484">
        <v>3890000</v>
      </c>
      <c r="D19" s="485">
        <v>480</v>
      </c>
      <c r="E19" s="505">
        <f t="shared" si="0"/>
        <v>8104.166666666667</v>
      </c>
      <c r="F19" s="496">
        <v>11</v>
      </c>
      <c r="G19" s="491">
        <v>3890000</v>
      </c>
      <c r="H19" s="492">
        <v>489.87341772151899</v>
      </c>
      <c r="I19" s="497">
        <f t="shared" si="1"/>
        <v>7940.8268733850127</v>
      </c>
      <c r="J19" s="516">
        <v>11</v>
      </c>
      <c r="K19" s="517">
        <v>3700000</v>
      </c>
      <c r="L19" s="518">
        <v>480</v>
      </c>
      <c r="M19" s="519">
        <f t="shared" si="2"/>
        <v>7708.333333333333</v>
      </c>
      <c r="N19" s="528">
        <v>11</v>
      </c>
      <c r="O19" s="524">
        <v>4100000</v>
      </c>
      <c r="P19" s="525">
        <v>480</v>
      </c>
      <c r="Q19" s="529">
        <f t="shared" si="3"/>
        <v>8541.6666666666661</v>
      </c>
      <c r="R19" s="541">
        <v>11</v>
      </c>
      <c r="S19" s="131">
        <v>3890000</v>
      </c>
      <c r="T19" s="542">
        <v>489.87341772151899</v>
      </c>
      <c r="U19" s="543">
        <f t="shared" si="4"/>
        <v>7940.8268733850127</v>
      </c>
      <c r="V19" s="504">
        <v>11</v>
      </c>
      <c r="W19" s="484">
        <v>3768000</v>
      </c>
      <c r="X19" s="485">
        <v>465</v>
      </c>
      <c r="Y19" s="505">
        <f t="shared" si="5"/>
        <v>8103.2258064516127</v>
      </c>
      <c r="Z19" s="496">
        <v>11</v>
      </c>
      <c r="AA19" s="491">
        <v>3700000</v>
      </c>
      <c r="AB19" s="492">
        <v>465</v>
      </c>
      <c r="AC19" s="497">
        <f t="shared" si="6"/>
        <v>7956.989247311828</v>
      </c>
      <c r="AD19" s="516">
        <v>11</v>
      </c>
      <c r="AE19" s="517">
        <v>3890000</v>
      </c>
      <c r="AF19" s="518">
        <v>450</v>
      </c>
      <c r="AG19" s="552">
        <f t="shared" si="7"/>
        <v>8644.4444444444453</v>
      </c>
      <c r="AH19" s="528">
        <v>11</v>
      </c>
      <c r="AI19" s="524">
        <v>3800000</v>
      </c>
      <c r="AJ19" s="525">
        <v>470</v>
      </c>
      <c r="AK19" s="555">
        <f t="shared" si="8"/>
        <v>8085.1063829787236</v>
      </c>
      <c r="AL19" s="541">
        <v>11</v>
      </c>
      <c r="AM19" s="131">
        <v>4100000</v>
      </c>
      <c r="AN19" s="542">
        <v>465</v>
      </c>
      <c r="AO19" s="560">
        <f t="shared" si="9"/>
        <v>8817.2043010752695</v>
      </c>
      <c r="AP19" s="565">
        <v>11</v>
      </c>
      <c r="AQ19" s="73">
        <v>3950000</v>
      </c>
      <c r="AR19" s="74">
        <v>460</v>
      </c>
      <c r="AS19" s="566">
        <f t="shared" si="10"/>
        <v>8586.95652173913</v>
      </c>
      <c r="AT19" s="569">
        <v>11</v>
      </c>
      <c r="AU19" s="491">
        <v>4100000</v>
      </c>
      <c r="AV19" s="492">
        <v>470</v>
      </c>
      <c r="AW19" s="570">
        <f t="shared" si="11"/>
        <v>8723.4042553191484</v>
      </c>
    </row>
    <row r="20" spans="2:49" x14ac:dyDescent="0.25">
      <c r="B20" s="504">
        <v>12</v>
      </c>
      <c r="C20" s="484">
        <v>3890000</v>
      </c>
      <c r="D20" s="485">
        <v>450</v>
      </c>
      <c r="E20" s="505">
        <f t="shared" si="0"/>
        <v>8644.4444444444453</v>
      </c>
      <c r="F20" s="496">
        <v>12</v>
      </c>
      <c r="G20" s="491">
        <v>3800000</v>
      </c>
      <c r="H20" s="492">
        <v>480</v>
      </c>
      <c r="I20" s="497">
        <f t="shared" si="1"/>
        <v>7916.666666666667</v>
      </c>
      <c r="J20" s="516">
        <v>12</v>
      </c>
      <c r="K20" s="517">
        <v>3980000</v>
      </c>
      <c r="L20" s="518">
        <v>500</v>
      </c>
      <c r="M20" s="519">
        <f t="shared" si="2"/>
        <v>7960</v>
      </c>
      <c r="N20" s="528">
        <v>12</v>
      </c>
      <c r="O20" s="524">
        <v>3980000</v>
      </c>
      <c r="P20" s="525">
        <v>480</v>
      </c>
      <c r="Q20" s="529">
        <f t="shared" si="3"/>
        <v>8291.6666666666661</v>
      </c>
      <c r="R20" s="541">
        <v>12</v>
      </c>
      <c r="S20" s="131">
        <v>3800000</v>
      </c>
      <c r="T20" s="542">
        <v>480</v>
      </c>
      <c r="U20" s="543">
        <f t="shared" si="4"/>
        <v>7916.666666666667</v>
      </c>
      <c r="V20" s="504">
        <v>12</v>
      </c>
      <c r="W20" s="484">
        <v>3950000</v>
      </c>
      <c r="X20" s="485">
        <v>450</v>
      </c>
      <c r="Y20" s="505">
        <f t="shared" si="5"/>
        <v>8777.7777777777774</v>
      </c>
      <c r="Z20" s="496">
        <v>12</v>
      </c>
      <c r="AA20" s="491">
        <v>3980000</v>
      </c>
      <c r="AB20" s="492">
        <v>480</v>
      </c>
      <c r="AC20" s="497">
        <f t="shared" si="6"/>
        <v>8291.6666666666661</v>
      </c>
      <c r="AD20" s="516">
        <v>12</v>
      </c>
      <c r="AE20" s="517">
        <v>3890000</v>
      </c>
      <c r="AF20" s="518">
        <v>480</v>
      </c>
      <c r="AG20" s="552">
        <f t="shared" si="7"/>
        <v>8104.166666666667</v>
      </c>
      <c r="AH20" s="528">
        <v>12</v>
      </c>
      <c r="AI20" s="524">
        <v>3700000</v>
      </c>
      <c r="AJ20" s="525">
        <v>460</v>
      </c>
      <c r="AK20" s="555">
        <f t="shared" si="8"/>
        <v>8043.478260869565</v>
      </c>
      <c r="AL20" s="541">
        <v>12</v>
      </c>
      <c r="AM20" s="131">
        <v>3980000</v>
      </c>
      <c r="AN20" s="542">
        <v>480</v>
      </c>
      <c r="AO20" s="560">
        <f t="shared" si="9"/>
        <v>8291.6666666666661</v>
      </c>
      <c r="AP20" s="565">
        <v>12</v>
      </c>
      <c r="AQ20" s="73">
        <v>3870000</v>
      </c>
      <c r="AR20" s="74">
        <v>450</v>
      </c>
      <c r="AS20" s="566">
        <f t="shared" si="10"/>
        <v>8600</v>
      </c>
      <c r="AT20" s="569">
        <v>12</v>
      </c>
      <c r="AU20" s="491">
        <v>3700000</v>
      </c>
      <c r="AV20" s="492">
        <v>450</v>
      </c>
      <c r="AW20" s="570">
        <f t="shared" si="11"/>
        <v>8222.2222222222226</v>
      </c>
    </row>
    <row r="21" spans="2:49" x14ac:dyDescent="0.25">
      <c r="B21" s="504">
        <v>13</v>
      </c>
      <c r="C21" s="484">
        <v>3800000</v>
      </c>
      <c r="D21" s="485">
        <v>480</v>
      </c>
      <c r="E21" s="505">
        <f t="shared" si="0"/>
        <v>7916.666666666667</v>
      </c>
      <c r="F21" s="496">
        <v>13</v>
      </c>
      <c r="G21" s="491">
        <v>3700000</v>
      </c>
      <c r="H21" s="492">
        <v>470</v>
      </c>
      <c r="I21" s="497">
        <f t="shared" si="1"/>
        <v>7872.3404255319147</v>
      </c>
      <c r="J21" s="516">
        <v>13</v>
      </c>
      <c r="K21" s="517">
        <v>3760000</v>
      </c>
      <c r="L21" s="518">
        <v>460</v>
      </c>
      <c r="M21" s="519">
        <f t="shared" si="2"/>
        <v>8173.913043478261</v>
      </c>
      <c r="N21" s="528">
        <v>13</v>
      </c>
      <c r="O21" s="524">
        <v>3768000</v>
      </c>
      <c r="P21" s="525">
        <v>450</v>
      </c>
      <c r="Q21" s="529">
        <f t="shared" si="3"/>
        <v>8373.3333333333339</v>
      </c>
      <c r="R21" s="541">
        <v>13</v>
      </c>
      <c r="S21" s="131">
        <v>3700000</v>
      </c>
      <c r="T21" s="542">
        <v>450</v>
      </c>
      <c r="U21" s="543">
        <f t="shared" si="4"/>
        <v>8222.2222222222226</v>
      </c>
      <c r="V21" s="504">
        <v>13</v>
      </c>
      <c r="W21" s="484">
        <v>3768000</v>
      </c>
      <c r="X21" s="485">
        <v>470</v>
      </c>
      <c r="Y21" s="505">
        <f t="shared" si="5"/>
        <v>8017.0212765957449</v>
      </c>
      <c r="Z21" s="496">
        <v>13</v>
      </c>
      <c r="AA21" s="491">
        <v>3890000</v>
      </c>
      <c r="AB21" s="492">
        <v>500</v>
      </c>
      <c r="AC21" s="497">
        <f t="shared" si="6"/>
        <v>7780</v>
      </c>
      <c r="AD21" s="516">
        <v>13</v>
      </c>
      <c r="AE21" s="517">
        <v>3800000</v>
      </c>
      <c r="AF21" s="518">
        <v>460</v>
      </c>
      <c r="AG21" s="552">
        <f t="shared" si="7"/>
        <v>8260.8695652173919</v>
      </c>
      <c r="AH21" s="528">
        <v>13</v>
      </c>
      <c r="AI21" s="524">
        <v>3950000</v>
      </c>
      <c r="AJ21" s="525">
        <v>450</v>
      </c>
      <c r="AK21" s="555">
        <f t="shared" si="8"/>
        <v>8777.7777777777774</v>
      </c>
      <c r="AL21" s="541">
        <v>13</v>
      </c>
      <c r="AM21" s="131">
        <v>3768000</v>
      </c>
      <c r="AN21" s="542">
        <v>500</v>
      </c>
      <c r="AO21" s="560">
        <f t="shared" si="9"/>
        <v>7536</v>
      </c>
      <c r="AP21" s="565">
        <v>13</v>
      </c>
      <c r="AQ21" s="73">
        <v>4200000</v>
      </c>
      <c r="AR21" s="74">
        <v>480</v>
      </c>
      <c r="AS21" s="566">
        <f t="shared" si="10"/>
        <v>8750</v>
      </c>
      <c r="AT21" s="569">
        <v>13</v>
      </c>
      <c r="AU21" s="491">
        <v>3950000</v>
      </c>
      <c r="AV21" s="492">
        <v>470</v>
      </c>
      <c r="AW21" s="570">
        <f t="shared" si="11"/>
        <v>8404.2553191489369</v>
      </c>
    </row>
    <row r="22" spans="2:49" x14ac:dyDescent="0.25">
      <c r="B22" s="504">
        <v>14</v>
      </c>
      <c r="C22" s="484">
        <v>3700000</v>
      </c>
      <c r="D22" s="485">
        <v>460</v>
      </c>
      <c r="E22" s="505">
        <f t="shared" si="0"/>
        <v>8043.478260869565</v>
      </c>
      <c r="F22" s="496">
        <v>14</v>
      </c>
      <c r="G22" s="491">
        <v>3950000</v>
      </c>
      <c r="H22" s="492">
        <v>488.43187660668383</v>
      </c>
      <c r="I22" s="497">
        <f t="shared" si="1"/>
        <v>8087.1052631578941</v>
      </c>
      <c r="J22" s="516">
        <v>14</v>
      </c>
      <c r="K22" s="517">
        <v>4100000</v>
      </c>
      <c r="L22" s="518">
        <v>510</v>
      </c>
      <c r="M22" s="519">
        <f t="shared" si="2"/>
        <v>8039.2156862745096</v>
      </c>
      <c r="N22" s="528">
        <v>14</v>
      </c>
      <c r="O22" s="524">
        <v>3950000</v>
      </c>
      <c r="P22" s="525">
        <v>480</v>
      </c>
      <c r="Q22" s="529">
        <f t="shared" si="3"/>
        <v>8229.1666666666661</v>
      </c>
      <c r="R22" s="541">
        <v>14</v>
      </c>
      <c r="S22" s="131">
        <v>3980000</v>
      </c>
      <c r="T22" s="542">
        <v>488.43187660668383</v>
      </c>
      <c r="U22" s="543">
        <f t="shared" si="4"/>
        <v>8148.5263157894733</v>
      </c>
      <c r="V22" s="504">
        <v>14</v>
      </c>
      <c r="W22" s="484">
        <v>3890000</v>
      </c>
      <c r="X22" s="485">
        <v>465</v>
      </c>
      <c r="Y22" s="505">
        <f t="shared" si="5"/>
        <v>8365.5913978494627</v>
      </c>
      <c r="Z22" s="496">
        <v>14</v>
      </c>
      <c r="AA22" s="491">
        <v>3890000</v>
      </c>
      <c r="AB22" s="492">
        <v>480</v>
      </c>
      <c r="AC22" s="497">
        <f t="shared" si="6"/>
        <v>8104.166666666667</v>
      </c>
      <c r="AD22" s="516">
        <v>14</v>
      </c>
      <c r="AE22" s="517">
        <v>3700000</v>
      </c>
      <c r="AF22" s="518">
        <v>470</v>
      </c>
      <c r="AG22" s="552">
        <f t="shared" si="7"/>
        <v>7872.3404255319147</v>
      </c>
      <c r="AH22" s="528">
        <v>14</v>
      </c>
      <c r="AI22" s="524">
        <v>3870000</v>
      </c>
      <c r="AJ22" s="525">
        <v>460</v>
      </c>
      <c r="AK22" s="555">
        <f t="shared" si="8"/>
        <v>8413.04347826087</v>
      </c>
      <c r="AL22" s="541">
        <v>14</v>
      </c>
      <c r="AM22" s="131">
        <v>3950000</v>
      </c>
      <c r="AN22" s="542">
        <v>480</v>
      </c>
      <c r="AO22" s="560">
        <f t="shared" si="9"/>
        <v>8229.1666666666661</v>
      </c>
      <c r="AP22" s="565">
        <v>14</v>
      </c>
      <c r="AQ22" s="73">
        <v>3800000</v>
      </c>
      <c r="AR22" s="74">
        <v>460</v>
      </c>
      <c r="AS22" s="566">
        <f t="shared" si="10"/>
        <v>8260.8695652173919</v>
      </c>
      <c r="AT22" s="569">
        <v>14</v>
      </c>
      <c r="AU22" s="491">
        <v>3870000</v>
      </c>
      <c r="AV22" s="492">
        <v>450</v>
      </c>
      <c r="AW22" s="570">
        <f t="shared" si="11"/>
        <v>8600</v>
      </c>
    </row>
    <row r="23" spans="2:49" x14ac:dyDescent="0.25">
      <c r="B23" s="504">
        <v>15</v>
      </c>
      <c r="C23" s="484">
        <v>3950000</v>
      </c>
      <c r="D23" s="485">
        <v>490</v>
      </c>
      <c r="E23" s="505">
        <f t="shared" si="0"/>
        <v>8061.2244897959181</v>
      </c>
      <c r="F23" s="496">
        <v>15</v>
      </c>
      <c r="G23" s="491">
        <v>3870000</v>
      </c>
      <c r="H23" s="492">
        <v>470</v>
      </c>
      <c r="I23" s="497">
        <f t="shared" si="1"/>
        <v>8234.0425531914898</v>
      </c>
      <c r="J23" s="516">
        <v>15</v>
      </c>
      <c r="K23" s="517">
        <v>3768000</v>
      </c>
      <c r="L23" s="518">
        <v>480</v>
      </c>
      <c r="M23" s="519">
        <f t="shared" si="2"/>
        <v>7850</v>
      </c>
      <c r="N23" s="528">
        <v>15</v>
      </c>
      <c r="O23" s="524">
        <v>3768000</v>
      </c>
      <c r="P23" s="525">
        <v>460</v>
      </c>
      <c r="Q23" s="529">
        <f t="shared" si="3"/>
        <v>8191.304347826087</v>
      </c>
      <c r="R23" s="541">
        <v>15</v>
      </c>
      <c r="S23" s="131">
        <v>3950000</v>
      </c>
      <c r="T23" s="542">
        <v>470</v>
      </c>
      <c r="U23" s="543">
        <f t="shared" si="4"/>
        <v>8404.2553191489369</v>
      </c>
      <c r="V23" s="504">
        <v>15</v>
      </c>
      <c r="W23" s="484">
        <v>3890000</v>
      </c>
      <c r="X23" s="485">
        <v>490</v>
      </c>
      <c r="Y23" s="505">
        <f t="shared" si="5"/>
        <v>7938.7755102040819</v>
      </c>
      <c r="Z23" s="496">
        <v>15</v>
      </c>
      <c r="AA23" s="491">
        <v>3800000</v>
      </c>
      <c r="AB23" s="492">
        <v>460</v>
      </c>
      <c r="AC23" s="497">
        <f t="shared" si="6"/>
        <v>8260.8695652173919</v>
      </c>
      <c r="AD23" s="516">
        <v>15</v>
      </c>
      <c r="AE23" s="517">
        <v>3800000</v>
      </c>
      <c r="AF23" s="518">
        <v>489.87341772151899</v>
      </c>
      <c r="AG23" s="552">
        <f t="shared" si="7"/>
        <v>7757.1059431524545</v>
      </c>
      <c r="AH23" s="528">
        <v>15</v>
      </c>
      <c r="AI23" s="524">
        <v>4200000</v>
      </c>
      <c r="AJ23" s="525">
        <v>470</v>
      </c>
      <c r="AK23" s="555">
        <f t="shared" si="8"/>
        <v>8936.1702127659573</v>
      </c>
      <c r="AL23" s="541">
        <v>15</v>
      </c>
      <c r="AM23" s="131">
        <v>3768000</v>
      </c>
      <c r="AN23" s="542">
        <v>460</v>
      </c>
      <c r="AO23" s="560">
        <f t="shared" si="9"/>
        <v>8191.304347826087</v>
      </c>
      <c r="AP23" s="565">
        <v>15</v>
      </c>
      <c r="AQ23" s="73">
        <v>3700000</v>
      </c>
      <c r="AR23" s="74">
        <v>460</v>
      </c>
      <c r="AS23" s="566">
        <f t="shared" si="10"/>
        <v>8043.478260869565</v>
      </c>
      <c r="AT23" s="569">
        <v>15</v>
      </c>
      <c r="AU23" s="491">
        <v>4200000</v>
      </c>
      <c r="AV23" s="492">
        <v>489.87341772151899</v>
      </c>
      <c r="AW23" s="570">
        <f t="shared" si="11"/>
        <v>8573.6434108527137</v>
      </c>
    </row>
    <row r="24" spans="2:49" x14ac:dyDescent="0.25">
      <c r="B24" s="504">
        <v>16</v>
      </c>
      <c r="C24" s="484">
        <v>3870000</v>
      </c>
      <c r="D24" s="485">
        <v>489.87341772151899</v>
      </c>
      <c r="E24" s="505">
        <f t="shared" si="0"/>
        <v>7900</v>
      </c>
      <c r="F24" s="496">
        <v>16</v>
      </c>
      <c r="G24" s="491">
        <v>4200000</v>
      </c>
      <c r="H24" s="492">
        <v>480</v>
      </c>
      <c r="I24" s="497">
        <f t="shared" si="1"/>
        <v>8750</v>
      </c>
      <c r="J24" s="516">
        <v>16</v>
      </c>
      <c r="K24" s="517">
        <v>3890000</v>
      </c>
      <c r="L24" s="518">
        <v>490</v>
      </c>
      <c r="M24" s="519">
        <f t="shared" si="2"/>
        <v>7938.7755102040819</v>
      </c>
      <c r="N24" s="528">
        <v>16</v>
      </c>
      <c r="O24" s="524">
        <v>3890000</v>
      </c>
      <c r="P24" s="525">
        <v>470</v>
      </c>
      <c r="Q24" s="529">
        <f t="shared" si="3"/>
        <v>8276.5957446808516</v>
      </c>
      <c r="R24" s="541">
        <v>16</v>
      </c>
      <c r="S24" s="131">
        <v>3870000</v>
      </c>
      <c r="T24" s="542">
        <v>480</v>
      </c>
      <c r="U24" s="543">
        <f t="shared" si="4"/>
        <v>8062.5</v>
      </c>
      <c r="V24" s="504">
        <v>16</v>
      </c>
      <c r="W24" s="484">
        <v>3800000</v>
      </c>
      <c r="X24" s="485">
        <v>460</v>
      </c>
      <c r="Y24" s="505">
        <f t="shared" si="5"/>
        <v>8260.8695652173919</v>
      </c>
      <c r="Z24" s="496">
        <v>16</v>
      </c>
      <c r="AA24" s="491">
        <v>3800000</v>
      </c>
      <c r="AB24" s="492">
        <v>470</v>
      </c>
      <c r="AC24" s="497">
        <f t="shared" si="6"/>
        <v>8085.1063829787236</v>
      </c>
      <c r="AD24" s="516">
        <v>16</v>
      </c>
      <c r="AE24" s="517">
        <v>3700000</v>
      </c>
      <c r="AF24" s="518">
        <v>480</v>
      </c>
      <c r="AG24" s="552">
        <f t="shared" si="7"/>
        <v>7708.333333333333</v>
      </c>
      <c r="AH24" s="528">
        <v>16</v>
      </c>
      <c r="AI24" s="524">
        <v>3800000</v>
      </c>
      <c r="AJ24" s="525">
        <v>460</v>
      </c>
      <c r="AK24" s="555">
        <f t="shared" si="8"/>
        <v>8260.8695652173919</v>
      </c>
      <c r="AL24" s="541">
        <v>16</v>
      </c>
      <c r="AM24" s="131">
        <v>3890000</v>
      </c>
      <c r="AN24" s="542">
        <v>470</v>
      </c>
      <c r="AO24" s="560">
        <f t="shared" si="9"/>
        <v>8276.5957446808516</v>
      </c>
      <c r="AP24" s="565">
        <v>16</v>
      </c>
      <c r="AQ24" s="73">
        <v>3950000</v>
      </c>
      <c r="AR24" s="74">
        <v>489.87341772151899</v>
      </c>
      <c r="AS24" s="566">
        <f t="shared" si="10"/>
        <v>8063.3074935400518</v>
      </c>
      <c r="AT24" s="569">
        <v>16</v>
      </c>
      <c r="AU24" s="491">
        <v>3800000</v>
      </c>
      <c r="AV24" s="492">
        <v>470</v>
      </c>
      <c r="AW24" s="570">
        <f t="shared" si="11"/>
        <v>8085.1063829787236</v>
      </c>
    </row>
    <row r="25" spans="2:49" x14ac:dyDescent="0.25">
      <c r="B25" s="504">
        <v>17</v>
      </c>
      <c r="C25" s="484">
        <v>4100000</v>
      </c>
      <c r="D25" s="485">
        <v>529.71576227390176</v>
      </c>
      <c r="E25" s="505">
        <f t="shared" si="0"/>
        <v>7740.0000000000009</v>
      </c>
      <c r="F25" s="496">
        <v>17</v>
      </c>
      <c r="G25" s="491">
        <v>3800000</v>
      </c>
      <c r="H25" s="492">
        <v>480</v>
      </c>
      <c r="I25" s="497">
        <f t="shared" si="1"/>
        <v>7916.666666666667</v>
      </c>
      <c r="J25" s="516">
        <v>17</v>
      </c>
      <c r="K25" s="517">
        <v>3890000</v>
      </c>
      <c r="L25" s="518">
        <v>470</v>
      </c>
      <c r="M25" s="519">
        <f t="shared" si="2"/>
        <v>8276.5957446808516</v>
      </c>
      <c r="N25" s="528">
        <v>17</v>
      </c>
      <c r="O25" s="524">
        <v>3890000</v>
      </c>
      <c r="P25" s="525">
        <v>480</v>
      </c>
      <c r="Q25" s="529">
        <f t="shared" si="3"/>
        <v>8104.166666666667</v>
      </c>
      <c r="R25" s="541">
        <v>17</v>
      </c>
      <c r="S25" s="131">
        <v>3800000</v>
      </c>
      <c r="T25" s="542">
        <v>480</v>
      </c>
      <c r="U25" s="543">
        <f t="shared" si="4"/>
        <v>7916.666666666667</v>
      </c>
      <c r="V25" s="504">
        <v>17</v>
      </c>
      <c r="W25" s="484">
        <v>3700000</v>
      </c>
      <c r="X25" s="485">
        <v>450</v>
      </c>
      <c r="Y25" s="505">
        <f t="shared" si="5"/>
        <v>8222.2222222222226</v>
      </c>
      <c r="Z25" s="496">
        <v>17</v>
      </c>
      <c r="AA25" s="491">
        <v>3700000</v>
      </c>
      <c r="AB25" s="492">
        <v>480</v>
      </c>
      <c r="AC25" s="497">
        <f t="shared" si="6"/>
        <v>7708.333333333333</v>
      </c>
      <c r="AD25" s="516">
        <v>17</v>
      </c>
      <c r="AE25" s="517">
        <v>3950000</v>
      </c>
      <c r="AF25" s="518">
        <v>460</v>
      </c>
      <c r="AG25" s="552">
        <f t="shared" si="7"/>
        <v>8586.95652173913</v>
      </c>
      <c r="AH25" s="528">
        <v>17</v>
      </c>
      <c r="AI25" s="524">
        <v>3700000</v>
      </c>
      <c r="AJ25" s="525">
        <v>450</v>
      </c>
      <c r="AK25" s="555">
        <f t="shared" si="8"/>
        <v>8222.2222222222226</v>
      </c>
      <c r="AL25" s="541">
        <v>17</v>
      </c>
      <c r="AM25" s="131">
        <v>4350000</v>
      </c>
      <c r="AN25" s="542">
        <v>480</v>
      </c>
      <c r="AO25" s="560">
        <f t="shared" si="9"/>
        <v>9062.5</v>
      </c>
      <c r="AP25" s="565">
        <v>17</v>
      </c>
      <c r="AQ25" s="561">
        <v>3700000</v>
      </c>
      <c r="AR25" s="74">
        <v>450</v>
      </c>
      <c r="AS25" s="566">
        <f t="shared" si="10"/>
        <v>8222.2222222222226</v>
      </c>
      <c r="AT25" s="569">
        <v>17</v>
      </c>
      <c r="AU25" s="491">
        <v>3700000</v>
      </c>
      <c r="AV25" s="492">
        <v>450</v>
      </c>
      <c r="AW25" s="570">
        <f t="shared" si="11"/>
        <v>8222.2222222222226</v>
      </c>
    </row>
    <row r="26" spans="2:49" x14ac:dyDescent="0.25">
      <c r="B26" s="504">
        <v>18</v>
      </c>
      <c r="C26" s="484">
        <v>3980000</v>
      </c>
      <c r="D26" s="485">
        <v>485.36585365853659</v>
      </c>
      <c r="E26" s="505">
        <f t="shared" si="0"/>
        <v>8200</v>
      </c>
      <c r="F26" s="496">
        <v>18</v>
      </c>
      <c r="G26" s="491">
        <v>3870000</v>
      </c>
      <c r="H26" s="492">
        <v>460</v>
      </c>
      <c r="I26" s="497">
        <f t="shared" si="1"/>
        <v>8413.04347826087</v>
      </c>
      <c r="J26" s="516">
        <v>18</v>
      </c>
      <c r="K26" s="517">
        <v>3800000</v>
      </c>
      <c r="L26" s="518">
        <v>470</v>
      </c>
      <c r="M26" s="519">
        <f t="shared" si="2"/>
        <v>8085.1063829787236</v>
      </c>
      <c r="N26" s="528">
        <v>18</v>
      </c>
      <c r="O26" s="524">
        <v>3800000</v>
      </c>
      <c r="P26" s="525">
        <v>470</v>
      </c>
      <c r="Q26" s="529">
        <f t="shared" si="3"/>
        <v>8085.1063829787236</v>
      </c>
      <c r="R26" s="541">
        <v>18</v>
      </c>
      <c r="S26" s="131">
        <v>3700000</v>
      </c>
      <c r="T26" s="542">
        <v>460</v>
      </c>
      <c r="U26" s="543">
        <f t="shared" si="4"/>
        <v>8043.478260869565</v>
      </c>
      <c r="V26" s="504">
        <v>18</v>
      </c>
      <c r="W26" s="484">
        <v>3950000</v>
      </c>
      <c r="X26" s="485">
        <v>495</v>
      </c>
      <c r="Y26" s="505">
        <f t="shared" si="5"/>
        <v>7979.7979797979797</v>
      </c>
      <c r="Z26" s="496">
        <v>18</v>
      </c>
      <c r="AA26" s="491">
        <v>3950000</v>
      </c>
      <c r="AB26" s="492">
        <v>470</v>
      </c>
      <c r="AC26" s="497">
        <f t="shared" si="6"/>
        <v>8404.2553191489369</v>
      </c>
      <c r="AD26" s="516">
        <v>18</v>
      </c>
      <c r="AE26" s="517">
        <v>3800000</v>
      </c>
      <c r="AF26" s="518">
        <v>488.43187660668383</v>
      </c>
      <c r="AG26" s="552">
        <f t="shared" si="7"/>
        <v>7780</v>
      </c>
      <c r="AH26" s="528">
        <v>18</v>
      </c>
      <c r="AI26" s="524">
        <v>3950000</v>
      </c>
      <c r="AJ26" s="525">
        <v>465</v>
      </c>
      <c r="AK26" s="555">
        <f t="shared" si="8"/>
        <v>8494.6236559139779</v>
      </c>
      <c r="AL26" s="541">
        <v>18</v>
      </c>
      <c r="AM26" s="131">
        <v>3800000</v>
      </c>
      <c r="AN26" s="542">
        <v>470</v>
      </c>
      <c r="AO26" s="560">
        <f t="shared" si="9"/>
        <v>8085.1063829787236</v>
      </c>
      <c r="AP26" s="565">
        <v>18</v>
      </c>
      <c r="AQ26" s="561">
        <v>4355000</v>
      </c>
      <c r="AR26" s="74">
        <v>520</v>
      </c>
      <c r="AS26" s="566">
        <f t="shared" si="10"/>
        <v>8375</v>
      </c>
      <c r="AT26" s="569">
        <v>18</v>
      </c>
      <c r="AU26" s="491">
        <v>3800000</v>
      </c>
      <c r="AV26" s="492">
        <v>470</v>
      </c>
      <c r="AW26" s="570">
        <f t="shared" si="11"/>
        <v>8085.1063829787236</v>
      </c>
    </row>
    <row r="27" spans="2:49" x14ac:dyDescent="0.25">
      <c r="B27" s="504">
        <v>19</v>
      </c>
      <c r="C27" s="484">
        <v>3768000</v>
      </c>
      <c r="D27" s="485">
        <v>473.36683417085425</v>
      </c>
      <c r="E27" s="505">
        <f t="shared" si="0"/>
        <v>7960</v>
      </c>
      <c r="F27" s="496">
        <v>19</v>
      </c>
      <c r="G27" s="491">
        <v>4100000</v>
      </c>
      <c r="H27" s="492">
        <v>500</v>
      </c>
      <c r="I27" s="497">
        <f t="shared" si="1"/>
        <v>8200</v>
      </c>
      <c r="J27" s="516">
        <v>19</v>
      </c>
      <c r="K27" s="517">
        <v>3700000</v>
      </c>
      <c r="L27" s="518">
        <v>450</v>
      </c>
      <c r="M27" s="519">
        <f t="shared" si="2"/>
        <v>8222.2222222222226</v>
      </c>
      <c r="N27" s="528">
        <v>19</v>
      </c>
      <c r="O27" s="524">
        <v>3700000</v>
      </c>
      <c r="P27" s="525">
        <v>460</v>
      </c>
      <c r="Q27" s="529">
        <f t="shared" si="3"/>
        <v>8043.478260869565</v>
      </c>
      <c r="R27" s="541">
        <v>19</v>
      </c>
      <c r="S27" s="131">
        <v>3950000</v>
      </c>
      <c r="T27" s="542">
        <v>460</v>
      </c>
      <c r="U27" s="543">
        <f t="shared" si="4"/>
        <v>8586.95652173913</v>
      </c>
      <c r="V27" s="504">
        <v>19</v>
      </c>
      <c r="W27" s="484">
        <v>3800000</v>
      </c>
      <c r="X27" s="485">
        <v>450</v>
      </c>
      <c r="Y27" s="505">
        <f t="shared" si="5"/>
        <v>8444.4444444444453</v>
      </c>
      <c r="Z27" s="496">
        <v>19</v>
      </c>
      <c r="AA27" s="491">
        <v>3768000</v>
      </c>
      <c r="AB27" s="492">
        <v>460</v>
      </c>
      <c r="AC27" s="497">
        <f t="shared" si="6"/>
        <v>8191.304347826087</v>
      </c>
      <c r="AD27" s="516">
        <v>19</v>
      </c>
      <c r="AE27" s="517">
        <v>3700000</v>
      </c>
      <c r="AF27" s="518">
        <v>470</v>
      </c>
      <c r="AG27" s="552">
        <f t="shared" si="7"/>
        <v>7872.3404255319147</v>
      </c>
      <c r="AH27" s="528">
        <v>19</v>
      </c>
      <c r="AI27" s="524">
        <v>3870000</v>
      </c>
      <c r="AJ27" s="525">
        <v>460</v>
      </c>
      <c r="AK27" s="555">
        <f t="shared" si="8"/>
        <v>8413.04347826087</v>
      </c>
      <c r="AL27" s="541">
        <v>19</v>
      </c>
      <c r="AM27" s="131">
        <v>3700000</v>
      </c>
      <c r="AN27" s="542">
        <v>460</v>
      </c>
      <c r="AO27" s="560">
        <f t="shared" si="9"/>
        <v>8043.478260869565</v>
      </c>
      <c r="AP27" s="565">
        <v>19</v>
      </c>
      <c r="AQ27" s="561">
        <v>3600000</v>
      </c>
      <c r="AR27" s="74">
        <v>450</v>
      </c>
      <c r="AS27" s="566">
        <f t="shared" si="10"/>
        <v>8000</v>
      </c>
      <c r="AT27" s="569">
        <v>19</v>
      </c>
      <c r="AU27" s="491">
        <v>3700000</v>
      </c>
      <c r="AV27" s="492">
        <v>450</v>
      </c>
      <c r="AW27" s="570">
        <f t="shared" si="11"/>
        <v>8222.2222222222226</v>
      </c>
    </row>
    <row r="28" spans="2:49" x14ac:dyDescent="0.25">
      <c r="B28" s="504">
        <v>20</v>
      </c>
      <c r="C28" s="484">
        <v>3890000</v>
      </c>
      <c r="D28" s="485">
        <v>480</v>
      </c>
      <c r="E28" s="505">
        <f t="shared" si="0"/>
        <v>8104.166666666667</v>
      </c>
      <c r="F28" s="496">
        <v>20</v>
      </c>
      <c r="G28" s="491">
        <v>3980000</v>
      </c>
      <c r="H28" s="492">
        <v>450</v>
      </c>
      <c r="I28" s="497">
        <f t="shared" si="1"/>
        <v>8844.4444444444453</v>
      </c>
      <c r="J28" s="516">
        <v>20</v>
      </c>
      <c r="K28" s="517">
        <v>3950000</v>
      </c>
      <c r="L28" s="518">
        <v>450</v>
      </c>
      <c r="M28" s="519">
        <f t="shared" si="2"/>
        <v>8777.7777777777774</v>
      </c>
      <c r="N28" s="528">
        <v>20</v>
      </c>
      <c r="O28" s="524">
        <v>3950000</v>
      </c>
      <c r="P28" s="525">
        <v>510</v>
      </c>
      <c r="Q28" s="529">
        <f t="shared" si="3"/>
        <v>7745.0980392156862</v>
      </c>
      <c r="R28" s="541">
        <v>20</v>
      </c>
      <c r="S28" s="131">
        <v>3890000</v>
      </c>
      <c r="T28" s="542">
        <v>450</v>
      </c>
      <c r="U28" s="543">
        <f t="shared" si="4"/>
        <v>8644.4444444444453</v>
      </c>
      <c r="V28" s="504">
        <v>20</v>
      </c>
      <c r="W28" s="484">
        <v>3700000</v>
      </c>
      <c r="X28" s="485">
        <v>490</v>
      </c>
      <c r="Y28" s="505">
        <f t="shared" si="5"/>
        <v>7551.0204081632655</v>
      </c>
      <c r="Z28" s="496">
        <v>20</v>
      </c>
      <c r="AA28" s="491">
        <v>3890000</v>
      </c>
      <c r="AB28" s="492">
        <v>510</v>
      </c>
      <c r="AC28" s="497">
        <f t="shared" si="6"/>
        <v>7627.4509803921565</v>
      </c>
      <c r="AD28" s="516">
        <v>20</v>
      </c>
      <c r="AE28" s="517">
        <v>3950000</v>
      </c>
      <c r="AF28" s="518">
        <v>480</v>
      </c>
      <c r="AG28" s="552">
        <f t="shared" si="7"/>
        <v>8229.1666666666661</v>
      </c>
      <c r="AH28" s="528">
        <v>20</v>
      </c>
      <c r="AI28" s="524">
        <v>4100000</v>
      </c>
      <c r="AJ28" s="525">
        <v>480</v>
      </c>
      <c r="AK28" s="555">
        <f t="shared" si="8"/>
        <v>8541.6666666666661</v>
      </c>
      <c r="AL28" s="541">
        <v>20</v>
      </c>
      <c r="AM28" s="131">
        <v>3950000</v>
      </c>
      <c r="AN28" s="542">
        <v>480</v>
      </c>
      <c r="AO28" s="560">
        <f t="shared" si="9"/>
        <v>8229.1666666666661</v>
      </c>
      <c r="AP28" s="565">
        <v>20</v>
      </c>
      <c r="AQ28" s="561">
        <v>3425000</v>
      </c>
      <c r="AR28" s="74">
        <v>450</v>
      </c>
      <c r="AS28" s="566">
        <f t="shared" si="10"/>
        <v>7611.1111111111113</v>
      </c>
      <c r="AT28" s="569">
        <v>20</v>
      </c>
      <c r="AU28" s="491">
        <v>3950000</v>
      </c>
      <c r="AV28" s="492">
        <v>490</v>
      </c>
      <c r="AW28" s="570">
        <f t="shared" si="11"/>
        <v>8061.2244897959181</v>
      </c>
    </row>
    <row r="29" spans="2:49" x14ac:dyDescent="0.25">
      <c r="B29" s="504">
        <v>21</v>
      </c>
      <c r="C29" s="484">
        <v>3890000</v>
      </c>
      <c r="D29" s="485">
        <v>470</v>
      </c>
      <c r="E29" s="505">
        <f t="shared" si="0"/>
        <v>8276.5957446808516</v>
      </c>
      <c r="F29" s="496">
        <v>21</v>
      </c>
      <c r="G29" s="491">
        <v>3768000</v>
      </c>
      <c r="H29" s="492">
        <v>480</v>
      </c>
      <c r="I29" s="497">
        <f t="shared" si="1"/>
        <v>7850</v>
      </c>
      <c r="J29" s="516">
        <v>21</v>
      </c>
      <c r="K29" s="517">
        <v>3870000</v>
      </c>
      <c r="L29" s="518">
        <v>480</v>
      </c>
      <c r="M29" s="519">
        <f t="shared" si="2"/>
        <v>8062.5</v>
      </c>
      <c r="N29" s="528">
        <v>21</v>
      </c>
      <c r="O29" s="524">
        <v>3870000</v>
      </c>
      <c r="P29" s="525">
        <v>480</v>
      </c>
      <c r="Q29" s="529">
        <f t="shared" si="3"/>
        <v>8062.5</v>
      </c>
      <c r="R29" s="541">
        <v>21</v>
      </c>
      <c r="S29" s="131">
        <v>3890000</v>
      </c>
      <c r="T29" s="542">
        <v>480</v>
      </c>
      <c r="U29" s="543">
        <f t="shared" si="4"/>
        <v>8104.166666666667</v>
      </c>
      <c r="V29" s="504">
        <v>21</v>
      </c>
      <c r="W29" s="484">
        <v>3950000</v>
      </c>
      <c r="X29" s="485">
        <v>480</v>
      </c>
      <c r="Y29" s="505">
        <f t="shared" si="5"/>
        <v>8229.1666666666661</v>
      </c>
      <c r="Z29" s="496">
        <v>21</v>
      </c>
      <c r="AA29" s="491">
        <v>3890000</v>
      </c>
      <c r="AB29" s="492">
        <v>480</v>
      </c>
      <c r="AC29" s="497">
        <f t="shared" si="6"/>
        <v>8104.166666666667</v>
      </c>
      <c r="AD29" s="516">
        <v>21</v>
      </c>
      <c r="AE29" s="517">
        <v>3950000</v>
      </c>
      <c r="AF29" s="518">
        <v>460</v>
      </c>
      <c r="AG29" s="552">
        <f t="shared" si="7"/>
        <v>8586.95652173913</v>
      </c>
      <c r="AH29" s="528">
        <v>21</v>
      </c>
      <c r="AI29" s="524">
        <v>3980000</v>
      </c>
      <c r="AJ29" s="525">
        <v>450</v>
      </c>
      <c r="AK29" s="555">
        <f t="shared" si="8"/>
        <v>8844.4444444444453</v>
      </c>
      <c r="AL29" s="541">
        <v>21</v>
      </c>
      <c r="AM29" s="131">
        <v>3870000</v>
      </c>
      <c r="AN29" s="542">
        <v>480</v>
      </c>
      <c r="AO29" s="560">
        <f t="shared" si="9"/>
        <v>8062.5</v>
      </c>
      <c r="AP29" s="565">
        <v>21</v>
      </c>
      <c r="AQ29" s="561">
        <v>3670000</v>
      </c>
      <c r="AR29" s="74">
        <v>450</v>
      </c>
      <c r="AS29" s="566">
        <f t="shared" si="10"/>
        <v>8155.5555555555557</v>
      </c>
      <c r="AT29" s="569">
        <v>21</v>
      </c>
      <c r="AU29" s="491">
        <v>3870000</v>
      </c>
      <c r="AV29" s="492">
        <v>460</v>
      </c>
      <c r="AW29" s="570">
        <f t="shared" si="11"/>
        <v>8413.04347826087</v>
      </c>
    </row>
    <row r="30" spans="2:49" x14ac:dyDescent="0.25">
      <c r="B30" s="504">
        <v>22</v>
      </c>
      <c r="C30" s="484">
        <v>3800000</v>
      </c>
      <c r="D30" s="485">
        <v>488.43187660668383</v>
      </c>
      <c r="E30" s="505">
        <f t="shared" si="0"/>
        <v>7780</v>
      </c>
      <c r="F30" s="496">
        <v>22</v>
      </c>
      <c r="G30" s="491">
        <v>3890000</v>
      </c>
      <c r="H30" s="492">
        <v>460</v>
      </c>
      <c r="I30" s="497">
        <f t="shared" si="1"/>
        <v>8456.5217391304341</v>
      </c>
      <c r="J30" s="516">
        <v>22</v>
      </c>
      <c r="K30" s="517">
        <v>4100000</v>
      </c>
      <c r="L30" s="518">
        <v>490</v>
      </c>
      <c r="M30" s="519">
        <f t="shared" si="2"/>
        <v>8367.3469387755104</v>
      </c>
      <c r="N30" s="528">
        <v>22</v>
      </c>
      <c r="O30" s="524">
        <v>4200000</v>
      </c>
      <c r="P30" s="525">
        <v>490</v>
      </c>
      <c r="Q30" s="529">
        <f t="shared" si="3"/>
        <v>8571.4285714285706</v>
      </c>
      <c r="R30" s="541">
        <v>22</v>
      </c>
      <c r="S30" s="131">
        <v>3800000</v>
      </c>
      <c r="T30" s="542">
        <v>460</v>
      </c>
      <c r="U30" s="543">
        <f t="shared" si="4"/>
        <v>8260.8695652173919</v>
      </c>
      <c r="V30" s="504">
        <v>22</v>
      </c>
      <c r="W30" s="484">
        <v>3870000</v>
      </c>
      <c r="X30" s="485">
        <v>480</v>
      </c>
      <c r="Y30" s="505">
        <f t="shared" si="5"/>
        <v>8062.5</v>
      </c>
      <c r="Z30" s="496">
        <v>22</v>
      </c>
      <c r="AA30" s="491">
        <v>3800000</v>
      </c>
      <c r="AB30" s="492">
        <v>490</v>
      </c>
      <c r="AC30" s="497">
        <f t="shared" si="6"/>
        <v>7755.1020408163267</v>
      </c>
      <c r="AD30" s="516">
        <v>22</v>
      </c>
      <c r="AE30" s="517">
        <v>3870000</v>
      </c>
      <c r="AF30" s="518">
        <v>510</v>
      </c>
      <c r="AG30" s="552">
        <f t="shared" si="7"/>
        <v>7588.2352941176468</v>
      </c>
      <c r="AH30" s="528">
        <v>22</v>
      </c>
      <c r="AI30" s="524">
        <v>3890000</v>
      </c>
      <c r="AJ30" s="525">
        <v>480</v>
      </c>
      <c r="AK30" s="555">
        <f t="shared" si="8"/>
        <v>8104.166666666667</v>
      </c>
      <c r="AL30" s="541">
        <v>22</v>
      </c>
      <c r="AM30" s="131">
        <v>4200000</v>
      </c>
      <c r="AN30" s="542">
        <v>490</v>
      </c>
      <c r="AO30" s="560">
        <f t="shared" si="9"/>
        <v>8571.4285714285706</v>
      </c>
      <c r="AP30" s="565">
        <v>22</v>
      </c>
      <c r="AQ30" s="73">
        <v>3700000</v>
      </c>
      <c r="AR30" s="74">
        <v>465</v>
      </c>
      <c r="AS30" s="566">
        <f t="shared" si="10"/>
        <v>7956.989247311828</v>
      </c>
      <c r="AT30" s="569">
        <v>22</v>
      </c>
      <c r="AU30" s="491">
        <v>4200000</v>
      </c>
      <c r="AV30" s="492">
        <v>510</v>
      </c>
      <c r="AW30" s="570">
        <f t="shared" si="11"/>
        <v>8235.2941176470595</v>
      </c>
    </row>
    <row r="31" spans="2:49" x14ac:dyDescent="0.25">
      <c r="B31" s="504">
        <v>23</v>
      </c>
      <c r="C31" s="484">
        <v>3700000</v>
      </c>
      <c r="D31" s="485">
        <v>470</v>
      </c>
      <c r="E31" s="505">
        <f t="shared" si="0"/>
        <v>7872.3404255319147</v>
      </c>
      <c r="F31" s="496">
        <v>23</v>
      </c>
      <c r="G31" s="491">
        <v>3890000</v>
      </c>
      <c r="H31" s="492">
        <v>490</v>
      </c>
      <c r="I31" s="497">
        <f t="shared" si="1"/>
        <v>7938.7755102040819</v>
      </c>
      <c r="J31" s="516">
        <v>23</v>
      </c>
      <c r="K31" s="517">
        <v>3980000</v>
      </c>
      <c r="L31" s="518">
        <v>480</v>
      </c>
      <c r="M31" s="519">
        <f t="shared" si="2"/>
        <v>8291.6666666666661</v>
      </c>
      <c r="N31" s="528">
        <v>23</v>
      </c>
      <c r="O31" s="524">
        <v>3800000</v>
      </c>
      <c r="P31" s="525">
        <v>470</v>
      </c>
      <c r="Q31" s="529">
        <f t="shared" si="3"/>
        <v>8085.1063829787236</v>
      </c>
      <c r="R31" s="541">
        <v>23</v>
      </c>
      <c r="S31" s="131">
        <v>3700000</v>
      </c>
      <c r="T31" s="542">
        <v>490</v>
      </c>
      <c r="U31" s="543">
        <f t="shared" si="4"/>
        <v>7551.0204081632655</v>
      </c>
      <c r="V31" s="504">
        <v>23</v>
      </c>
      <c r="W31" s="484">
        <v>4100000</v>
      </c>
      <c r="X31" s="485">
        <v>480</v>
      </c>
      <c r="Y31" s="505">
        <f t="shared" si="5"/>
        <v>8541.6666666666661</v>
      </c>
      <c r="Z31" s="496">
        <v>23</v>
      </c>
      <c r="AA31" s="491">
        <v>3700000</v>
      </c>
      <c r="AB31" s="492">
        <v>470</v>
      </c>
      <c r="AC31" s="497">
        <f t="shared" si="6"/>
        <v>7872.3404255319147</v>
      </c>
      <c r="AD31" s="516">
        <v>23</v>
      </c>
      <c r="AE31" s="517">
        <v>3870000</v>
      </c>
      <c r="AF31" s="518">
        <v>480</v>
      </c>
      <c r="AG31" s="552">
        <f t="shared" si="7"/>
        <v>8062.5</v>
      </c>
      <c r="AH31" s="528">
        <v>23</v>
      </c>
      <c r="AI31" s="524">
        <v>3890000</v>
      </c>
      <c r="AJ31" s="525">
        <v>450</v>
      </c>
      <c r="AK31" s="555">
        <f t="shared" si="8"/>
        <v>8644.4444444444453</v>
      </c>
      <c r="AL31" s="541">
        <v>23</v>
      </c>
      <c r="AM31" s="131">
        <v>3800000</v>
      </c>
      <c r="AN31" s="542">
        <v>470</v>
      </c>
      <c r="AO31" s="560">
        <f t="shared" si="9"/>
        <v>8085.1063829787236</v>
      </c>
      <c r="AP31" s="565">
        <v>23</v>
      </c>
      <c r="AQ31" s="73">
        <v>3950000</v>
      </c>
      <c r="AR31" s="74">
        <v>465</v>
      </c>
      <c r="AS31" s="566">
        <f t="shared" si="10"/>
        <v>8494.6236559139779</v>
      </c>
      <c r="AT31" s="569">
        <v>23</v>
      </c>
      <c r="AU31" s="491">
        <v>3800000</v>
      </c>
      <c r="AV31" s="492">
        <v>450</v>
      </c>
      <c r="AW31" s="570">
        <f t="shared" si="11"/>
        <v>8444.4444444444453</v>
      </c>
    </row>
    <row r="32" spans="2:49" x14ac:dyDescent="0.25">
      <c r="B32" s="504">
        <v>24</v>
      </c>
      <c r="C32" s="484">
        <v>3950000</v>
      </c>
      <c r="D32" s="485">
        <v>500</v>
      </c>
      <c r="E32" s="505">
        <f t="shared" si="0"/>
        <v>7900</v>
      </c>
      <c r="F32" s="496">
        <v>24</v>
      </c>
      <c r="G32" s="491">
        <v>3800000</v>
      </c>
      <c r="H32" s="492">
        <v>489.87341772151899</v>
      </c>
      <c r="I32" s="497">
        <f t="shared" si="1"/>
        <v>7757.1059431524545</v>
      </c>
      <c r="J32" s="516">
        <v>24</v>
      </c>
      <c r="K32" s="517">
        <v>3768000</v>
      </c>
      <c r="L32" s="518">
        <v>470</v>
      </c>
      <c r="M32" s="519">
        <f t="shared" si="2"/>
        <v>8017.0212765957449</v>
      </c>
      <c r="N32" s="528">
        <v>24</v>
      </c>
      <c r="O32" s="524">
        <v>3700000</v>
      </c>
      <c r="P32" s="525">
        <v>450</v>
      </c>
      <c r="Q32" s="529">
        <f t="shared" si="3"/>
        <v>8222.2222222222226</v>
      </c>
      <c r="R32" s="541">
        <v>24</v>
      </c>
      <c r="S32" s="131">
        <v>3950000</v>
      </c>
      <c r="T32" s="542">
        <v>489.87341772151899</v>
      </c>
      <c r="U32" s="543">
        <f t="shared" si="4"/>
        <v>8063.3074935400518</v>
      </c>
      <c r="V32" s="504">
        <v>24</v>
      </c>
      <c r="W32" s="484">
        <v>3980000</v>
      </c>
      <c r="X32" s="485">
        <v>480</v>
      </c>
      <c r="Y32" s="505">
        <f t="shared" si="5"/>
        <v>8291.6666666666661</v>
      </c>
      <c r="Z32" s="496">
        <v>24</v>
      </c>
      <c r="AA32" s="491">
        <v>3890000</v>
      </c>
      <c r="AB32" s="492">
        <v>450</v>
      </c>
      <c r="AC32" s="497">
        <f t="shared" si="6"/>
        <v>8644.4444444444453</v>
      </c>
      <c r="AD32" s="516">
        <v>24</v>
      </c>
      <c r="AE32" s="517">
        <v>4100000</v>
      </c>
      <c r="AF32" s="518">
        <v>490</v>
      </c>
      <c r="AG32" s="552">
        <f t="shared" si="7"/>
        <v>8367.3469387755104</v>
      </c>
      <c r="AH32" s="528">
        <v>24</v>
      </c>
      <c r="AI32" s="524">
        <v>3800000</v>
      </c>
      <c r="AJ32" s="525">
        <v>480</v>
      </c>
      <c r="AK32" s="555">
        <f t="shared" si="8"/>
        <v>7916.666666666667</v>
      </c>
      <c r="AL32" s="541">
        <v>24</v>
      </c>
      <c r="AM32" s="131">
        <v>3800000</v>
      </c>
      <c r="AN32" s="542">
        <v>450</v>
      </c>
      <c r="AO32" s="560">
        <f t="shared" si="9"/>
        <v>8444.4444444444453</v>
      </c>
      <c r="AP32" s="565">
        <v>24</v>
      </c>
      <c r="AQ32" s="73">
        <v>3870000</v>
      </c>
      <c r="AR32" s="74">
        <v>480</v>
      </c>
      <c r="AS32" s="566">
        <f t="shared" si="10"/>
        <v>8062.5</v>
      </c>
      <c r="AT32" s="569">
        <v>24</v>
      </c>
      <c r="AU32" s="491">
        <v>3700000</v>
      </c>
      <c r="AV32" s="492">
        <v>460</v>
      </c>
      <c r="AW32" s="570">
        <f t="shared" si="11"/>
        <v>8043.478260869565</v>
      </c>
    </row>
    <row r="33" spans="1:56" x14ac:dyDescent="0.25">
      <c r="B33" s="504">
        <v>25</v>
      </c>
      <c r="C33" s="484">
        <v>3870000</v>
      </c>
      <c r="D33" s="485">
        <v>489.87341772151899</v>
      </c>
      <c r="E33" s="505">
        <f t="shared" si="0"/>
        <v>7900</v>
      </c>
      <c r="F33" s="496">
        <v>25</v>
      </c>
      <c r="G33" s="491">
        <v>3700000</v>
      </c>
      <c r="H33" s="492">
        <v>480</v>
      </c>
      <c r="I33" s="497">
        <f t="shared" si="1"/>
        <v>7708.333333333333</v>
      </c>
      <c r="J33" s="516">
        <v>25</v>
      </c>
      <c r="K33" s="517">
        <v>3950000</v>
      </c>
      <c r="L33" s="518">
        <v>470</v>
      </c>
      <c r="M33" s="519">
        <f t="shared" si="2"/>
        <v>8404.2553191489369</v>
      </c>
      <c r="N33" s="528">
        <v>25</v>
      </c>
      <c r="O33" s="524">
        <v>3950000</v>
      </c>
      <c r="P33" s="525">
        <v>470</v>
      </c>
      <c r="Q33" s="529">
        <f t="shared" si="3"/>
        <v>8404.2553191489369</v>
      </c>
      <c r="R33" s="541">
        <v>25</v>
      </c>
      <c r="S33" s="131">
        <v>3870000</v>
      </c>
      <c r="T33" s="542">
        <v>480</v>
      </c>
      <c r="U33" s="543">
        <f t="shared" si="4"/>
        <v>8062.5</v>
      </c>
      <c r="V33" s="504">
        <v>25</v>
      </c>
      <c r="W33" s="484">
        <v>3890000</v>
      </c>
      <c r="X33" s="485">
        <v>470</v>
      </c>
      <c r="Y33" s="505">
        <f t="shared" si="5"/>
        <v>8276.5957446808516</v>
      </c>
      <c r="Z33" s="496">
        <v>25</v>
      </c>
      <c r="AA33" s="491">
        <v>3800000</v>
      </c>
      <c r="AB33" s="492">
        <v>470</v>
      </c>
      <c r="AC33" s="497">
        <f t="shared" si="6"/>
        <v>8085.1063829787236</v>
      </c>
      <c r="AD33" s="516">
        <v>25</v>
      </c>
      <c r="AE33" s="517">
        <v>3800000</v>
      </c>
      <c r="AF33" s="518">
        <v>470</v>
      </c>
      <c r="AG33" s="552">
        <f t="shared" si="7"/>
        <v>8085.1063829787236</v>
      </c>
      <c r="AH33" s="528">
        <v>25</v>
      </c>
      <c r="AI33" s="524">
        <v>3950000</v>
      </c>
      <c r="AJ33" s="525">
        <v>460</v>
      </c>
      <c r="AK33" s="555">
        <f t="shared" si="8"/>
        <v>8586.95652173913</v>
      </c>
      <c r="AL33" s="541">
        <v>25</v>
      </c>
      <c r="AM33" s="131">
        <v>3700000</v>
      </c>
      <c r="AN33" s="542">
        <v>450</v>
      </c>
      <c r="AO33" s="560">
        <f t="shared" si="9"/>
        <v>8222.2222222222226</v>
      </c>
      <c r="AP33" s="565">
        <v>25</v>
      </c>
      <c r="AQ33" s="73">
        <v>4100000</v>
      </c>
      <c r="AR33" s="74">
        <v>500</v>
      </c>
      <c r="AS33" s="566">
        <f t="shared" si="10"/>
        <v>8200</v>
      </c>
      <c r="AT33" s="569">
        <v>25</v>
      </c>
      <c r="AU33" s="491">
        <v>3800000</v>
      </c>
      <c r="AV33" s="492">
        <v>460</v>
      </c>
      <c r="AW33" s="570">
        <f t="shared" si="11"/>
        <v>8260.8695652173919</v>
      </c>
    </row>
    <row r="34" spans="1:56" x14ac:dyDescent="0.25">
      <c r="B34" s="504">
        <v>26</v>
      </c>
      <c r="C34" s="484">
        <v>3870000</v>
      </c>
      <c r="D34" s="485">
        <v>480</v>
      </c>
      <c r="E34" s="505">
        <f t="shared" si="0"/>
        <v>8062.5</v>
      </c>
      <c r="F34" s="496">
        <v>26</v>
      </c>
      <c r="G34" s="491">
        <v>3768000</v>
      </c>
      <c r="H34" s="492">
        <v>470</v>
      </c>
      <c r="I34" s="497">
        <f t="shared" si="1"/>
        <v>8017.0212765957449</v>
      </c>
      <c r="J34" s="516">
        <v>26</v>
      </c>
      <c r="K34" s="517">
        <v>3870000</v>
      </c>
      <c r="L34" s="518">
        <v>470</v>
      </c>
      <c r="M34" s="519">
        <f t="shared" si="2"/>
        <v>8234.0425531914898</v>
      </c>
      <c r="N34" s="528">
        <v>26</v>
      </c>
      <c r="O34" s="524">
        <v>3870000</v>
      </c>
      <c r="P34" s="525">
        <v>450</v>
      </c>
      <c r="Q34" s="529">
        <f t="shared" si="3"/>
        <v>8600</v>
      </c>
      <c r="R34" s="541">
        <v>26</v>
      </c>
      <c r="S34" s="131">
        <v>3870000</v>
      </c>
      <c r="T34" s="542">
        <v>470</v>
      </c>
      <c r="U34" s="543">
        <f t="shared" si="4"/>
        <v>8234.0425531914898</v>
      </c>
      <c r="V34" s="504">
        <v>26</v>
      </c>
      <c r="W34" s="484">
        <v>4100000</v>
      </c>
      <c r="X34" s="485">
        <v>470</v>
      </c>
      <c r="Y34" s="505">
        <f t="shared" si="5"/>
        <v>8723.4042553191484</v>
      </c>
      <c r="Z34" s="496">
        <v>26</v>
      </c>
      <c r="AA34" s="491">
        <v>3700000</v>
      </c>
      <c r="AB34" s="492">
        <v>450</v>
      </c>
      <c r="AC34" s="497">
        <f t="shared" si="6"/>
        <v>8222.2222222222226</v>
      </c>
      <c r="AD34" s="516">
        <v>26</v>
      </c>
      <c r="AE34" s="517">
        <v>3700000</v>
      </c>
      <c r="AF34" s="518">
        <v>450</v>
      </c>
      <c r="AG34" s="552">
        <f t="shared" si="7"/>
        <v>8222.2222222222226</v>
      </c>
      <c r="AH34" s="528">
        <v>26</v>
      </c>
      <c r="AI34" s="524">
        <v>3870000</v>
      </c>
      <c r="AJ34" s="525">
        <v>470</v>
      </c>
      <c r="AK34" s="555">
        <f t="shared" si="8"/>
        <v>8234.0425531914898</v>
      </c>
      <c r="AL34" s="541">
        <v>26</v>
      </c>
      <c r="AM34" s="131">
        <v>3950000</v>
      </c>
      <c r="AN34" s="542">
        <v>430</v>
      </c>
      <c r="AO34" s="560">
        <f t="shared" si="9"/>
        <v>9186.0465116279065</v>
      </c>
      <c r="AP34" s="565">
        <v>26</v>
      </c>
      <c r="AQ34" s="73">
        <v>3980000</v>
      </c>
      <c r="AR34" s="74">
        <v>480</v>
      </c>
      <c r="AS34" s="566">
        <f t="shared" si="10"/>
        <v>8291.6666666666661</v>
      </c>
      <c r="AT34" s="569">
        <v>26</v>
      </c>
      <c r="AU34" s="491">
        <v>3700000</v>
      </c>
      <c r="AV34" s="492">
        <v>460</v>
      </c>
      <c r="AW34" s="570">
        <f t="shared" si="11"/>
        <v>8043.478260869565</v>
      </c>
    </row>
    <row r="35" spans="1:56" x14ac:dyDescent="0.25">
      <c r="B35" s="504">
        <v>27</v>
      </c>
      <c r="C35" s="484">
        <v>4100000</v>
      </c>
      <c r="D35" s="485">
        <v>529.71576227390176</v>
      </c>
      <c r="E35" s="505">
        <f t="shared" si="0"/>
        <v>7740.0000000000009</v>
      </c>
      <c r="F35" s="496">
        <v>27</v>
      </c>
      <c r="G35" s="491">
        <v>3950000</v>
      </c>
      <c r="H35" s="492">
        <v>495</v>
      </c>
      <c r="I35" s="497">
        <f t="shared" si="1"/>
        <v>7979.7979797979797</v>
      </c>
      <c r="J35" s="516">
        <v>27</v>
      </c>
      <c r="K35" s="517">
        <v>3870000</v>
      </c>
      <c r="L35" s="518">
        <v>450</v>
      </c>
      <c r="M35" s="519">
        <f t="shared" si="2"/>
        <v>8600</v>
      </c>
      <c r="N35" s="528">
        <v>27</v>
      </c>
      <c r="O35" s="524">
        <v>3870000</v>
      </c>
      <c r="P35" s="525">
        <v>450</v>
      </c>
      <c r="Q35" s="529">
        <f t="shared" si="3"/>
        <v>8600</v>
      </c>
      <c r="R35" s="541">
        <v>27</v>
      </c>
      <c r="S35" s="131">
        <v>4100000</v>
      </c>
      <c r="T35" s="542">
        <v>495</v>
      </c>
      <c r="U35" s="543">
        <f t="shared" si="4"/>
        <v>8282.8282828282827</v>
      </c>
      <c r="V35" s="504">
        <v>27</v>
      </c>
      <c r="W35" s="484">
        <v>3980000</v>
      </c>
      <c r="X35" s="485">
        <v>465</v>
      </c>
      <c r="Y35" s="505">
        <f t="shared" si="5"/>
        <v>8559.1397849462373</v>
      </c>
      <c r="Z35" s="496">
        <v>27</v>
      </c>
      <c r="AA35" s="491">
        <v>3950000</v>
      </c>
      <c r="AB35" s="492">
        <v>450</v>
      </c>
      <c r="AC35" s="497">
        <f t="shared" si="6"/>
        <v>8777.7777777777774</v>
      </c>
      <c r="AD35" s="516">
        <v>27</v>
      </c>
      <c r="AE35" s="517">
        <v>3950000</v>
      </c>
      <c r="AF35" s="518">
        <v>495</v>
      </c>
      <c r="AG35" s="552">
        <f t="shared" si="7"/>
        <v>7979.7979797979797</v>
      </c>
      <c r="AH35" s="528">
        <v>27</v>
      </c>
      <c r="AI35" s="524">
        <v>3870000</v>
      </c>
      <c r="AJ35" s="525">
        <v>475</v>
      </c>
      <c r="AK35" s="555">
        <f t="shared" si="8"/>
        <v>8147.3684210526317</v>
      </c>
      <c r="AL35" s="541">
        <v>27</v>
      </c>
      <c r="AM35" s="131">
        <v>3870000</v>
      </c>
      <c r="AN35" s="542">
        <v>450</v>
      </c>
      <c r="AO35" s="560">
        <f t="shared" si="9"/>
        <v>8600</v>
      </c>
      <c r="AP35" s="565">
        <v>27</v>
      </c>
      <c r="AQ35" s="73">
        <v>3890000</v>
      </c>
      <c r="AR35" s="74">
        <v>460</v>
      </c>
      <c r="AS35" s="566">
        <f t="shared" si="10"/>
        <v>8456.5217391304341</v>
      </c>
      <c r="AT35" s="569">
        <v>27</v>
      </c>
      <c r="AU35" s="491">
        <v>3950000</v>
      </c>
      <c r="AV35" s="492">
        <v>489.87341772151899</v>
      </c>
      <c r="AW35" s="570">
        <f t="shared" si="11"/>
        <v>8063.3074935400518</v>
      </c>
    </row>
    <row r="36" spans="1:56" x14ac:dyDescent="0.25">
      <c r="B36" s="504">
        <v>28</v>
      </c>
      <c r="C36" s="484">
        <v>3800000</v>
      </c>
      <c r="D36" s="485">
        <v>480</v>
      </c>
      <c r="E36" s="505">
        <f t="shared" si="0"/>
        <v>7916.666666666667</v>
      </c>
      <c r="F36" s="496">
        <v>28</v>
      </c>
      <c r="G36" s="491">
        <v>4130000</v>
      </c>
      <c r="H36" s="492">
        <v>485</v>
      </c>
      <c r="I36" s="497">
        <f t="shared" si="1"/>
        <v>8515.4639175257726</v>
      </c>
      <c r="J36" s="516">
        <v>28</v>
      </c>
      <c r="K36" s="517">
        <v>4100000</v>
      </c>
      <c r="L36" s="518">
        <v>500</v>
      </c>
      <c r="M36" s="519">
        <f t="shared" si="2"/>
        <v>8200</v>
      </c>
      <c r="N36" s="528">
        <v>28</v>
      </c>
      <c r="O36" s="524">
        <v>4100000</v>
      </c>
      <c r="P36" s="525">
        <v>480</v>
      </c>
      <c r="Q36" s="529">
        <f t="shared" si="3"/>
        <v>8541.6666666666661</v>
      </c>
      <c r="R36" s="541">
        <v>28</v>
      </c>
      <c r="S36" s="131">
        <v>3800000</v>
      </c>
      <c r="T36" s="542">
        <v>485</v>
      </c>
      <c r="U36" s="543">
        <f t="shared" si="4"/>
        <v>7835.0515463917527</v>
      </c>
      <c r="V36" s="504">
        <v>28</v>
      </c>
      <c r="W36" s="484">
        <v>3768000</v>
      </c>
      <c r="X36" s="485">
        <v>450</v>
      </c>
      <c r="Y36" s="505">
        <f t="shared" si="5"/>
        <v>8373.3333333333339</v>
      </c>
      <c r="Z36" s="496">
        <v>28</v>
      </c>
      <c r="AA36" s="491">
        <v>3870000</v>
      </c>
      <c r="AB36" s="492">
        <v>480</v>
      </c>
      <c r="AC36" s="497">
        <f t="shared" si="6"/>
        <v>8062.5</v>
      </c>
      <c r="AD36" s="516">
        <v>28</v>
      </c>
      <c r="AE36" s="517">
        <v>3800000</v>
      </c>
      <c r="AF36" s="518">
        <v>450</v>
      </c>
      <c r="AG36" s="552">
        <f t="shared" si="7"/>
        <v>8444.4444444444453</v>
      </c>
      <c r="AH36" s="528">
        <v>28</v>
      </c>
      <c r="AI36" s="524">
        <v>4100000</v>
      </c>
      <c r="AJ36" s="525">
        <v>480</v>
      </c>
      <c r="AK36" s="555">
        <f t="shared" si="8"/>
        <v>8541.6666666666661</v>
      </c>
      <c r="AL36" s="541">
        <v>28</v>
      </c>
      <c r="AM36" s="131">
        <v>4100000</v>
      </c>
      <c r="AN36" s="542">
        <v>480</v>
      </c>
      <c r="AO36" s="560">
        <f t="shared" si="9"/>
        <v>8541.6666666666661</v>
      </c>
      <c r="AP36" s="565">
        <v>28</v>
      </c>
      <c r="AQ36" s="73">
        <v>3890000</v>
      </c>
      <c r="AR36" s="74">
        <v>470</v>
      </c>
      <c r="AS36" s="566">
        <f t="shared" si="10"/>
        <v>8276.5957446808516</v>
      </c>
      <c r="AT36" s="569">
        <v>28</v>
      </c>
      <c r="AU36" s="491">
        <v>3870000</v>
      </c>
      <c r="AV36" s="492">
        <v>480</v>
      </c>
      <c r="AW36" s="570">
        <f t="shared" si="11"/>
        <v>8062.5</v>
      </c>
    </row>
    <row r="37" spans="1:56" x14ac:dyDescent="0.25">
      <c r="B37" s="504">
        <v>29</v>
      </c>
      <c r="C37" s="484">
        <v>3700000</v>
      </c>
      <c r="D37" s="485">
        <v>470</v>
      </c>
      <c r="E37" s="505">
        <f t="shared" si="0"/>
        <v>7872.3404255319147</v>
      </c>
      <c r="F37" s="496">
        <v>29</v>
      </c>
      <c r="G37" s="491">
        <v>3800000</v>
      </c>
      <c r="H37" s="492">
        <v>480</v>
      </c>
      <c r="I37" s="497">
        <f t="shared" si="1"/>
        <v>7916.666666666667</v>
      </c>
      <c r="J37" s="516">
        <v>29</v>
      </c>
      <c r="K37" s="517">
        <v>3670000</v>
      </c>
      <c r="L37" s="518">
        <v>480</v>
      </c>
      <c r="M37" s="519">
        <f t="shared" si="2"/>
        <v>7645.833333333333</v>
      </c>
      <c r="N37" s="528">
        <v>29</v>
      </c>
      <c r="O37" s="524">
        <v>3800000</v>
      </c>
      <c r="P37" s="525">
        <v>480</v>
      </c>
      <c r="Q37" s="529">
        <f t="shared" si="3"/>
        <v>7916.666666666667</v>
      </c>
      <c r="R37" s="541">
        <v>29</v>
      </c>
      <c r="S37" s="131">
        <v>3700000</v>
      </c>
      <c r="T37" s="542">
        <v>460</v>
      </c>
      <c r="U37" s="543">
        <f t="shared" si="4"/>
        <v>8043.478260869565</v>
      </c>
      <c r="V37" s="504">
        <v>29</v>
      </c>
      <c r="W37" s="484">
        <v>3890000</v>
      </c>
      <c r="X37" s="485">
        <v>470</v>
      </c>
      <c r="Y37" s="505">
        <f t="shared" si="5"/>
        <v>8276.5957446808516</v>
      </c>
      <c r="Z37" s="496">
        <v>29</v>
      </c>
      <c r="AA37" s="491">
        <v>3870000</v>
      </c>
      <c r="AB37" s="492">
        <v>480</v>
      </c>
      <c r="AC37" s="497">
        <f t="shared" si="6"/>
        <v>8062.5</v>
      </c>
      <c r="AD37" s="516">
        <v>29</v>
      </c>
      <c r="AE37" s="517">
        <v>3800000</v>
      </c>
      <c r="AF37" s="518">
        <v>470</v>
      </c>
      <c r="AG37" s="552">
        <f t="shared" si="7"/>
        <v>8085.1063829787236</v>
      </c>
      <c r="AH37" s="528">
        <v>29</v>
      </c>
      <c r="AI37" s="524">
        <v>4100000</v>
      </c>
      <c r="AJ37" s="525">
        <v>490</v>
      </c>
      <c r="AK37" s="555">
        <f t="shared" si="8"/>
        <v>8367.3469387755104</v>
      </c>
      <c r="AL37" s="541">
        <v>29</v>
      </c>
      <c r="AM37" s="131">
        <v>3980000</v>
      </c>
      <c r="AN37" s="542">
        <v>490</v>
      </c>
      <c r="AO37" s="560">
        <f t="shared" si="9"/>
        <v>8122.4489795918371</v>
      </c>
      <c r="AP37" s="565">
        <v>29</v>
      </c>
      <c r="AQ37" s="73">
        <v>3980000</v>
      </c>
      <c r="AR37" s="74">
        <v>480</v>
      </c>
      <c r="AS37" s="566">
        <f t="shared" si="10"/>
        <v>8291.6666666666661</v>
      </c>
      <c r="AT37" s="569">
        <v>29</v>
      </c>
      <c r="AU37" s="491">
        <v>4200000</v>
      </c>
      <c r="AV37" s="492">
        <v>520</v>
      </c>
      <c r="AW37" s="570">
        <f t="shared" si="11"/>
        <v>8076.9230769230771</v>
      </c>
    </row>
    <row r="38" spans="1:56" x14ac:dyDescent="0.25">
      <c r="B38" s="504">
        <v>30</v>
      </c>
      <c r="C38" s="484">
        <v>3950000</v>
      </c>
      <c r="D38" s="485">
        <v>490</v>
      </c>
      <c r="E38" s="505">
        <f t="shared" si="0"/>
        <v>8061.2244897959181</v>
      </c>
      <c r="F38" s="496">
        <v>30</v>
      </c>
      <c r="G38" s="491">
        <v>3700000</v>
      </c>
      <c r="H38" s="492">
        <v>480</v>
      </c>
      <c r="I38" s="497">
        <f t="shared" si="1"/>
        <v>7708.333333333333</v>
      </c>
      <c r="J38" s="516">
        <v>30</v>
      </c>
      <c r="K38" s="517">
        <v>3670000</v>
      </c>
      <c r="L38" s="518">
        <v>490</v>
      </c>
      <c r="M38" s="519">
        <f t="shared" si="2"/>
        <v>7489.7959183673465</v>
      </c>
      <c r="N38" s="528">
        <v>30</v>
      </c>
      <c r="O38" s="524">
        <v>3700000</v>
      </c>
      <c r="P38" s="525">
        <v>450</v>
      </c>
      <c r="Q38" s="529">
        <f t="shared" si="3"/>
        <v>8222.2222222222226</v>
      </c>
      <c r="R38" s="541">
        <v>30</v>
      </c>
      <c r="S38" s="131">
        <v>3950000</v>
      </c>
      <c r="T38" s="542">
        <v>480</v>
      </c>
      <c r="U38" s="543">
        <f t="shared" si="4"/>
        <v>8229.1666666666661</v>
      </c>
      <c r="V38" s="504">
        <v>30</v>
      </c>
      <c r="W38" s="484">
        <v>3890000</v>
      </c>
      <c r="X38" s="485">
        <v>470</v>
      </c>
      <c r="Y38" s="505">
        <f t="shared" si="5"/>
        <v>8276.5957446808516</v>
      </c>
      <c r="Z38" s="496">
        <v>30</v>
      </c>
      <c r="AA38" s="491">
        <v>4100000</v>
      </c>
      <c r="AB38" s="492">
        <v>470</v>
      </c>
      <c r="AC38" s="497">
        <f t="shared" si="6"/>
        <v>8723.4042553191484</v>
      </c>
      <c r="AD38" s="516">
        <v>30</v>
      </c>
      <c r="AE38" s="517">
        <v>3700000</v>
      </c>
      <c r="AF38" s="518">
        <v>475</v>
      </c>
      <c r="AG38" s="552">
        <f t="shared" si="7"/>
        <v>7789.4736842105267</v>
      </c>
      <c r="AH38" s="528">
        <v>30</v>
      </c>
      <c r="AI38" s="524">
        <v>4100000</v>
      </c>
      <c r="AJ38" s="525">
        <v>488.43187660668383</v>
      </c>
      <c r="AK38" s="555">
        <f t="shared" si="8"/>
        <v>8394.2105263157882</v>
      </c>
      <c r="AL38" s="541">
        <v>30</v>
      </c>
      <c r="AM38" s="131">
        <v>3890000</v>
      </c>
      <c r="AN38" s="542">
        <v>480</v>
      </c>
      <c r="AO38" s="560">
        <f t="shared" si="9"/>
        <v>8104.166666666667</v>
      </c>
      <c r="AP38" s="565">
        <v>30</v>
      </c>
      <c r="AQ38" s="73">
        <v>3890000</v>
      </c>
      <c r="AR38" s="74">
        <v>470</v>
      </c>
      <c r="AS38" s="566">
        <f t="shared" si="10"/>
        <v>8276.5957446808516</v>
      </c>
      <c r="AT38" s="569">
        <v>30</v>
      </c>
      <c r="AU38" s="491">
        <v>3800000</v>
      </c>
      <c r="AV38" s="492">
        <v>450</v>
      </c>
      <c r="AW38" s="570">
        <f t="shared" si="11"/>
        <v>8444.4444444444453</v>
      </c>
    </row>
    <row r="39" spans="1:56" x14ac:dyDescent="0.25">
      <c r="B39" s="504">
        <v>31</v>
      </c>
      <c r="C39" s="484"/>
      <c r="D39" s="485"/>
      <c r="E39" s="506"/>
      <c r="F39" s="496">
        <v>31</v>
      </c>
      <c r="G39" s="491">
        <v>3700000</v>
      </c>
      <c r="H39" s="492">
        <v>465</v>
      </c>
      <c r="I39" s="497">
        <f t="shared" si="1"/>
        <v>7956.989247311828</v>
      </c>
      <c r="J39" s="516">
        <v>31</v>
      </c>
      <c r="K39" s="517"/>
      <c r="L39" s="518"/>
      <c r="M39" s="519"/>
      <c r="N39" s="528">
        <v>31</v>
      </c>
      <c r="O39" s="524"/>
      <c r="P39" s="525"/>
      <c r="Q39" s="529"/>
      <c r="R39" s="541">
        <v>31</v>
      </c>
      <c r="S39" s="131"/>
      <c r="T39" s="542"/>
      <c r="U39" s="543"/>
      <c r="V39" s="504">
        <v>31</v>
      </c>
      <c r="W39" s="484">
        <v>3800000</v>
      </c>
      <c r="X39" s="485">
        <v>450</v>
      </c>
      <c r="Y39" s="505">
        <f t="shared" si="5"/>
        <v>8444.4444444444453</v>
      </c>
      <c r="Z39" s="496">
        <v>31</v>
      </c>
      <c r="AA39" s="491">
        <v>3950000</v>
      </c>
      <c r="AB39" s="492">
        <v>500</v>
      </c>
      <c r="AC39" s="497">
        <f t="shared" si="6"/>
        <v>7900</v>
      </c>
      <c r="AD39" s="516">
        <v>31</v>
      </c>
      <c r="AE39" s="517">
        <v>3950000</v>
      </c>
      <c r="AF39" s="518">
        <v>480</v>
      </c>
      <c r="AG39" s="552">
        <f t="shared" si="7"/>
        <v>8229.1666666666661</v>
      </c>
      <c r="AH39" s="528">
        <v>31</v>
      </c>
      <c r="AI39" s="524">
        <v>4100000</v>
      </c>
      <c r="AJ39" s="525">
        <v>490</v>
      </c>
      <c r="AK39" s="555">
        <f t="shared" si="8"/>
        <v>8367.3469387755104</v>
      </c>
      <c r="AL39" s="541">
        <v>31</v>
      </c>
      <c r="AM39" s="556"/>
      <c r="AN39" s="556"/>
      <c r="AO39" s="560"/>
      <c r="AP39" s="565">
        <v>31</v>
      </c>
      <c r="AQ39" s="561"/>
      <c r="AR39" s="561"/>
      <c r="AS39" s="566"/>
      <c r="AT39" s="569">
        <v>31</v>
      </c>
      <c r="AU39" s="491">
        <v>3800000</v>
      </c>
      <c r="AV39" s="492">
        <v>470</v>
      </c>
      <c r="AW39" s="570">
        <f t="shared" si="11"/>
        <v>8085.1063829787236</v>
      </c>
    </row>
    <row r="40" spans="1:56" s="175" customFormat="1" ht="15.75" x14ac:dyDescent="0.25">
      <c r="A40" s="386"/>
      <c r="B40" s="511" t="s">
        <v>93</v>
      </c>
      <c r="C40" s="1526">
        <f>+SUM(C9:C39)</f>
        <v>116696000</v>
      </c>
      <c r="D40" s="1527"/>
      <c r="E40" s="1528"/>
      <c r="F40" s="1529">
        <f>+SUM(G9:G39)</f>
        <v>119802000</v>
      </c>
      <c r="G40" s="1530"/>
      <c r="H40" s="1530"/>
      <c r="I40" s="1531"/>
      <c r="J40" s="1532">
        <f>+SUM(K9:K39)</f>
        <v>115834000</v>
      </c>
      <c r="K40" s="1533"/>
      <c r="L40" s="1533"/>
      <c r="M40" s="1534"/>
      <c r="N40" s="1520">
        <f>+SUM(O9:O39)</f>
        <v>116364000</v>
      </c>
      <c r="O40" s="1521"/>
      <c r="P40" s="1521"/>
      <c r="Q40" s="1522"/>
      <c r="R40" s="1523">
        <f>+SUM(S9:S39)</f>
        <v>115918000</v>
      </c>
      <c r="S40" s="1524"/>
      <c r="T40" s="1524"/>
      <c r="U40" s="1525"/>
      <c r="V40" s="1514">
        <f>+SUM(W9:W39)</f>
        <v>120482000</v>
      </c>
      <c r="W40" s="1515"/>
      <c r="X40" s="1515"/>
      <c r="Y40" s="1516"/>
      <c r="Z40" s="1511">
        <f>+SUM(AA9:AA39)</f>
        <v>119336000</v>
      </c>
      <c r="AA40" s="1512"/>
      <c r="AB40" s="1512"/>
      <c r="AC40" s="1513"/>
      <c r="AD40" s="1517">
        <f>+SUM(AE9:AE39)</f>
        <v>118988000</v>
      </c>
      <c r="AE40" s="1518"/>
      <c r="AF40" s="1518"/>
      <c r="AG40" s="1519"/>
      <c r="AH40" s="1520">
        <f>+SUM(AI9:AI39)</f>
        <v>121006000</v>
      </c>
      <c r="AI40" s="1521"/>
      <c r="AJ40" s="1521"/>
      <c r="AK40" s="1522"/>
      <c r="AL40" s="1523">
        <f>+SUM(AM9:AM39)</f>
        <v>117124000</v>
      </c>
      <c r="AM40" s="1524"/>
      <c r="AN40" s="1524"/>
      <c r="AO40" s="1525"/>
      <c r="AP40" s="1508">
        <f>+SUM(AQ9:AQ39)</f>
        <v>116150000</v>
      </c>
      <c r="AQ40" s="1509"/>
      <c r="AR40" s="1509"/>
      <c r="AS40" s="1510"/>
      <c r="AT40" s="1511">
        <f>+SUM(AU9:AU39)</f>
        <v>120190000</v>
      </c>
      <c r="AU40" s="1512"/>
      <c r="AV40" s="1512"/>
      <c r="AW40" s="1513"/>
      <c r="AX40" s="1753"/>
      <c r="AY40" s="1753"/>
      <c r="AZ40" s="1753"/>
      <c r="BA40" s="1753"/>
      <c r="BB40" s="1753"/>
      <c r="BC40" s="1753"/>
      <c r="BD40" s="1753"/>
    </row>
    <row r="41" spans="1:56" s="17" customFormat="1" ht="30.75" thickBot="1" x14ac:dyDescent="0.3">
      <c r="A41" s="147"/>
      <c r="B41" s="507" t="s">
        <v>332</v>
      </c>
      <c r="C41" s="508">
        <f>+AVERAGE(C9:C39)</f>
        <v>3889866.6666666665</v>
      </c>
      <c r="D41" s="509">
        <f t="shared" ref="D41:AW41" si="12">+AVERAGE(D9:D39)</f>
        <v>483.54476414756391</v>
      </c>
      <c r="E41" s="510">
        <f t="shared" si="12"/>
        <v>8048.2704899154614</v>
      </c>
      <c r="F41" s="498"/>
      <c r="G41" s="499">
        <f t="shared" si="12"/>
        <v>3864580.6451612902</v>
      </c>
      <c r="H41" s="500">
        <f t="shared" si="12"/>
        <v>477.52189393708778</v>
      </c>
      <c r="I41" s="501">
        <f t="shared" si="12"/>
        <v>8096.4368552755441</v>
      </c>
      <c r="J41" s="520"/>
      <c r="K41" s="419">
        <f t="shared" si="12"/>
        <v>3861133.3333333335</v>
      </c>
      <c r="L41" s="521">
        <f t="shared" si="12"/>
        <v>476</v>
      </c>
      <c r="M41" s="522">
        <f t="shared" si="12"/>
        <v>8117.0483441871957</v>
      </c>
      <c r="N41" s="530"/>
      <c r="O41" s="531">
        <f t="shared" si="12"/>
        <v>3878800</v>
      </c>
      <c r="P41" s="532">
        <f t="shared" si="12"/>
        <v>471.66666666666669</v>
      </c>
      <c r="Q41" s="533">
        <f t="shared" si="12"/>
        <v>8227.1877918466889</v>
      </c>
      <c r="R41" s="544"/>
      <c r="S41" s="545">
        <f t="shared" si="12"/>
        <v>3863933.3333333335</v>
      </c>
      <c r="T41" s="546">
        <f t="shared" si="12"/>
        <v>474.2726237349907</v>
      </c>
      <c r="U41" s="547">
        <f t="shared" si="12"/>
        <v>8151.8564294955449</v>
      </c>
      <c r="V41" s="549"/>
      <c r="W41" s="508">
        <f>+AVERAGE(W9:W39)</f>
        <v>3886516.1290322579</v>
      </c>
      <c r="X41" s="509">
        <f t="shared" si="12"/>
        <v>469.83870967741933</v>
      </c>
      <c r="Y41" s="510">
        <f t="shared" si="12"/>
        <v>8276.7326423664508</v>
      </c>
      <c r="Z41" s="498"/>
      <c r="AA41" s="499">
        <f t="shared" si="12"/>
        <v>3849548.3870967743</v>
      </c>
      <c r="AB41" s="500">
        <f t="shared" si="12"/>
        <v>472.41935483870969</v>
      </c>
      <c r="AC41" s="501">
        <f t="shared" si="12"/>
        <v>8156.7775920343229</v>
      </c>
      <c r="AD41" s="520"/>
      <c r="AE41" s="419">
        <f t="shared" si="12"/>
        <v>3838322.5806451612</v>
      </c>
      <c r="AF41" s="521">
        <f t="shared" si="12"/>
        <v>471.07436433316786</v>
      </c>
      <c r="AG41" s="522">
        <f t="shared" si="12"/>
        <v>8154.3411159702109</v>
      </c>
      <c r="AH41" s="530"/>
      <c r="AI41" s="531">
        <f t="shared" si="12"/>
        <v>3903419.3548387098</v>
      </c>
      <c r="AJ41" s="532">
        <f t="shared" si="12"/>
        <v>469.14296376150594</v>
      </c>
      <c r="AK41" s="533">
        <f t="shared" si="12"/>
        <v>8323.6197235749478</v>
      </c>
      <c r="AL41" s="544"/>
      <c r="AM41" s="545">
        <f t="shared" si="12"/>
        <v>3904133.3333333335</v>
      </c>
      <c r="AN41" s="546">
        <f t="shared" si="12"/>
        <v>468.16666666666669</v>
      </c>
      <c r="AO41" s="547">
        <f t="shared" si="12"/>
        <v>8343.9035227095865</v>
      </c>
      <c r="AP41" s="534"/>
      <c r="AQ41" s="535">
        <f t="shared" si="12"/>
        <v>3871666.6666666665</v>
      </c>
      <c r="AR41" s="536">
        <f t="shared" si="12"/>
        <v>470.60595706832407</v>
      </c>
      <c r="AS41" s="537">
        <f t="shared" si="12"/>
        <v>8226.1847656095142</v>
      </c>
      <c r="AT41" s="498"/>
      <c r="AU41" s="499">
        <f t="shared" si="12"/>
        <v>3877096.7741935486</v>
      </c>
      <c r="AV41" s="500">
        <f t="shared" si="12"/>
        <v>469.93915063270623</v>
      </c>
      <c r="AW41" s="501">
        <f t="shared" si="12"/>
        <v>8252.7055011750672</v>
      </c>
    </row>
    <row r="42" spans="1:56" x14ac:dyDescent="0.25">
      <c r="B42"/>
      <c r="C42" s="170"/>
      <c r="D42" s="171"/>
      <c r="E42" s="170"/>
      <c r="F42"/>
      <c r="G42" s="172"/>
      <c r="H42" s="173"/>
      <c r="I42" s="172"/>
      <c r="J42"/>
      <c r="K42" s="170"/>
      <c r="L42" s="171"/>
      <c r="M42" s="170"/>
      <c r="N42"/>
      <c r="O42" s="170"/>
      <c r="P42" s="171"/>
      <c r="Q42" s="170"/>
      <c r="R42"/>
      <c r="S42" s="170"/>
      <c r="T42" s="171"/>
      <c r="U42" s="170"/>
      <c r="V42"/>
      <c r="W42" s="170"/>
      <c r="X42" s="170"/>
      <c r="Y42" s="174"/>
      <c r="Z42"/>
      <c r="AA42" s="170"/>
      <c r="AB42" s="171"/>
      <c r="AC42" s="174"/>
      <c r="AD42"/>
      <c r="AE42" s="170"/>
      <c r="AF42" s="170"/>
      <c r="AG42" s="170"/>
      <c r="AH42"/>
      <c r="AI42" s="170"/>
      <c r="AJ42" s="171"/>
      <c r="AK42" s="170"/>
      <c r="AL42"/>
      <c r="AM42" s="170"/>
      <c r="AN42" s="170"/>
      <c r="AO42" s="170"/>
      <c r="AP42"/>
      <c r="AQ42" s="170"/>
      <c r="AR42" s="170"/>
      <c r="AS42" s="174"/>
      <c r="AT42"/>
      <c r="AU42" s="170"/>
      <c r="AV42" s="170"/>
      <c r="AW42" s="170"/>
    </row>
    <row r="43" spans="1:56" x14ac:dyDescent="0.25">
      <c r="B43"/>
      <c r="C43" s="170"/>
      <c r="D43" s="171"/>
      <c r="E43" s="170"/>
      <c r="F43"/>
      <c r="G43" s="172"/>
      <c r="H43" s="173"/>
      <c r="I43" s="172"/>
      <c r="J43"/>
      <c r="K43" s="170"/>
      <c r="L43" s="171"/>
      <c r="M43" s="170"/>
      <c r="N43"/>
      <c r="O43" s="170"/>
      <c r="P43" s="171"/>
      <c r="Q43" s="170"/>
      <c r="R43"/>
      <c r="S43" s="170"/>
      <c r="T43" s="171"/>
      <c r="U43" s="170"/>
      <c r="V43"/>
      <c r="W43" s="170"/>
      <c r="X43" s="170"/>
      <c r="Y43" s="174"/>
      <c r="Z43"/>
      <c r="AA43" s="170"/>
      <c r="AB43" s="171"/>
      <c r="AC43" s="174"/>
      <c r="AD43"/>
      <c r="AE43" s="170"/>
      <c r="AF43" s="170"/>
      <c r="AG43" s="170"/>
      <c r="AH43"/>
      <c r="AI43" s="170"/>
      <c r="AJ43" s="171"/>
      <c r="AK43" s="170"/>
      <c r="AL43"/>
      <c r="AM43" s="170"/>
      <c r="AN43" s="170"/>
      <c r="AO43" s="170"/>
      <c r="AP43"/>
      <c r="AQ43" s="170"/>
      <c r="AR43" s="170"/>
      <c r="AS43" s="174"/>
      <c r="AT43"/>
      <c r="AU43" s="170"/>
      <c r="AV43" s="170"/>
      <c r="AW43" s="170"/>
    </row>
    <row r="44" spans="1:56" x14ac:dyDescent="0.25">
      <c r="B44"/>
      <c r="C44" s="170"/>
      <c r="D44" s="171"/>
      <c r="E44" s="170"/>
      <c r="F44"/>
      <c r="G44" s="172"/>
      <c r="H44" s="173"/>
      <c r="I44" s="172"/>
      <c r="J44"/>
      <c r="K44" s="170"/>
      <c r="L44" s="171"/>
      <c r="M44" s="170"/>
      <c r="N44"/>
      <c r="O44" s="170"/>
      <c r="P44" s="171"/>
      <c r="Q44" s="170"/>
      <c r="R44"/>
      <c r="S44" s="170"/>
      <c r="T44" s="171"/>
      <c r="U44" s="170"/>
      <c r="V44"/>
      <c r="W44" s="170"/>
      <c r="X44" s="170"/>
      <c r="Y44" s="174"/>
      <c r="Z44"/>
      <c r="AA44" s="170"/>
      <c r="AB44" s="171"/>
      <c r="AC44" s="174"/>
      <c r="AD44"/>
      <c r="AE44" s="170"/>
      <c r="AF44" s="170"/>
      <c r="AG44" s="170"/>
      <c r="AH44"/>
      <c r="AI44" s="170"/>
      <c r="AJ44" s="171"/>
      <c r="AK44" s="170"/>
      <c r="AL44"/>
      <c r="AM44" s="170"/>
      <c r="AN44" s="170"/>
      <c r="AO44" s="170"/>
      <c r="AP44"/>
      <c r="AQ44" s="170"/>
      <c r="AR44" s="170"/>
      <c r="AS44" s="174"/>
      <c r="AT44"/>
      <c r="AU44" s="170"/>
      <c r="AV44" s="170"/>
      <c r="AW44" s="170"/>
    </row>
    <row r="45" spans="1:56" hidden="1" x14ac:dyDescent="0.25">
      <c r="B45"/>
      <c r="C45" s="170"/>
      <c r="D45" s="171"/>
      <c r="E45" s="170"/>
      <c r="F45"/>
      <c r="G45" s="172"/>
      <c r="H45" s="173"/>
      <c r="I45" s="172"/>
      <c r="J45"/>
      <c r="K45" s="170"/>
      <c r="L45" s="171"/>
      <c r="M45" s="170"/>
      <c r="N45"/>
      <c r="O45" s="170"/>
      <c r="P45" s="171"/>
      <c r="Q45" s="170"/>
      <c r="R45"/>
      <c r="S45" s="170"/>
      <c r="T45" s="171"/>
      <c r="U45" s="170"/>
      <c r="V45"/>
      <c r="W45" s="170"/>
      <c r="X45" s="170"/>
      <c r="Y45" s="174"/>
      <c r="Z45"/>
      <c r="AA45" s="170"/>
      <c r="AB45" s="171"/>
      <c r="AC45" s="174"/>
      <c r="AD45"/>
      <c r="AE45" s="170"/>
      <c r="AF45" s="170"/>
      <c r="AG45" s="170"/>
      <c r="AH45"/>
      <c r="AI45" s="170"/>
      <c r="AJ45" s="171"/>
      <c r="AK45" s="170"/>
      <c r="AL45"/>
      <c r="AM45" s="170"/>
      <c r="AN45" s="170"/>
      <c r="AO45" s="170"/>
      <c r="AP45"/>
      <c r="AQ45" s="170"/>
      <c r="AR45" s="170"/>
      <c r="AS45" s="174"/>
      <c r="AT45"/>
      <c r="AU45" s="170"/>
      <c r="AV45" s="170"/>
      <c r="AW45" s="170"/>
    </row>
    <row r="46" spans="1:56" hidden="1" x14ac:dyDescent="0.25">
      <c r="B46"/>
      <c r="C46" s="170"/>
      <c r="D46" s="171"/>
      <c r="E46" s="170"/>
      <c r="F46"/>
      <c r="G46" s="172"/>
      <c r="H46" s="173"/>
      <c r="I46" s="172"/>
      <c r="J46"/>
      <c r="K46" s="170"/>
      <c r="L46" s="171"/>
      <c r="M46" s="170"/>
      <c r="N46"/>
      <c r="O46" s="170"/>
      <c r="P46" s="171"/>
      <c r="Q46" s="170"/>
      <c r="R46"/>
      <c r="S46" s="170"/>
      <c r="T46" s="171"/>
      <c r="U46" s="170"/>
      <c r="V46"/>
      <c r="W46" s="170"/>
      <c r="X46" s="170"/>
      <c r="Y46" s="174"/>
      <c r="Z46"/>
      <c r="AA46" s="170"/>
      <c r="AB46" s="171"/>
      <c r="AC46" s="174"/>
      <c r="AD46"/>
      <c r="AE46" s="170"/>
      <c r="AF46" s="170"/>
      <c r="AG46" s="170"/>
      <c r="AH46"/>
      <c r="AI46" s="170"/>
      <c r="AJ46" s="171"/>
      <c r="AK46" s="170"/>
      <c r="AL46"/>
      <c r="AM46" s="170"/>
      <c r="AN46" s="170"/>
      <c r="AO46" s="170"/>
      <c r="AP46"/>
      <c r="AQ46" s="170"/>
      <c r="AR46" s="170"/>
      <c r="AS46" s="174"/>
      <c r="AT46"/>
      <c r="AU46" s="170"/>
      <c r="AV46" s="170"/>
      <c r="AW46" s="170"/>
    </row>
    <row r="47" spans="1:56" hidden="1" x14ac:dyDescent="0.25">
      <c r="B47"/>
      <c r="C47" s="170"/>
      <c r="D47" s="171"/>
      <c r="E47" s="170"/>
      <c r="F47"/>
      <c r="G47" s="172"/>
      <c r="H47" s="173"/>
      <c r="I47" s="172"/>
      <c r="J47"/>
      <c r="K47" s="170"/>
      <c r="L47" s="171"/>
      <c r="M47" s="170"/>
      <c r="N47"/>
      <c r="O47" s="170"/>
      <c r="P47" s="171"/>
      <c r="Q47" s="170"/>
      <c r="R47"/>
      <c r="S47" s="170"/>
      <c r="T47" s="171"/>
      <c r="U47" s="170"/>
      <c r="V47"/>
      <c r="W47" s="170"/>
      <c r="X47" s="170"/>
      <c r="Y47" s="174"/>
      <c r="Z47"/>
      <c r="AA47" s="170"/>
      <c r="AB47" s="171"/>
      <c r="AC47" s="174"/>
      <c r="AD47"/>
      <c r="AE47" s="170"/>
      <c r="AF47" s="170"/>
      <c r="AG47" s="170"/>
      <c r="AH47"/>
      <c r="AI47" s="170"/>
      <c r="AJ47" s="171"/>
      <c r="AK47" s="170"/>
      <c r="AL47"/>
      <c r="AM47" s="170"/>
      <c r="AN47" s="170"/>
      <c r="AO47" s="170"/>
      <c r="AP47"/>
      <c r="AQ47" s="170"/>
      <c r="AR47" s="170"/>
      <c r="AS47" s="174"/>
      <c r="AT47"/>
      <c r="AU47" s="170"/>
      <c r="AV47" s="170"/>
      <c r="AW47" s="170"/>
    </row>
    <row r="48" spans="1:56" hidden="1" x14ac:dyDescent="0.25">
      <c r="B48"/>
      <c r="C48" s="170"/>
      <c r="D48" s="171"/>
      <c r="E48" s="170"/>
      <c r="F48"/>
      <c r="G48" s="172"/>
      <c r="H48" s="173"/>
      <c r="I48" s="172"/>
      <c r="J48"/>
      <c r="K48" s="170"/>
      <c r="L48" s="171"/>
      <c r="M48" s="170"/>
      <c r="N48"/>
      <c r="O48" s="170"/>
      <c r="P48" s="171"/>
      <c r="Q48" s="170"/>
      <c r="R48"/>
      <c r="S48" s="170"/>
      <c r="T48" s="171"/>
      <c r="U48" s="170"/>
      <c r="V48"/>
      <c r="W48" s="170"/>
      <c r="X48" s="170"/>
      <c r="Y48" s="174"/>
      <c r="Z48"/>
      <c r="AA48" s="170"/>
      <c r="AB48" s="171"/>
      <c r="AC48" s="174"/>
      <c r="AD48"/>
      <c r="AE48" s="170"/>
      <c r="AF48" s="170"/>
      <c r="AG48" s="170"/>
      <c r="AH48"/>
      <c r="AI48" s="170"/>
      <c r="AJ48" s="171"/>
      <c r="AK48" s="170"/>
      <c r="AL48"/>
      <c r="AM48" s="170"/>
      <c r="AN48" s="170"/>
      <c r="AO48" s="170"/>
      <c r="AP48"/>
      <c r="AQ48" s="170"/>
      <c r="AR48" s="170"/>
      <c r="AS48" s="174"/>
      <c r="AT48"/>
      <c r="AU48" s="170"/>
      <c r="AV48" s="170"/>
      <c r="AW48" s="170"/>
    </row>
    <row r="49" spans="2:49" hidden="1" x14ac:dyDescent="0.25">
      <c r="B49"/>
      <c r="C49" s="170"/>
      <c r="D49" s="171"/>
      <c r="E49" s="170"/>
      <c r="F49"/>
      <c r="G49" s="172"/>
      <c r="H49" s="173"/>
      <c r="I49" s="172"/>
      <c r="J49"/>
      <c r="K49" s="170"/>
      <c r="L49" s="171"/>
      <c r="M49" s="170"/>
      <c r="N49"/>
      <c r="O49" s="170"/>
      <c r="P49" s="171"/>
      <c r="Q49" s="170"/>
      <c r="R49"/>
      <c r="S49" s="170"/>
      <c r="T49" s="171"/>
      <c r="U49" s="170"/>
      <c r="V49"/>
      <c r="W49" s="170"/>
      <c r="X49" s="170"/>
      <c r="Y49" s="174"/>
      <c r="Z49"/>
      <c r="AA49" s="170"/>
      <c r="AB49" s="171"/>
      <c r="AC49" s="174"/>
      <c r="AD49"/>
      <c r="AE49" s="170"/>
      <c r="AF49" s="170"/>
      <c r="AG49" s="170"/>
      <c r="AH49"/>
      <c r="AI49" s="170"/>
      <c r="AJ49" s="171"/>
      <c r="AK49" s="170"/>
      <c r="AL49"/>
      <c r="AM49" s="170"/>
      <c r="AN49" s="170"/>
      <c r="AO49" s="170"/>
      <c r="AP49"/>
      <c r="AQ49" s="170"/>
      <c r="AR49" s="170"/>
      <c r="AS49" s="174"/>
      <c r="AT49"/>
      <c r="AU49" s="170"/>
      <c r="AV49" s="170"/>
      <c r="AW49" s="170"/>
    </row>
    <row r="50" spans="2:49" hidden="1" x14ac:dyDescent="0.25">
      <c r="B50"/>
      <c r="C50" s="170"/>
      <c r="D50" s="171"/>
      <c r="E50" s="170"/>
      <c r="F50"/>
      <c r="G50" s="172"/>
      <c r="H50" s="173"/>
      <c r="I50" s="172"/>
      <c r="J50"/>
      <c r="K50" s="170"/>
      <c r="L50" s="171"/>
      <c r="M50" s="170"/>
      <c r="N50"/>
      <c r="O50" s="170"/>
      <c r="P50" s="171"/>
      <c r="Q50" s="170"/>
      <c r="R50"/>
      <c r="S50" s="170"/>
      <c r="T50" s="171"/>
      <c r="U50" s="170"/>
      <c r="V50"/>
      <c r="W50" s="170"/>
      <c r="X50" s="170"/>
      <c r="Y50" s="174"/>
      <c r="Z50"/>
      <c r="AA50" s="170"/>
      <c r="AB50" s="171"/>
      <c r="AC50" s="174"/>
      <c r="AD50"/>
      <c r="AE50" s="170"/>
      <c r="AF50" s="170"/>
      <c r="AG50" s="170"/>
      <c r="AH50"/>
      <c r="AI50" s="170"/>
      <c r="AJ50" s="171"/>
      <c r="AK50" s="170"/>
      <c r="AL50"/>
      <c r="AM50" s="170"/>
      <c r="AN50" s="170"/>
      <c r="AO50" s="170"/>
      <c r="AP50"/>
      <c r="AQ50" s="170"/>
      <c r="AR50" s="170"/>
      <c r="AS50" s="174"/>
      <c r="AT50"/>
      <c r="AU50" s="170"/>
      <c r="AV50" s="170"/>
      <c r="AW50" s="170"/>
    </row>
    <row r="51" spans="2:49" hidden="1" x14ac:dyDescent="0.25">
      <c r="B51"/>
      <c r="C51" s="170"/>
      <c r="D51" s="171"/>
      <c r="E51" s="170"/>
      <c r="F51"/>
      <c r="G51" s="172"/>
      <c r="H51" s="173"/>
      <c r="I51" s="172"/>
      <c r="J51"/>
      <c r="K51" s="170"/>
      <c r="L51" s="171"/>
      <c r="M51" s="170"/>
      <c r="N51"/>
      <c r="O51" s="170"/>
      <c r="P51" s="171"/>
      <c r="Q51" s="170"/>
      <c r="R51"/>
      <c r="S51" s="170"/>
      <c r="T51" s="171"/>
      <c r="U51" s="170"/>
      <c r="V51"/>
      <c r="W51" s="170"/>
      <c r="X51" s="170"/>
      <c r="Y51" s="174"/>
      <c r="Z51"/>
      <c r="AA51" s="170"/>
      <c r="AB51" s="171"/>
      <c r="AC51" s="174"/>
      <c r="AD51"/>
      <c r="AE51" s="170"/>
      <c r="AF51" s="170"/>
      <c r="AG51" s="170"/>
      <c r="AH51"/>
      <c r="AI51" s="170"/>
      <c r="AJ51" s="171"/>
      <c r="AK51" s="170"/>
      <c r="AL51"/>
      <c r="AM51" s="170"/>
      <c r="AN51" s="170"/>
      <c r="AO51" s="170"/>
      <c r="AP51"/>
      <c r="AQ51" s="170"/>
      <c r="AR51" s="170"/>
      <c r="AS51" s="174"/>
      <c r="AT51"/>
      <c r="AU51" s="170"/>
      <c r="AV51" s="170"/>
      <c r="AW51" s="170"/>
    </row>
    <row r="52" spans="2:49" hidden="1" x14ac:dyDescent="0.25">
      <c r="B52"/>
      <c r="C52" s="170"/>
      <c r="D52" s="171"/>
      <c r="E52" s="170"/>
      <c r="F52"/>
      <c r="G52" s="172"/>
      <c r="H52" s="173"/>
      <c r="I52" s="172"/>
      <c r="J52"/>
      <c r="K52" s="170"/>
      <c r="L52" s="171"/>
      <c r="M52" s="170"/>
      <c r="N52"/>
      <c r="O52" s="170"/>
      <c r="P52" s="171"/>
      <c r="Q52" s="170"/>
      <c r="R52"/>
      <c r="S52" s="170"/>
      <c r="T52" s="171"/>
      <c r="U52" s="170"/>
      <c r="V52"/>
      <c r="W52" s="170"/>
      <c r="X52" s="170"/>
      <c r="Y52" s="174"/>
      <c r="Z52"/>
      <c r="AA52" s="170"/>
      <c r="AB52" s="171"/>
      <c r="AC52" s="174"/>
      <c r="AD52"/>
      <c r="AE52" s="170"/>
      <c r="AF52" s="170"/>
      <c r="AG52" s="170"/>
      <c r="AH52"/>
      <c r="AI52" s="170"/>
      <c r="AJ52" s="171"/>
      <c r="AK52" s="170"/>
      <c r="AL52"/>
      <c r="AM52" s="170"/>
      <c r="AN52" s="170"/>
      <c r="AO52" s="170"/>
      <c r="AP52"/>
      <c r="AQ52" s="170"/>
      <c r="AR52" s="170"/>
      <c r="AS52" s="174"/>
      <c r="AT52"/>
      <c r="AU52" s="170"/>
      <c r="AV52" s="170"/>
      <c r="AW52" s="170"/>
    </row>
    <row r="53" spans="2:49" hidden="1" x14ac:dyDescent="0.25">
      <c r="B53"/>
      <c r="C53" s="170"/>
      <c r="D53" s="171"/>
      <c r="E53" s="170"/>
      <c r="F53"/>
      <c r="G53" s="172"/>
      <c r="H53" s="173"/>
      <c r="I53" s="172"/>
      <c r="J53"/>
      <c r="K53" s="170"/>
      <c r="L53" s="171"/>
      <c r="M53" s="170"/>
      <c r="N53"/>
      <c r="O53" s="170"/>
      <c r="P53" s="171"/>
      <c r="Q53" s="170"/>
      <c r="R53"/>
      <c r="S53" s="170"/>
      <c r="T53" s="171"/>
      <c r="U53" s="170"/>
      <c r="V53"/>
      <c r="W53" s="170"/>
      <c r="X53" s="170"/>
      <c r="Y53" s="174"/>
      <c r="Z53"/>
      <c r="AA53" s="170"/>
      <c r="AB53" s="171"/>
      <c r="AC53" s="174"/>
      <c r="AD53"/>
      <c r="AE53" s="170"/>
      <c r="AF53" s="170"/>
      <c r="AG53" s="170"/>
      <c r="AH53"/>
      <c r="AI53" s="170"/>
      <c r="AJ53" s="171"/>
      <c r="AK53" s="170"/>
      <c r="AL53"/>
      <c r="AM53" s="170"/>
      <c r="AN53" s="170"/>
      <c r="AO53" s="170"/>
      <c r="AP53"/>
      <c r="AQ53" s="170"/>
      <c r="AR53" s="170"/>
      <c r="AS53" s="174"/>
      <c r="AT53"/>
      <c r="AU53" s="170"/>
      <c r="AV53" s="170"/>
      <c r="AW53" s="170"/>
    </row>
    <row r="54" spans="2:49" hidden="1" x14ac:dyDescent="0.25">
      <c r="B54"/>
      <c r="C54" s="170"/>
      <c r="D54" s="171"/>
      <c r="E54" s="170"/>
      <c r="F54"/>
      <c r="G54" s="172"/>
      <c r="H54" s="173"/>
      <c r="I54" s="172"/>
      <c r="J54"/>
      <c r="K54" s="170"/>
      <c r="L54" s="171"/>
      <c r="M54" s="170"/>
      <c r="N54"/>
      <c r="O54" s="170"/>
      <c r="P54" s="171"/>
      <c r="Q54" s="170"/>
      <c r="R54"/>
      <c r="S54" s="170"/>
      <c r="T54" s="171"/>
      <c r="U54" s="170"/>
      <c r="V54"/>
      <c r="W54" s="170"/>
      <c r="X54" s="170"/>
      <c r="Y54" s="174"/>
      <c r="Z54"/>
      <c r="AA54" s="170"/>
      <c r="AB54" s="171"/>
      <c r="AC54" s="174"/>
      <c r="AD54"/>
      <c r="AE54" s="170"/>
      <c r="AF54" s="170"/>
      <c r="AG54" s="170"/>
      <c r="AH54"/>
      <c r="AI54" s="170"/>
      <c r="AJ54" s="171"/>
      <c r="AK54" s="170"/>
      <c r="AL54"/>
      <c r="AM54" s="170"/>
      <c r="AN54" s="170"/>
      <c r="AO54" s="170"/>
      <c r="AP54"/>
      <c r="AQ54" s="170"/>
      <c r="AR54" s="170"/>
      <c r="AS54" s="174"/>
      <c r="AT54"/>
      <c r="AU54" s="170"/>
      <c r="AV54" s="170"/>
      <c r="AW54" s="170"/>
    </row>
    <row r="55" spans="2:49" hidden="1" x14ac:dyDescent="0.25">
      <c r="B55"/>
      <c r="C55" s="170"/>
      <c r="D55" s="171"/>
      <c r="E55" s="170"/>
      <c r="F55"/>
      <c r="G55" s="172"/>
      <c r="H55" s="173"/>
      <c r="I55" s="172"/>
      <c r="J55"/>
      <c r="K55" s="170"/>
      <c r="L55" s="171"/>
      <c r="M55" s="170"/>
      <c r="N55"/>
      <c r="O55" s="170"/>
      <c r="P55" s="171"/>
      <c r="Q55" s="170"/>
      <c r="R55"/>
      <c r="S55" s="170"/>
      <c r="T55" s="171"/>
      <c r="U55" s="170"/>
      <c r="V55"/>
      <c r="W55" s="170"/>
      <c r="X55" s="170"/>
      <c r="Y55" s="174"/>
      <c r="Z55"/>
      <c r="AA55" s="170"/>
      <c r="AB55" s="171"/>
      <c r="AC55" s="174"/>
      <c r="AD55"/>
      <c r="AE55" s="170"/>
      <c r="AF55" s="170"/>
      <c r="AG55" s="170"/>
      <c r="AH55"/>
      <c r="AI55" s="170"/>
      <c r="AJ55" s="171"/>
      <c r="AK55" s="170"/>
      <c r="AL55"/>
      <c r="AM55" s="170"/>
      <c r="AN55" s="170"/>
      <c r="AO55" s="170"/>
      <c r="AP55"/>
      <c r="AQ55" s="170"/>
      <c r="AR55" s="170"/>
      <c r="AS55" s="174"/>
      <c r="AT55"/>
      <c r="AU55" s="170"/>
      <c r="AV55" s="170"/>
      <c r="AW55" s="170"/>
    </row>
    <row r="56" spans="2:49" hidden="1" x14ac:dyDescent="0.25">
      <c r="B56"/>
      <c r="C56" s="170"/>
      <c r="D56" s="171"/>
      <c r="E56" s="170"/>
      <c r="F56"/>
      <c r="G56" s="172"/>
      <c r="H56" s="173"/>
      <c r="I56" s="172"/>
      <c r="J56"/>
      <c r="K56" s="170"/>
      <c r="L56" s="171"/>
      <c r="M56" s="170"/>
      <c r="N56"/>
      <c r="O56" s="170"/>
      <c r="P56" s="171"/>
      <c r="Q56" s="170"/>
      <c r="R56"/>
      <c r="S56" s="170"/>
      <c r="T56" s="171"/>
      <c r="U56" s="170"/>
      <c r="V56"/>
      <c r="W56" s="170"/>
      <c r="X56" s="170"/>
      <c r="Y56" s="174"/>
      <c r="Z56"/>
      <c r="AA56" s="170"/>
      <c r="AB56" s="171"/>
      <c r="AC56" s="174"/>
      <c r="AD56"/>
      <c r="AE56" s="170"/>
      <c r="AF56" s="170"/>
      <c r="AG56" s="170"/>
      <c r="AH56"/>
      <c r="AI56" s="170"/>
      <c r="AJ56" s="171"/>
      <c r="AK56" s="170"/>
      <c r="AL56"/>
      <c r="AM56" s="170"/>
      <c r="AN56" s="170"/>
      <c r="AO56" s="170"/>
      <c r="AP56"/>
      <c r="AQ56" s="170"/>
      <c r="AR56" s="170"/>
      <c r="AS56" s="174"/>
      <c r="AT56"/>
      <c r="AU56" s="170"/>
      <c r="AV56" s="170"/>
      <c r="AW56" s="170"/>
    </row>
    <row r="57" spans="2:49" hidden="1" x14ac:dyDescent="0.25">
      <c r="B57"/>
      <c r="C57" s="170"/>
      <c r="D57" s="171"/>
      <c r="E57" s="170"/>
      <c r="F57"/>
      <c r="G57" s="172"/>
      <c r="H57" s="173"/>
      <c r="I57" s="172"/>
      <c r="J57"/>
      <c r="K57" s="170"/>
      <c r="L57" s="171"/>
      <c r="M57" s="170"/>
      <c r="N57"/>
      <c r="O57" s="170"/>
      <c r="P57" s="171"/>
      <c r="Q57" s="170"/>
      <c r="R57"/>
      <c r="S57" s="170"/>
      <c r="T57" s="171"/>
      <c r="U57" s="170"/>
      <c r="V57"/>
      <c r="W57" s="170"/>
      <c r="X57" s="170"/>
      <c r="Y57" s="174"/>
      <c r="Z57"/>
      <c r="AA57" s="170"/>
      <c r="AB57" s="171"/>
      <c r="AC57" s="174"/>
      <c r="AD57"/>
      <c r="AE57" s="170"/>
      <c r="AF57" s="170"/>
      <c r="AG57" s="170"/>
      <c r="AH57"/>
      <c r="AI57" s="170"/>
      <c r="AJ57" s="171"/>
      <c r="AK57" s="170"/>
      <c r="AL57"/>
      <c r="AM57" s="170"/>
      <c r="AN57" s="170"/>
      <c r="AO57" s="170"/>
      <c r="AP57"/>
      <c r="AQ57" s="170"/>
      <c r="AR57" s="170"/>
      <c r="AS57" s="174"/>
      <c r="AT57"/>
      <c r="AU57" s="170"/>
      <c r="AV57" s="170"/>
      <c r="AW57" s="170"/>
    </row>
    <row r="58" spans="2:49" hidden="1" x14ac:dyDescent="0.25">
      <c r="B58"/>
      <c r="C58" s="170"/>
      <c r="D58" s="171"/>
      <c r="E58" s="170"/>
      <c r="F58"/>
      <c r="G58" s="172"/>
      <c r="H58" s="173"/>
      <c r="I58" s="172"/>
      <c r="J58"/>
      <c r="K58" s="170"/>
      <c r="L58" s="171"/>
      <c r="M58" s="170"/>
      <c r="N58"/>
      <c r="O58" s="170"/>
      <c r="P58" s="171"/>
      <c r="Q58" s="170"/>
      <c r="R58"/>
      <c r="S58" s="170"/>
      <c r="T58" s="171"/>
      <c r="U58" s="170"/>
      <c r="V58"/>
      <c r="W58" s="170"/>
      <c r="X58" s="170"/>
      <c r="Y58" s="174"/>
      <c r="Z58"/>
      <c r="AA58" s="170"/>
      <c r="AB58" s="171"/>
      <c r="AC58" s="174"/>
      <c r="AD58"/>
      <c r="AE58" s="170"/>
      <c r="AF58" s="170"/>
      <c r="AG58" s="170"/>
      <c r="AH58"/>
      <c r="AI58" s="170"/>
      <c r="AJ58" s="171"/>
      <c r="AK58" s="170"/>
      <c r="AL58"/>
      <c r="AM58" s="170"/>
      <c r="AN58" s="170"/>
      <c r="AO58" s="170"/>
      <c r="AP58"/>
      <c r="AQ58" s="170"/>
      <c r="AR58" s="170"/>
      <c r="AS58" s="174"/>
      <c r="AT58"/>
      <c r="AU58" s="170"/>
      <c r="AV58" s="170"/>
      <c r="AW58" s="170"/>
    </row>
    <row r="59" spans="2:49" hidden="1" x14ac:dyDescent="0.25">
      <c r="B59"/>
      <c r="C59" s="170"/>
      <c r="D59" s="171"/>
      <c r="E59" s="170"/>
      <c r="F59"/>
      <c r="G59" s="172"/>
      <c r="H59" s="173"/>
      <c r="I59" s="172"/>
      <c r="J59"/>
      <c r="K59" s="170"/>
      <c r="L59" s="171"/>
      <c r="M59" s="170"/>
      <c r="N59"/>
      <c r="O59" s="170"/>
      <c r="P59" s="171"/>
      <c r="Q59" s="170"/>
      <c r="R59"/>
      <c r="S59" s="170"/>
      <c r="T59" s="171"/>
      <c r="U59" s="170"/>
      <c r="V59"/>
      <c r="W59" s="170"/>
      <c r="X59" s="170"/>
      <c r="Y59" s="174"/>
      <c r="Z59"/>
      <c r="AA59" s="170"/>
      <c r="AB59" s="171"/>
      <c r="AC59" s="174"/>
      <c r="AD59"/>
      <c r="AE59" s="170"/>
      <c r="AF59" s="170"/>
      <c r="AG59" s="170"/>
      <c r="AH59"/>
      <c r="AI59" s="170"/>
      <c r="AJ59" s="171"/>
      <c r="AK59" s="170"/>
      <c r="AL59"/>
      <c r="AM59" s="170"/>
      <c r="AN59" s="170"/>
      <c r="AO59" s="170"/>
      <c r="AP59"/>
      <c r="AQ59" s="170"/>
      <c r="AR59" s="170"/>
      <c r="AS59" s="174"/>
      <c r="AT59"/>
      <c r="AU59" s="170"/>
      <c r="AV59" s="170"/>
      <c r="AW59" s="170"/>
    </row>
    <row r="60" spans="2:49" hidden="1" x14ac:dyDescent="0.25">
      <c r="B60"/>
      <c r="C60" s="170"/>
      <c r="D60" s="171"/>
      <c r="E60" s="170"/>
      <c r="F60"/>
      <c r="G60" s="172"/>
      <c r="H60" s="173"/>
      <c r="I60" s="172"/>
      <c r="J60"/>
      <c r="K60" s="170"/>
      <c r="L60" s="171"/>
      <c r="M60" s="170"/>
      <c r="N60"/>
      <c r="O60" s="170"/>
      <c r="P60" s="171"/>
      <c r="Q60" s="170"/>
      <c r="R60"/>
      <c r="S60" s="170"/>
      <c r="T60" s="171"/>
      <c r="U60" s="170"/>
      <c r="V60"/>
      <c r="W60" s="170"/>
      <c r="X60" s="170"/>
      <c r="Y60" s="174"/>
      <c r="Z60"/>
      <c r="AA60" s="170"/>
      <c r="AB60" s="171"/>
      <c r="AC60" s="174"/>
      <c r="AD60"/>
      <c r="AE60" s="170"/>
      <c r="AF60" s="170"/>
      <c r="AG60" s="170"/>
      <c r="AH60"/>
      <c r="AI60" s="170"/>
      <c r="AJ60" s="171"/>
      <c r="AK60" s="170"/>
      <c r="AL60"/>
      <c r="AM60" s="170"/>
      <c r="AN60" s="170"/>
      <c r="AO60" s="170"/>
      <c r="AP60"/>
      <c r="AQ60" s="170"/>
      <c r="AR60" s="170"/>
      <c r="AS60" s="174"/>
      <c r="AT60"/>
      <c r="AU60" s="170"/>
      <c r="AV60" s="170"/>
      <c r="AW60" s="170"/>
    </row>
    <row r="61" spans="2:49" hidden="1" x14ac:dyDescent="0.25">
      <c r="B61"/>
      <c r="C61" s="170"/>
      <c r="D61" s="171"/>
      <c r="E61" s="170"/>
      <c r="F61"/>
      <c r="G61" s="172"/>
      <c r="H61" s="173"/>
      <c r="I61" s="172"/>
      <c r="J61"/>
      <c r="K61" s="170"/>
      <c r="L61" s="171"/>
      <c r="M61" s="170"/>
      <c r="N61"/>
      <c r="O61" s="170"/>
      <c r="P61" s="171"/>
      <c r="Q61" s="170"/>
      <c r="R61"/>
      <c r="S61" s="170"/>
      <c r="T61" s="171"/>
      <c r="U61" s="170"/>
      <c r="V61"/>
      <c r="W61" s="170"/>
      <c r="X61" s="170"/>
      <c r="Y61" s="174"/>
      <c r="Z61"/>
      <c r="AA61" s="170"/>
      <c r="AB61" s="171"/>
      <c r="AC61" s="174"/>
      <c r="AD61"/>
      <c r="AE61" s="170"/>
      <c r="AF61" s="170"/>
      <c r="AG61" s="170"/>
      <c r="AH61"/>
      <c r="AI61" s="170"/>
      <c r="AJ61" s="171"/>
      <c r="AK61" s="170"/>
      <c r="AL61"/>
      <c r="AM61" s="170"/>
      <c r="AN61" s="170"/>
      <c r="AO61" s="170"/>
      <c r="AP61"/>
      <c r="AQ61" s="170"/>
      <c r="AR61" s="170"/>
      <c r="AS61" s="174"/>
      <c r="AT61"/>
      <c r="AU61" s="170"/>
      <c r="AV61" s="170"/>
      <c r="AW61" s="170"/>
    </row>
    <row r="62" spans="2:49" hidden="1" x14ac:dyDescent="0.25">
      <c r="B62"/>
      <c r="C62" s="170"/>
      <c r="D62" s="171"/>
      <c r="E62" s="170"/>
      <c r="F62"/>
      <c r="G62" s="172"/>
      <c r="H62" s="173"/>
      <c r="I62" s="172"/>
      <c r="J62"/>
      <c r="K62" s="170"/>
      <c r="L62" s="171"/>
      <c r="M62" s="170"/>
      <c r="N62"/>
      <c r="O62" s="170"/>
      <c r="P62" s="171"/>
      <c r="Q62" s="170"/>
      <c r="R62"/>
      <c r="S62" s="170"/>
      <c r="T62" s="171"/>
      <c r="U62" s="170"/>
      <c r="V62"/>
      <c r="W62" s="170"/>
      <c r="X62" s="170"/>
      <c r="Y62" s="174"/>
      <c r="Z62"/>
      <c r="AA62" s="170"/>
      <c r="AB62" s="171"/>
      <c r="AC62" s="174"/>
      <c r="AD62"/>
      <c r="AE62" s="170"/>
      <c r="AF62" s="170"/>
      <c r="AG62" s="170"/>
      <c r="AH62"/>
      <c r="AI62" s="170"/>
      <c r="AJ62" s="171"/>
      <c r="AK62" s="170"/>
      <c r="AL62"/>
      <c r="AM62" s="170"/>
      <c r="AN62" s="170"/>
      <c r="AO62" s="170"/>
      <c r="AP62"/>
      <c r="AQ62" s="170"/>
      <c r="AR62" s="170"/>
      <c r="AS62" s="174"/>
      <c r="AT62"/>
      <c r="AU62" s="170"/>
      <c r="AV62" s="170"/>
      <c r="AW62" s="170"/>
    </row>
    <row r="63" spans="2:49" hidden="1" x14ac:dyDescent="0.25">
      <c r="B63"/>
      <c r="C63" s="170"/>
      <c r="D63" s="171"/>
      <c r="E63" s="170"/>
      <c r="F63"/>
      <c r="G63" s="172"/>
      <c r="H63" s="173"/>
      <c r="I63" s="172"/>
      <c r="J63"/>
      <c r="K63" s="170"/>
      <c r="L63" s="171"/>
      <c r="M63" s="170"/>
      <c r="N63"/>
      <c r="O63" s="170"/>
      <c r="P63" s="171"/>
      <c r="Q63" s="170"/>
      <c r="R63"/>
      <c r="S63" s="170"/>
      <c r="T63" s="171"/>
      <c r="U63" s="170"/>
      <c r="V63"/>
      <c r="W63" s="170"/>
      <c r="X63" s="170"/>
      <c r="Y63" s="174"/>
      <c r="Z63"/>
      <c r="AA63" s="170"/>
      <c r="AB63" s="171"/>
      <c r="AC63" s="174"/>
      <c r="AD63"/>
      <c r="AE63" s="170"/>
      <c r="AF63" s="170"/>
      <c r="AG63" s="170"/>
      <c r="AH63"/>
      <c r="AI63" s="170"/>
      <c r="AJ63" s="171"/>
      <c r="AK63" s="170"/>
      <c r="AL63"/>
      <c r="AM63" s="170"/>
      <c r="AN63" s="170"/>
      <c r="AO63" s="170"/>
      <c r="AP63"/>
      <c r="AQ63" s="170"/>
      <c r="AR63" s="170"/>
      <c r="AS63" s="174"/>
      <c r="AT63"/>
      <c r="AU63" s="170"/>
      <c r="AV63" s="170"/>
      <c r="AW63" s="170"/>
    </row>
    <row r="64" spans="2:49" hidden="1" x14ac:dyDescent="0.25">
      <c r="B64"/>
      <c r="C64" s="170"/>
      <c r="D64" s="171"/>
      <c r="E64" s="170"/>
      <c r="F64"/>
      <c r="G64" s="172"/>
      <c r="H64" s="173"/>
      <c r="I64" s="172"/>
      <c r="J64"/>
      <c r="K64" s="170"/>
      <c r="L64" s="171"/>
      <c r="M64" s="170"/>
      <c r="N64"/>
      <c r="O64" s="170"/>
      <c r="P64" s="171"/>
      <c r="Q64" s="170"/>
      <c r="R64"/>
      <c r="S64" s="170"/>
      <c r="T64" s="171"/>
      <c r="U64" s="170"/>
      <c r="V64"/>
      <c r="W64" s="170"/>
      <c r="X64" s="170"/>
      <c r="Y64" s="174"/>
      <c r="Z64"/>
      <c r="AA64" s="170"/>
      <c r="AB64" s="171"/>
      <c r="AC64" s="174"/>
      <c r="AD64"/>
      <c r="AE64" s="170"/>
      <c r="AF64" s="170"/>
      <c r="AG64" s="170"/>
      <c r="AH64"/>
      <c r="AI64" s="170"/>
      <c r="AJ64" s="171"/>
      <c r="AK64" s="170"/>
      <c r="AL64"/>
      <c r="AM64" s="170"/>
      <c r="AN64" s="170"/>
      <c r="AO64" s="170"/>
      <c r="AP64"/>
      <c r="AQ64" s="170"/>
      <c r="AR64" s="170"/>
      <c r="AS64" s="174"/>
      <c r="AT64"/>
      <c r="AU64" s="170"/>
      <c r="AV64" s="170"/>
      <c r="AW64" s="170"/>
    </row>
    <row r="65" spans="2:49" hidden="1" x14ac:dyDescent="0.25">
      <c r="B65"/>
      <c r="C65" s="170"/>
      <c r="D65" s="171"/>
      <c r="E65" s="170"/>
      <c r="F65"/>
      <c r="G65" s="172"/>
      <c r="H65" s="173"/>
      <c r="I65" s="172"/>
      <c r="J65"/>
      <c r="K65" s="170"/>
      <c r="L65" s="171"/>
      <c r="M65" s="170"/>
      <c r="N65"/>
      <c r="O65" s="170"/>
      <c r="P65" s="171"/>
      <c r="Q65" s="170"/>
      <c r="R65"/>
      <c r="S65" s="170"/>
      <c r="T65" s="171"/>
      <c r="U65" s="170"/>
      <c r="V65"/>
      <c r="W65" s="170"/>
      <c r="X65" s="170"/>
      <c r="Y65" s="174"/>
      <c r="Z65"/>
      <c r="AA65" s="170"/>
      <c r="AB65" s="171"/>
      <c r="AC65" s="174"/>
      <c r="AD65"/>
      <c r="AE65" s="170"/>
      <c r="AF65" s="170"/>
      <c r="AG65" s="170"/>
      <c r="AH65"/>
      <c r="AI65" s="170"/>
      <c r="AJ65" s="171"/>
      <c r="AK65" s="170"/>
      <c r="AL65"/>
      <c r="AM65" s="170"/>
      <c r="AN65" s="170"/>
      <c r="AO65" s="170"/>
      <c r="AP65"/>
      <c r="AQ65" s="170"/>
      <c r="AR65" s="170"/>
      <c r="AS65" s="174"/>
      <c r="AT65"/>
      <c r="AU65" s="170"/>
      <c r="AV65" s="170"/>
      <c r="AW65" s="170"/>
    </row>
    <row r="66" spans="2:49" hidden="1" x14ac:dyDescent="0.25">
      <c r="B66"/>
      <c r="C66" s="170"/>
      <c r="D66" s="171"/>
      <c r="E66" s="170"/>
      <c r="F66"/>
      <c r="G66" s="172"/>
      <c r="H66" s="173"/>
      <c r="I66" s="172"/>
      <c r="J66"/>
      <c r="K66" s="170"/>
      <c r="L66" s="171"/>
      <c r="M66" s="170"/>
      <c r="N66"/>
      <c r="O66" s="170"/>
      <c r="P66" s="171"/>
      <c r="Q66" s="170"/>
      <c r="R66"/>
      <c r="S66" s="170"/>
      <c r="T66" s="171"/>
      <c r="U66" s="170"/>
      <c r="V66"/>
      <c r="W66" s="170"/>
      <c r="X66" s="170"/>
      <c r="Y66" s="174"/>
      <c r="Z66"/>
      <c r="AA66" s="170"/>
      <c r="AB66" s="171"/>
      <c r="AC66" s="174"/>
      <c r="AD66"/>
      <c r="AE66" s="170"/>
      <c r="AF66" s="170"/>
      <c r="AG66" s="170"/>
      <c r="AH66"/>
      <c r="AI66" s="170"/>
      <c r="AJ66" s="171"/>
      <c r="AK66" s="170"/>
      <c r="AL66"/>
      <c r="AM66" s="170"/>
      <c r="AN66" s="170"/>
      <c r="AO66" s="170"/>
      <c r="AP66"/>
      <c r="AQ66" s="170"/>
      <c r="AR66" s="170"/>
      <c r="AS66" s="174"/>
      <c r="AT66"/>
      <c r="AU66" s="170"/>
      <c r="AV66" s="170"/>
      <c r="AW66" s="170"/>
    </row>
    <row r="67" spans="2:49" hidden="1" x14ac:dyDescent="0.25">
      <c r="B67"/>
      <c r="C67" s="170"/>
      <c r="D67" s="171"/>
      <c r="E67" s="170"/>
      <c r="F67"/>
      <c r="G67" s="172"/>
      <c r="H67" s="173"/>
      <c r="I67" s="172"/>
      <c r="J67"/>
      <c r="K67" s="170"/>
      <c r="L67" s="171"/>
      <c r="M67" s="170"/>
      <c r="N67"/>
      <c r="O67" s="170"/>
      <c r="P67" s="171"/>
      <c r="Q67" s="170"/>
      <c r="R67"/>
      <c r="S67" s="170"/>
      <c r="T67" s="171"/>
      <c r="U67" s="170"/>
      <c r="V67"/>
      <c r="W67" s="170"/>
      <c r="X67" s="170"/>
      <c r="Y67" s="174"/>
      <c r="Z67"/>
      <c r="AA67" s="170"/>
      <c r="AB67" s="171"/>
      <c r="AC67" s="174"/>
      <c r="AD67"/>
      <c r="AE67" s="170"/>
      <c r="AF67" s="170"/>
      <c r="AG67" s="170"/>
      <c r="AH67"/>
      <c r="AI67" s="170"/>
      <c r="AJ67" s="171"/>
      <c r="AK67" s="170"/>
      <c r="AL67"/>
      <c r="AM67" s="170"/>
      <c r="AN67" s="170"/>
      <c r="AO67" s="170"/>
      <c r="AP67"/>
      <c r="AQ67" s="170"/>
      <c r="AR67" s="170"/>
      <c r="AS67" s="174"/>
      <c r="AT67"/>
      <c r="AU67" s="170"/>
      <c r="AV67" s="170"/>
      <c r="AW67" s="170"/>
    </row>
    <row r="68" spans="2:49" hidden="1" x14ac:dyDescent="0.25">
      <c r="B68"/>
      <c r="C68" s="170"/>
      <c r="D68" s="171"/>
      <c r="E68" s="170"/>
      <c r="F68"/>
      <c r="G68" s="172"/>
      <c r="H68" s="173"/>
      <c r="I68" s="172"/>
      <c r="J68"/>
      <c r="K68" s="170"/>
      <c r="L68" s="171"/>
      <c r="M68" s="170"/>
      <c r="N68"/>
      <c r="O68" s="170"/>
      <c r="P68" s="171"/>
      <c r="Q68" s="170"/>
      <c r="R68"/>
      <c r="S68" s="170"/>
      <c r="T68" s="171"/>
      <c r="U68" s="170"/>
      <c r="V68"/>
      <c r="W68" s="170"/>
      <c r="X68" s="170"/>
      <c r="Y68" s="174"/>
      <c r="Z68"/>
      <c r="AA68" s="170"/>
      <c r="AB68" s="171"/>
      <c r="AC68" s="174"/>
      <c r="AD68"/>
      <c r="AE68" s="170"/>
      <c r="AF68" s="170"/>
      <c r="AG68" s="170"/>
      <c r="AH68"/>
      <c r="AI68" s="170"/>
      <c r="AJ68" s="171"/>
      <c r="AK68" s="170"/>
      <c r="AL68"/>
      <c r="AM68" s="170"/>
      <c r="AN68" s="170"/>
      <c r="AO68" s="170"/>
      <c r="AP68"/>
      <c r="AQ68" s="170"/>
      <c r="AR68" s="170"/>
      <c r="AS68" s="174"/>
      <c r="AT68"/>
      <c r="AU68" s="170"/>
      <c r="AV68" s="170"/>
      <c r="AW68" s="170"/>
    </row>
    <row r="69" spans="2:49" hidden="1" x14ac:dyDescent="0.25">
      <c r="B69"/>
      <c r="C69" s="170"/>
      <c r="D69" s="171"/>
      <c r="E69" s="170"/>
      <c r="F69"/>
      <c r="G69" s="172"/>
      <c r="H69" s="173"/>
      <c r="I69" s="172"/>
      <c r="J69"/>
      <c r="K69" s="170"/>
      <c r="L69" s="171"/>
      <c r="M69" s="170"/>
      <c r="N69"/>
      <c r="O69" s="170"/>
      <c r="P69" s="171"/>
      <c r="Q69" s="170"/>
      <c r="R69"/>
      <c r="S69" s="170"/>
      <c r="T69" s="171"/>
      <c r="U69" s="170"/>
      <c r="V69"/>
      <c r="W69" s="170"/>
      <c r="X69" s="170"/>
      <c r="Y69" s="174"/>
      <c r="Z69"/>
      <c r="AA69" s="170"/>
      <c r="AB69" s="171"/>
      <c r="AC69" s="174"/>
      <c r="AD69"/>
      <c r="AE69" s="170"/>
      <c r="AF69" s="170"/>
      <c r="AG69" s="170"/>
      <c r="AH69"/>
      <c r="AI69" s="170"/>
      <c r="AJ69" s="171"/>
      <c r="AK69" s="170"/>
      <c r="AL69"/>
      <c r="AM69" s="170"/>
      <c r="AN69" s="170"/>
      <c r="AO69" s="170"/>
      <c r="AP69"/>
      <c r="AQ69" s="170"/>
      <c r="AR69" s="170"/>
      <c r="AS69" s="174"/>
      <c r="AT69"/>
      <c r="AU69" s="170"/>
      <c r="AV69" s="170"/>
      <c r="AW69" s="170"/>
    </row>
    <row r="70" spans="2:49" hidden="1" x14ac:dyDescent="0.25">
      <c r="B70"/>
      <c r="C70" s="170"/>
      <c r="D70" s="171"/>
      <c r="E70" s="170"/>
      <c r="F70"/>
      <c r="G70" s="172"/>
      <c r="H70" s="173"/>
      <c r="I70" s="172"/>
      <c r="J70"/>
      <c r="K70" s="170"/>
      <c r="L70" s="171"/>
      <c r="M70" s="170"/>
      <c r="N70"/>
      <c r="O70" s="170"/>
      <c r="P70" s="171"/>
      <c r="Q70" s="170"/>
      <c r="R70"/>
      <c r="S70" s="170"/>
      <c r="T70" s="171"/>
      <c r="U70" s="170"/>
      <c r="V70"/>
      <c r="W70" s="170"/>
      <c r="X70" s="170"/>
      <c r="Y70" s="174"/>
      <c r="Z70"/>
      <c r="AA70" s="170"/>
      <c r="AB70" s="171"/>
      <c r="AC70" s="174"/>
      <c r="AD70"/>
      <c r="AE70" s="170"/>
      <c r="AF70" s="170"/>
      <c r="AG70" s="170"/>
      <c r="AH70"/>
      <c r="AI70" s="170"/>
      <c r="AJ70" s="171"/>
      <c r="AK70" s="170"/>
      <c r="AL70"/>
      <c r="AM70" s="170"/>
      <c r="AN70" s="170"/>
      <c r="AO70" s="170"/>
      <c r="AP70"/>
      <c r="AQ70" s="170"/>
      <c r="AR70" s="170"/>
      <c r="AS70" s="174"/>
      <c r="AT70"/>
      <c r="AU70" s="170"/>
      <c r="AV70" s="170"/>
      <c r="AW70" s="170"/>
    </row>
    <row r="71" spans="2:49" hidden="1" x14ac:dyDescent="0.25">
      <c r="B71"/>
      <c r="C71" s="170"/>
      <c r="D71" s="171"/>
      <c r="E71" s="170"/>
      <c r="F71"/>
      <c r="G71" s="172"/>
      <c r="H71" s="173"/>
      <c r="I71" s="172"/>
      <c r="J71"/>
      <c r="K71" s="170"/>
      <c r="L71" s="171"/>
      <c r="M71" s="170"/>
      <c r="N71"/>
      <c r="O71" s="170"/>
      <c r="P71" s="171"/>
      <c r="Q71" s="170"/>
      <c r="R71"/>
      <c r="S71" s="170"/>
      <c r="T71" s="171"/>
      <c r="U71" s="170"/>
      <c r="V71"/>
      <c r="W71" s="170"/>
      <c r="X71" s="170"/>
      <c r="Y71" s="174"/>
      <c r="Z71"/>
      <c r="AA71" s="170"/>
      <c r="AB71" s="171"/>
      <c r="AC71" s="174"/>
      <c r="AD71"/>
      <c r="AE71" s="170"/>
      <c r="AF71" s="170"/>
      <c r="AG71" s="170"/>
      <c r="AH71"/>
      <c r="AI71" s="170"/>
      <c r="AJ71" s="171"/>
      <c r="AK71" s="170"/>
      <c r="AL71"/>
      <c r="AM71" s="170"/>
      <c r="AN71" s="170"/>
      <c r="AO71" s="170"/>
      <c r="AP71"/>
      <c r="AQ71" s="170"/>
      <c r="AR71" s="170"/>
      <c r="AS71" s="174"/>
      <c r="AT71"/>
      <c r="AU71" s="170"/>
      <c r="AV71" s="170"/>
      <c r="AW71" s="170"/>
    </row>
    <row r="72" spans="2:49" hidden="1" x14ac:dyDescent="0.25">
      <c r="B72"/>
      <c r="C72" s="170"/>
      <c r="D72" s="171"/>
      <c r="E72" s="170"/>
      <c r="F72"/>
      <c r="G72" s="172"/>
      <c r="H72" s="173"/>
      <c r="I72" s="172"/>
      <c r="J72"/>
      <c r="K72" s="170"/>
      <c r="L72" s="171"/>
      <c r="M72" s="170"/>
      <c r="N72"/>
      <c r="O72" s="170"/>
      <c r="P72" s="171"/>
      <c r="Q72" s="170"/>
      <c r="R72"/>
      <c r="S72" s="170"/>
      <c r="T72" s="171"/>
      <c r="U72" s="170"/>
      <c r="V72"/>
      <c r="W72" s="170"/>
      <c r="X72" s="170"/>
      <c r="Y72" s="174"/>
      <c r="Z72"/>
      <c r="AA72" s="170"/>
      <c r="AB72" s="171"/>
      <c r="AC72" s="174"/>
      <c r="AD72"/>
      <c r="AE72" s="170"/>
      <c r="AF72" s="170"/>
      <c r="AG72" s="170"/>
      <c r="AH72"/>
      <c r="AI72" s="170"/>
      <c r="AJ72" s="171"/>
      <c r="AK72" s="170"/>
      <c r="AL72"/>
      <c r="AM72" s="170"/>
      <c r="AN72" s="170"/>
      <c r="AO72" s="170"/>
      <c r="AP72"/>
      <c r="AQ72" s="170"/>
      <c r="AR72" s="170"/>
      <c r="AS72" s="174"/>
      <c r="AT72"/>
      <c r="AU72" s="170"/>
      <c r="AV72" s="170"/>
      <c r="AW72" s="170"/>
    </row>
    <row r="73" spans="2:49" hidden="1" x14ac:dyDescent="0.25">
      <c r="B73"/>
      <c r="C73" s="170"/>
      <c r="D73" s="171"/>
      <c r="E73" s="170"/>
      <c r="F73"/>
      <c r="G73" s="172"/>
      <c r="H73" s="173"/>
      <c r="I73" s="172"/>
      <c r="J73"/>
      <c r="K73" s="170"/>
      <c r="L73" s="171"/>
      <c r="M73" s="170"/>
      <c r="N73"/>
      <c r="O73" s="170"/>
      <c r="P73" s="171"/>
      <c r="Q73" s="170"/>
      <c r="R73"/>
      <c r="S73" s="170"/>
      <c r="T73" s="171"/>
      <c r="U73" s="170"/>
      <c r="V73"/>
      <c r="W73" s="170"/>
      <c r="X73" s="170"/>
      <c r="Y73" s="174"/>
      <c r="Z73"/>
      <c r="AA73" s="170"/>
      <c r="AB73" s="171"/>
      <c r="AC73" s="174"/>
      <c r="AD73"/>
      <c r="AE73" s="170"/>
      <c r="AF73" s="170"/>
      <c r="AG73" s="170"/>
      <c r="AH73"/>
      <c r="AI73" s="170"/>
      <c r="AJ73" s="171"/>
      <c r="AK73" s="170"/>
      <c r="AL73"/>
      <c r="AM73" s="170"/>
      <c r="AN73" s="170"/>
      <c r="AO73" s="170"/>
      <c r="AP73"/>
      <c r="AQ73" s="170"/>
      <c r="AR73" s="170"/>
      <c r="AS73" s="174"/>
      <c r="AT73"/>
      <c r="AU73" s="170"/>
      <c r="AV73" s="170"/>
      <c r="AW73" s="170"/>
    </row>
    <row r="74" spans="2:49" hidden="1" x14ac:dyDescent="0.25">
      <c r="B74"/>
      <c r="C74" s="170"/>
      <c r="D74" s="171"/>
      <c r="E74" s="170"/>
      <c r="F74"/>
      <c r="G74" s="172"/>
      <c r="H74" s="173"/>
      <c r="I74" s="172"/>
      <c r="J74"/>
      <c r="K74" s="170"/>
      <c r="L74" s="171"/>
      <c r="M74" s="170"/>
      <c r="N74"/>
      <c r="O74" s="170"/>
      <c r="P74" s="171"/>
      <c r="Q74" s="170"/>
      <c r="R74"/>
      <c r="S74" s="170"/>
      <c r="T74" s="171"/>
      <c r="U74" s="170"/>
      <c r="V74"/>
      <c r="W74" s="170"/>
      <c r="X74" s="170"/>
      <c r="Y74" s="174"/>
      <c r="Z74"/>
      <c r="AA74" s="170"/>
      <c r="AB74" s="171"/>
      <c r="AC74" s="174"/>
      <c r="AD74"/>
      <c r="AE74" s="170"/>
      <c r="AF74" s="170"/>
      <c r="AG74" s="170"/>
      <c r="AH74"/>
      <c r="AI74" s="170"/>
      <c r="AJ74" s="171"/>
      <c r="AK74" s="170"/>
      <c r="AL74"/>
      <c r="AM74" s="170"/>
      <c r="AN74" s="170"/>
      <c r="AO74" s="170"/>
      <c r="AP74"/>
      <c r="AQ74" s="170"/>
      <c r="AR74" s="170"/>
      <c r="AS74" s="174"/>
      <c r="AT74"/>
      <c r="AU74" s="170"/>
      <c r="AV74" s="170"/>
      <c r="AW74" s="170"/>
    </row>
    <row r="75" spans="2:49" hidden="1" x14ac:dyDescent="0.25">
      <c r="B75"/>
      <c r="C75" s="170"/>
      <c r="D75" s="171"/>
      <c r="E75" s="170"/>
      <c r="F75"/>
      <c r="G75" s="172"/>
      <c r="H75" s="173"/>
      <c r="I75" s="172"/>
      <c r="J75"/>
      <c r="K75" s="170"/>
      <c r="L75" s="171"/>
      <c r="M75" s="170"/>
      <c r="N75"/>
      <c r="O75" s="170"/>
      <c r="P75" s="171"/>
      <c r="Q75" s="170"/>
      <c r="R75"/>
      <c r="S75" s="170"/>
      <c r="T75" s="171"/>
      <c r="U75" s="170"/>
      <c r="V75"/>
      <c r="W75" s="170"/>
      <c r="X75" s="170"/>
      <c r="Y75" s="174"/>
      <c r="Z75"/>
      <c r="AA75" s="170"/>
      <c r="AB75" s="171"/>
      <c r="AC75" s="174"/>
      <c r="AD75"/>
      <c r="AE75" s="170"/>
      <c r="AF75" s="170"/>
      <c r="AG75" s="170"/>
      <c r="AH75"/>
      <c r="AI75" s="170"/>
      <c r="AJ75" s="171"/>
      <c r="AK75" s="170"/>
      <c r="AL75"/>
      <c r="AM75" s="170"/>
      <c r="AN75" s="170"/>
      <c r="AO75" s="170"/>
      <c r="AP75"/>
      <c r="AQ75" s="170"/>
      <c r="AR75" s="170"/>
      <c r="AS75" s="174"/>
      <c r="AT75"/>
      <c r="AU75" s="170"/>
      <c r="AV75" s="170"/>
      <c r="AW75" s="170"/>
    </row>
    <row r="76" spans="2:49" hidden="1" x14ac:dyDescent="0.25">
      <c r="B76"/>
      <c r="C76" s="170"/>
      <c r="D76" s="171"/>
      <c r="E76" s="170"/>
      <c r="F76"/>
      <c r="G76" s="172"/>
      <c r="H76" s="173"/>
      <c r="I76" s="172"/>
      <c r="J76"/>
      <c r="K76" s="170"/>
      <c r="L76" s="171"/>
      <c r="M76" s="170"/>
      <c r="N76"/>
      <c r="O76" s="170"/>
      <c r="P76" s="171"/>
      <c r="Q76" s="170"/>
      <c r="R76"/>
      <c r="S76" s="170"/>
      <c r="T76" s="171"/>
      <c r="U76" s="170"/>
      <c r="V76"/>
      <c r="W76" s="170"/>
      <c r="X76" s="170"/>
      <c r="Y76" s="174"/>
      <c r="Z76"/>
      <c r="AA76" s="170"/>
      <c r="AB76" s="171"/>
      <c r="AC76" s="174"/>
      <c r="AD76"/>
      <c r="AE76" s="170"/>
      <c r="AF76" s="170"/>
      <c r="AG76" s="170"/>
      <c r="AH76"/>
      <c r="AI76" s="170"/>
      <c r="AJ76" s="171"/>
      <c r="AK76" s="170"/>
      <c r="AL76"/>
      <c r="AM76" s="170"/>
      <c r="AN76" s="170"/>
      <c r="AO76" s="170"/>
      <c r="AP76"/>
      <c r="AQ76" s="170"/>
      <c r="AR76" s="170"/>
      <c r="AS76" s="174"/>
      <c r="AT76"/>
      <c r="AU76" s="170"/>
      <c r="AV76" s="170"/>
      <c r="AW76" s="170"/>
    </row>
    <row r="77" spans="2:49" hidden="1" x14ac:dyDescent="0.25">
      <c r="B77"/>
      <c r="C77" s="170"/>
      <c r="D77" s="171"/>
      <c r="E77" s="170"/>
      <c r="F77"/>
      <c r="G77" s="172"/>
      <c r="H77" s="173"/>
      <c r="I77" s="172"/>
      <c r="J77"/>
      <c r="K77" s="170"/>
      <c r="L77" s="171"/>
      <c r="M77" s="170"/>
      <c r="N77"/>
      <c r="O77" s="170"/>
      <c r="P77" s="171"/>
      <c r="Q77" s="170"/>
      <c r="R77"/>
      <c r="S77" s="170"/>
      <c r="T77" s="171"/>
      <c r="U77" s="170"/>
      <c r="V77"/>
      <c r="W77" s="170"/>
      <c r="X77" s="170"/>
      <c r="Y77" s="174"/>
      <c r="Z77"/>
      <c r="AA77" s="170"/>
      <c r="AB77" s="171"/>
      <c r="AC77" s="174"/>
      <c r="AD77"/>
      <c r="AE77" s="170"/>
      <c r="AF77" s="170"/>
      <c r="AG77" s="170"/>
      <c r="AH77"/>
      <c r="AI77" s="170"/>
      <c r="AJ77" s="171"/>
      <c r="AK77" s="170"/>
      <c r="AL77"/>
      <c r="AM77" s="170"/>
      <c r="AN77" s="170"/>
      <c r="AO77" s="170"/>
      <c r="AP77"/>
      <c r="AQ77" s="170"/>
      <c r="AR77" s="170"/>
      <c r="AS77" s="174"/>
      <c r="AT77"/>
      <c r="AU77" s="170"/>
      <c r="AV77" s="170"/>
      <c r="AW77" s="170"/>
    </row>
    <row r="78" spans="2:49" hidden="1" x14ac:dyDescent="0.25">
      <c r="B78"/>
      <c r="C78" s="170"/>
      <c r="D78" s="171"/>
      <c r="E78" s="170"/>
      <c r="F78"/>
      <c r="G78" s="172"/>
      <c r="H78" s="173"/>
      <c r="I78" s="172"/>
      <c r="J78"/>
      <c r="K78" s="170"/>
      <c r="L78" s="171"/>
      <c r="M78" s="170"/>
      <c r="N78"/>
      <c r="O78" s="170"/>
      <c r="P78" s="171"/>
      <c r="Q78" s="170"/>
      <c r="R78"/>
      <c r="S78" s="170"/>
      <c r="T78" s="171"/>
      <c r="U78" s="170"/>
      <c r="V78"/>
      <c r="W78" s="170"/>
      <c r="X78" s="170"/>
      <c r="Y78" s="174"/>
      <c r="Z78"/>
      <c r="AA78" s="170"/>
      <c r="AB78" s="171"/>
      <c r="AC78" s="174"/>
      <c r="AD78"/>
      <c r="AE78" s="170"/>
      <c r="AF78" s="170"/>
      <c r="AG78" s="170"/>
      <c r="AH78"/>
      <c r="AI78" s="170"/>
      <c r="AJ78" s="171"/>
      <c r="AK78" s="170"/>
      <c r="AL78"/>
      <c r="AM78" s="170"/>
      <c r="AN78" s="170"/>
      <c r="AO78" s="170"/>
      <c r="AP78"/>
      <c r="AQ78" s="170"/>
      <c r="AR78" s="170"/>
      <c r="AS78" s="174"/>
      <c r="AT78"/>
      <c r="AU78" s="170"/>
      <c r="AV78" s="170"/>
      <c r="AW78" s="170"/>
    </row>
    <row r="79" spans="2:49" hidden="1" x14ac:dyDescent="0.25">
      <c r="B79"/>
      <c r="C79" s="170"/>
      <c r="D79" s="171"/>
      <c r="E79" s="170"/>
      <c r="F79"/>
      <c r="G79" s="172"/>
      <c r="H79" s="173"/>
      <c r="I79" s="172"/>
      <c r="J79"/>
      <c r="K79" s="170"/>
      <c r="L79" s="171"/>
      <c r="M79" s="170"/>
      <c r="N79"/>
      <c r="O79" s="170"/>
      <c r="P79" s="171"/>
      <c r="Q79" s="170"/>
      <c r="R79"/>
      <c r="S79" s="170"/>
      <c r="T79" s="171"/>
      <c r="U79" s="170"/>
      <c r="V79"/>
      <c r="W79" s="170"/>
      <c r="X79" s="170"/>
      <c r="Y79" s="174"/>
      <c r="Z79"/>
      <c r="AA79" s="170"/>
      <c r="AB79" s="171"/>
      <c r="AC79" s="174"/>
      <c r="AD79"/>
      <c r="AE79" s="170"/>
      <c r="AF79" s="170"/>
      <c r="AG79" s="170"/>
      <c r="AH79"/>
      <c r="AI79" s="170"/>
      <c r="AJ79" s="171"/>
      <c r="AK79" s="170"/>
      <c r="AL79"/>
      <c r="AM79" s="170"/>
      <c r="AN79" s="170"/>
      <c r="AO79" s="170"/>
      <c r="AP79"/>
      <c r="AQ79" s="170"/>
      <c r="AR79" s="170"/>
      <c r="AS79" s="174"/>
      <c r="AT79"/>
      <c r="AU79" s="170"/>
      <c r="AV79" s="170"/>
      <c r="AW79" s="170"/>
    </row>
    <row r="80" spans="2:49" hidden="1" x14ac:dyDescent="0.25">
      <c r="B80"/>
      <c r="C80" s="170"/>
      <c r="D80" s="171"/>
      <c r="E80" s="170"/>
      <c r="F80"/>
      <c r="G80" s="172"/>
      <c r="H80" s="173"/>
      <c r="I80" s="172"/>
      <c r="J80"/>
      <c r="K80" s="170"/>
      <c r="L80" s="171"/>
      <c r="M80" s="170"/>
      <c r="N80"/>
      <c r="O80" s="170"/>
      <c r="P80" s="171"/>
      <c r="Q80" s="170"/>
      <c r="R80"/>
      <c r="S80" s="170"/>
      <c r="T80" s="171"/>
      <c r="U80" s="170"/>
      <c r="V80"/>
      <c r="W80" s="170"/>
      <c r="X80" s="170"/>
      <c r="Y80" s="174"/>
      <c r="Z80"/>
      <c r="AA80" s="170"/>
      <c r="AB80" s="171"/>
      <c r="AC80" s="174"/>
      <c r="AD80"/>
      <c r="AE80" s="170"/>
      <c r="AF80" s="170"/>
      <c r="AG80" s="170"/>
      <c r="AH80"/>
      <c r="AI80" s="170"/>
      <c r="AJ80" s="171"/>
      <c r="AK80" s="170"/>
      <c r="AL80"/>
      <c r="AM80" s="170"/>
      <c r="AN80" s="170"/>
      <c r="AO80" s="170"/>
      <c r="AP80"/>
      <c r="AQ80" s="170"/>
      <c r="AR80" s="170"/>
      <c r="AS80" s="174"/>
      <c r="AT80"/>
      <c r="AU80" s="170"/>
      <c r="AV80" s="170"/>
      <c r="AW80" s="170"/>
    </row>
    <row r="81" spans="2:49" hidden="1" x14ac:dyDescent="0.25">
      <c r="B81"/>
      <c r="C81" s="170"/>
      <c r="D81" s="171"/>
      <c r="E81" s="170"/>
      <c r="F81"/>
      <c r="G81" s="172"/>
      <c r="H81" s="173"/>
      <c r="I81" s="172"/>
      <c r="J81"/>
      <c r="K81" s="170"/>
      <c r="L81" s="171"/>
      <c r="M81" s="170"/>
      <c r="N81"/>
      <c r="O81" s="170"/>
      <c r="P81" s="171"/>
      <c r="Q81" s="170"/>
      <c r="R81"/>
      <c r="S81" s="170"/>
      <c r="T81" s="171"/>
      <c r="U81" s="170"/>
      <c r="V81"/>
      <c r="W81" s="170"/>
      <c r="X81" s="170"/>
      <c r="Y81" s="174"/>
      <c r="Z81"/>
      <c r="AA81" s="170"/>
      <c r="AB81" s="171"/>
      <c r="AC81" s="174"/>
      <c r="AD81"/>
      <c r="AE81" s="170"/>
      <c r="AF81" s="170"/>
      <c r="AG81" s="170"/>
      <c r="AH81"/>
      <c r="AI81" s="170"/>
      <c r="AJ81" s="171"/>
      <c r="AK81" s="170"/>
      <c r="AL81"/>
      <c r="AM81" s="170"/>
      <c r="AN81" s="170"/>
      <c r="AO81" s="170"/>
      <c r="AP81"/>
      <c r="AQ81" s="170"/>
      <c r="AR81" s="170"/>
      <c r="AS81" s="174"/>
      <c r="AT81"/>
      <c r="AU81" s="170"/>
      <c r="AV81" s="170"/>
      <c r="AW81" s="170"/>
    </row>
    <row r="82" spans="2:49" hidden="1" x14ac:dyDescent="0.25">
      <c r="B82"/>
      <c r="C82" s="170"/>
      <c r="D82" s="171"/>
      <c r="E82" s="170"/>
      <c r="F82"/>
      <c r="G82" s="172"/>
      <c r="H82" s="173"/>
      <c r="I82" s="172"/>
      <c r="J82"/>
      <c r="K82" s="170"/>
      <c r="L82" s="171"/>
      <c r="M82" s="170"/>
      <c r="N82"/>
      <c r="O82" s="170"/>
      <c r="P82" s="171"/>
      <c r="Q82" s="170"/>
      <c r="R82"/>
      <c r="S82" s="170"/>
      <c r="T82" s="171"/>
      <c r="U82" s="170"/>
      <c r="V82"/>
      <c r="W82" s="170"/>
      <c r="X82" s="170"/>
      <c r="Y82" s="174"/>
      <c r="Z82"/>
      <c r="AA82" s="170"/>
      <c r="AB82" s="171"/>
      <c r="AC82" s="174"/>
      <c r="AD82"/>
      <c r="AE82" s="170"/>
      <c r="AF82" s="170"/>
      <c r="AG82" s="170"/>
      <c r="AH82"/>
      <c r="AI82" s="170"/>
      <c r="AJ82" s="171"/>
      <c r="AK82" s="170"/>
      <c r="AL82"/>
      <c r="AM82" s="170"/>
      <c r="AN82" s="170"/>
      <c r="AO82" s="170"/>
      <c r="AP82"/>
      <c r="AQ82" s="170"/>
      <c r="AR82" s="170"/>
      <c r="AS82" s="174"/>
      <c r="AT82"/>
      <c r="AU82" s="170"/>
      <c r="AV82" s="170"/>
      <c r="AW82" s="170"/>
    </row>
    <row r="83" spans="2:49" hidden="1" x14ac:dyDescent="0.25">
      <c r="B83"/>
      <c r="C83" s="170"/>
      <c r="D83" s="171"/>
      <c r="E83" s="170"/>
      <c r="F83"/>
      <c r="G83" s="172"/>
      <c r="H83" s="173"/>
      <c r="I83" s="172"/>
      <c r="J83"/>
      <c r="K83" s="170"/>
      <c r="L83" s="171"/>
      <c r="M83" s="170"/>
      <c r="N83"/>
      <c r="O83" s="170"/>
      <c r="P83" s="171"/>
      <c r="Q83" s="170"/>
      <c r="R83"/>
      <c r="S83" s="170"/>
      <c r="T83" s="171"/>
      <c r="U83" s="170"/>
      <c r="V83"/>
      <c r="W83" s="170"/>
      <c r="X83" s="170"/>
      <c r="Y83" s="174"/>
      <c r="Z83"/>
      <c r="AA83" s="170"/>
      <c r="AB83" s="171"/>
      <c r="AC83" s="174"/>
      <c r="AD83"/>
      <c r="AE83" s="170"/>
      <c r="AF83" s="170"/>
      <c r="AG83" s="170"/>
      <c r="AH83"/>
      <c r="AI83" s="170"/>
      <c r="AJ83" s="171"/>
      <c r="AK83" s="170"/>
      <c r="AL83"/>
      <c r="AM83" s="170"/>
      <c r="AN83" s="170"/>
      <c r="AO83" s="170"/>
      <c r="AP83"/>
      <c r="AQ83" s="170"/>
      <c r="AR83" s="170"/>
      <c r="AS83" s="174"/>
      <c r="AT83"/>
      <c r="AU83" s="170"/>
      <c r="AV83" s="170"/>
      <c r="AW83" s="170"/>
    </row>
    <row r="84" spans="2:49" hidden="1" x14ac:dyDescent="0.25">
      <c r="B84"/>
      <c r="C84" s="170"/>
      <c r="D84" s="171"/>
      <c r="E84" s="170"/>
      <c r="F84"/>
      <c r="G84" s="172"/>
      <c r="H84" s="173"/>
      <c r="I84" s="172"/>
      <c r="J84"/>
      <c r="K84" s="170"/>
      <c r="L84" s="171"/>
      <c r="M84" s="170"/>
      <c r="N84"/>
      <c r="O84" s="170"/>
      <c r="P84" s="171"/>
      <c r="Q84" s="170"/>
      <c r="R84"/>
      <c r="S84" s="170"/>
      <c r="T84" s="171"/>
      <c r="U84" s="170"/>
      <c r="V84"/>
      <c r="W84" s="170"/>
      <c r="X84" s="170"/>
      <c r="Y84" s="174"/>
      <c r="Z84"/>
      <c r="AA84" s="170"/>
      <c r="AB84" s="171"/>
      <c r="AC84" s="174"/>
      <c r="AD84"/>
      <c r="AE84" s="170"/>
      <c r="AF84" s="170"/>
      <c r="AG84" s="170"/>
      <c r="AH84"/>
      <c r="AI84" s="170"/>
      <c r="AJ84" s="171"/>
      <c r="AK84" s="170"/>
      <c r="AL84"/>
      <c r="AM84" s="170"/>
      <c r="AN84" s="170"/>
      <c r="AO84" s="170"/>
      <c r="AP84"/>
      <c r="AQ84" s="170"/>
      <c r="AR84" s="170"/>
      <c r="AS84" s="174"/>
      <c r="AT84"/>
      <c r="AU84" s="170"/>
      <c r="AV84" s="170"/>
      <c r="AW84" s="170"/>
    </row>
    <row r="85" spans="2:49" hidden="1" x14ac:dyDescent="0.25">
      <c r="B85"/>
      <c r="C85" s="170"/>
      <c r="D85" s="171"/>
      <c r="E85" s="170"/>
      <c r="F85"/>
      <c r="G85" s="172"/>
      <c r="H85" s="173"/>
      <c r="I85" s="172"/>
      <c r="J85"/>
      <c r="K85" s="170"/>
      <c r="L85" s="171"/>
      <c r="M85" s="170"/>
      <c r="N85"/>
      <c r="O85" s="170"/>
      <c r="P85" s="171"/>
      <c r="Q85" s="170"/>
      <c r="R85"/>
      <c r="S85" s="170"/>
      <c r="T85" s="171"/>
      <c r="U85" s="170"/>
      <c r="V85"/>
      <c r="W85" s="170"/>
      <c r="X85" s="170"/>
      <c r="Y85" s="174"/>
      <c r="Z85"/>
      <c r="AA85" s="170"/>
      <c r="AB85" s="171"/>
      <c r="AC85" s="174"/>
      <c r="AD85"/>
      <c r="AE85" s="170"/>
      <c r="AF85" s="170"/>
      <c r="AG85" s="170"/>
      <c r="AH85"/>
      <c r="AI85" s="170"/>
      <c r="AJ85" s="171"/>
      <c r="AK85" s="170"/>
      <c r="AL85"/>
      <c r="AM85" s="170"/>
      <c r="AN85" s="170"/>
      <c r="AO85" s="170"/>
      <c r="AP85"/>
      <c r="AQ85" s="170"/>
      <c r="AR85" s="170"/>
      <c r="AS85" s="174"/>
      <c r="AT85"/>
      <c r="AU85" s="170"/>
      <c r="AV85" s="170"/>
      <c r="AW85" s="170"/>
    </row>
    <row r="86" spans="2:49" hidden="1" x14ac:dyDescent="0.25">
      <c r="B86"/>
      <c r="C86" s="170"/>
      <c r="D86" s="171"/>
      <c r="E86" s="170"/>
      <c r="F86"/>
      <c r="G86" s="172"/>
      <c r="H86" s="173"/>
      <c r="I86" s="172"/>
      <c r="J86"/>
      <c r="K86" s="170"/>
      <c r="L86" s="171"/>
      <c r="M86" s="170"/>
      <c r="N86"/>
      <c r="O86" s="170"/>
      <c r="P86" s="171"/>
      <c r="Q86" s="170"/>
      <c r="R86"/>
      <c r="S86" s="170"/>
      <c r="T86" s="171"/>
      <c r="U86" s="170"/>
      <c r="V86"/>
      <c r="W86" s="170"/>
      <c r="X86" s="170"/>
      <c r="Y86" s="174"/>
      <c r="Z86"/>
      <c r="AA86" s="170"/>
      <c r="AB86" s="171"/>
      <c r="AC86" s="174"/>
      <c r="AD86"/>
      <c r="AE86" s="170"/>
      <c r="AF86" s="170"/>
      <c r="AG86" s="170"/>
      <c r="AH86"/>
      <c r="AI86" s="170"/>
      <c r="AJ86" s="171"/>
      <c r="AK86" s="170"/>
      <c r="AL86"/>
      <c r="AM86" s="170"/>
      <c r="AN86" s="170"/>
      <c r="AO86" s="170"/>
      <c r="AP86"/>
      <c r="AQ86" s="170"/>
      <c r="AR86" s="170"/>
      <c r="AS86" s="174"/>
      <c r="AT86"/>
      <c r="AU86" s="170"/>
      <c r="AV86" s="170"/>
      <c r="AW86" s="170"/>
    </row>
    <row r="87" spans="2:49" hidden="1" x14ac:dyDescent="0.25">
      <c r="B87"/>
      <c r="C87" s="170"/>
      <c r="D87" s="171"/>
      <c r="E87" s="170"/>
      <c r="F87"/>
      <c r="G87" s="172"/>
      <c r="H87" s="173"/>
      <c r="I87" s="172"/>
      <c r="J87"/>
      <c r="K87" s="170"/>
      <c r="L87" s="171"/>
      <c r="M87" s="170"/>
      <c r="N87"/>
      <c r="O87" s="170"/>
      <c r="P87" s="171"/>
      <c r="Q87" s="170"/>
      <c r="R87"/>
      <c r="S87" s="170"/>
      <c r="T87" s="171"/>
      <c r="U87" s="170"/>
      <c r="V87"/>
      <c r="W87" s="170"/>
      <c r="X87" s="170"/>
      <c r="Y87" s="174"/>
      <c r="Z87"/>
      <c r="AA87" s="170"/>
      <c r="AB87" s="171"/>
      <c r="AC87" s="174"/>
      <c r="AD87"/>
      <c r="AE87" s="170"/>
      <c r="AF87" s="170"/>
      <c r="AG87" s="170"/>
      <c r="AH87"/>
      <c r="AI87" s="170"/>
      <c r="AJ87" s="171"/>
      <c r="AK87" s="170"/>
      <c r="AL87"/>
      <c r="AM87" s="170"/>
      <c r="AN87" s="170"/>
      <c r="AO87" s="170"/>
      <c r="AP87"/>
      <c r="AQ87" s="170"/>
      <c r="AR87" s="170"/>
      <c r="AS87" s="174"/>
      <c r="AT87"/>
      <c r="AU87" s="170"/>
      <c r="AV87" s="170"/>
      <c r="AW87" s="170"/>
    </row>
    <row r="88" spans="2:49" hidden="1" x14ac:dyDescent="0.25">
      <c r="B88"/>
      <c r="C88" s="170"/>
      <c r="D88" s="171"/>
      <c r="E88" s="170"/>
      <c r="F88"/>
      <c r="G88" s="172"/>
      <c r="H88" s="173"/>
      <c r="I88" s="172"/>
      <c r="J88"/>
      <c r="K88" s="170"/>
      <c r="L88" s="171"/>
      <c r="M88" s="170"/>
      <c r="N88"/>
      <c r="O88" s="170"/>
      <c r="P88" s="171"/>
      <c r="Q88" s="170"/>
      <c r="R88"/>
      <c r="S88" s="170"/>
      <c r="T88" s="171"/>
      <c r="U88" s="170"/>
      <c r="V88"/>
      <c r="W88" s="170"/>
      <c r="X88" s="170"/>
      <c r="Y88" s="174"/>
      <c r="Z88"/>
      <c r="AA88" s="170"/>
      <c r="AB88" s="171"/>
      <c r="AC88" s="174"/>
      <c r="AD88"/>
      <c r="AE88" s="170"/>
      <c r="AF88" s="170"/>
      <c r="AG88" s="170"/>
      <c r="AH88"/>
      <c r="AI88" s="170"/>
      <c r="AJ88" s="171"/>
      <c r="AK88" s="170"/>
      <c r="AL88"/>
      <c r="AM88" s="170"/>
      <c r="AN88" s="170"/>
      <c r="AO88" s="170"/>
      <c r="AP88"/>
      <c r="AQ88" s="170"/>
      <c r="AR88" s="170"/>
      <c r="AS88" s="174"/>
      <c r="AT88"/>
      <c r="AU88" s="170"/>
      <c r="AV88" s="170"/>
      <c r="AW88" s="170"/>
    </row>
    <row r="89" spans="2:49" hidden="1" x14ac:dyDescent="0.25">
      <c r="B89"/>
      <c r="C89" s="170"/>
      <c r="D89" s="171"/>
      <c r="E89" s="170"/>
      <c r="F89"/>
      <c r="G89" s="172"/>
      <c r="H89" s="173"/>
      <c r="I89" s="172"/>
      <c r="J89"/>
      <c r="K89" s="170"/>
      <c r="L89" s="171"/>
      <c r="M89" s="170"/>
      <c r="N89"/>
      <c r="O89" s="170"/>
      <c r="P89" s="171"/>
      <c r="Q89" s="170"/>
      <c r="R89"/>
      <c r="S89" s="170"/>
      <c r="T89" s="171"/>
      <c r="U89" s="170"/>
      <c r="V89"/>
      <c r="W89" s="170"/>
      <c r="X89" s="170"/>
      <c r="Y89" s="174"/>
      <c r="Z89"/>
      <c r="AA89" s="170"/>
      <c r="AB89" s="171"/>
      <c r="AC89" s="174"/>
      <c r="AD89"/>
      <c r="AE89" s="170"/>
      <c r="AF89" s="170"/>
      <c r="AG89" s="170"/>
      <c r="AH89"/>
      <c r="AI89" s="170"/>
      <c r="AJ89" s="171"/>
      <c r="AK89" s="170"/>
      <c r="AL89"/>
      <c r="AM89" s="170"/>
      <c r="AN89" s="170"/>
      <c r="AO89" s="170"/>
      <c r="AP89"/>
      <c r="AQ89" s="170"/>
      <c r="AR89" s="170"/>
      <c r="AS89" s="174"/>
      <c r="AT89"/>
      <c r="AU89" s="170"/>
      <c r="AV89" s="170"/>
      <c r="AW89" s="170"/>
    </row>
    <row r="90" spans="2:49" hidden="1" x14ac:dyDescent="0.25">
      <c r="B90"/>
      <c r="C90" s="170"/>
      <c r="D90" s="171"/>
      <c r="E90" s="170"/>
      <c r="F90"/>
      <c r="G90" s="172"/>
      <c r="H90" s="173"/>
      <c r="I90" s="172"/>
      <c r="J90"/>
      <c r="K90" s="170"/>
      <c r="L90" s="171"/>
      <c r="M90" s="170"/>
      <c r="N90"/>
      <c r="O90" s="170"/>
      <c r="P90" s="171"/>
      <c r="Q90" s="170"/>
      <c r="R90"/>
      <c r="S90" s="170"/>
      <c r="T90" s="171"/>
      <c r="U90" s="170"/>
      <c r="V90"/>
      <c r="W90" s="170"/>
      <c r="X90" s="170"/>
      <c r="Y90" s="174"/>
      <c r="Z90"/>
      <c r="AA90" s="170"/>
      <c r="AB90" s="171"/>
      <c r="AC90" s="174"/>
      <c r="AD90"/>
      <c r="AE90" s="170"/>
      <c r="AF90" s="170"/>
      <c r="AG90" s="170"/>
      <c r="AH90"/>
      <c r="AI90" s="170"/>
      <c r="AJ90" s="171"/>
      <c r="AK90" s="170"/>
      <c r="AL90"/>
      <c r="AM90" s="170"/>
      <c r="AN90" s="170"/>
      <c r="AO90" s="170"/>
      <c r="AP90"/>
      <c r="AQ90" s="170"/>
      <c r="AR90" s="170"/>
      <c r="AS90" s="174"/>
      <c r="AT90"/>
      <c r="AU90" s="170"/>
      <c r="AV90" s="170"/>
      <c r="AW90" s="170"/>
    </row>
    <row r="91" spans="2:49" hidden="1" x14ac:dyDescent="0.25">
      <c r="B91"/>
      <c r="C91" s="170"/>
      <c r="D91" s="171"/>
      <c r="E91" s="170"/>
      <c r="F91"/>
      <c r="G91" s="172"/>
      <c r="H91" s="173"/>
      <c r="I91" s="172"/>
      <c r="J91"/>
      <c r="K91" s="170"/>
      <c r="L91" s="171"/>
      <c r="M91" s="170"/>
      <c r="N91"/>
      <c r="O91" s="170"/>
      <c r="P91" s="171"/>
      <c r="Q91" s="170"/>
      <c r="R91"/>
      <c r="S91" s="170"/>
      <c r="T91" s="171"/>
      <c r="U91" s="170"/>
      <c r="V91"/>
      <c r="W91" s="170"/>
      <c r="X91" s="170"/>
      <c r="Y91" s="174"/>
      <c r="Z91"/>
      <c r="AA91" s="170"/>
      <c r="AB91" s="171"/>
      <c r="AC91" s="174"/>
      <c r="AD91"/>
      <c r="AE91" s="170"/>
      <c r="AF91" s="170"/>
      <c r="AG91" s="170"/>
      <c r="AH91"/>
      <c r="AI91" s="170"/>
      <c r="AJ91" s="171"/>
      <c r="AK91" s="170"/>
      <c r="AL91"/>
      <c r="AM91" s="170"/>
      <c r="AN91" s="170"/>
      <c r="AO91" s="170"/>
      <c r="AP91"/>
      <c r="AQ91" s="170"/>
      <c r="AR91" s="170"/>
      <c r="AS91" s="174"/>
      <c r="AT91"/>
      <c r="AU91" s="170"/>
      <c r="AV91" s="170"/>
      <c r="AW91" s="170"/>
    </row>
    <row r="92" spans="2:49" hidden="1" x14ac:dyDescent="0.25">
      <c r="B92"/>
      <c r="C92" s="170"/>
      <c r="D92" s="171"/>
      <c r="E92" s="170"/>
      <c r="F92"/>
      <c r="G92" s="172"/>
      <c r="H92" s="173"/>
      <c r="I92" s="172"/>
      <c r="J92"/>
      <c r="K92" s="170"/>
      <c r="L92" s="171"/>
      <c r="M92" s="170"/>
      <c r="N92"/>
      <c r="O92" s="170"/>
      <c r="P92" s="171"/>
      <c r="Q92" s="170"/>
      <c r="R92"/>
      <c r="S92" s="170"/>
      <c r="T92" s="171"/>
      <c r="U92" s="170"/>
      <c r="V92"/>
      <c r="W92" s="170"/>
      <c r="X92" s="170"/>
      <c r="Y92" s="174"/>
      <c r="Z92"/>
      <c r="AA92" s="170"/>
      <c r="AB92" s="171"/>
      <c r="AC92" s="174"/>
      <c r="AD92"/>
      <c r="AE92" s="170"/>
      <c r="AF92" s="170"/>
      <c r="AG92" s="170"/>
      <c r="AH92"/>
      <c r="AI92" s="170"/>
      <c r="AJ92" s="171"/>
      <c r="AK92" s="170"/>
      <c r="AL92"/>
      <c r="AM92" s="170"/>
      <c r="AN92" s="170"/>
      <c r="AO92" s="170"/>
      <c r="AP92"/>
      <c r="AQ92" s="170"/>
      <c r="AR92" s="170"/>
      <c r="AS92" s="174"/>
      <c r="AT92"/>
      <c r="AU92" s="170"/>
      <c r="AV92" s="170"/>
      <c r="AW92" s="170"/>
    </row>
    <row r="93" spans="2:49" hidden="1" x14ac:dyDescent="0.25">
      <c r="B93"/>
      <c r="C93" s="170"/>
      <c r="D93" s="171"/>
      <c r="E93" s="170"/>
      <c r="F93"/>
      <c r="G93" s="172"/>
      <c r="H93" s="173"/>
      <c r="I93" s="172"/>
      <c r="J93"/>
      <c r="K93" s="170"/>
      <c r="L93" s="171"/>
      <c r="M93" s="170"/>
      <c r="N93"/>
      <c r="O93" s="170"/>
      <c r="P93" s="171"/>
      <c r="Q93" s="170"/>
      <c r="R93"/>
      <c r="S93" s="170"/>
      <c r="T93" s="171"/>
      <c r="U93" s="170"/>
      <c r="V93"/>
      <c r="W93" s="170"/>
      <c r="X93" s="170"/>
      <c r="Y93" s="174"/>
      <c r="Z93"/>
      <c r="AA93" s="170"/>
      <c r="AB93" s="171"/>
      <c r="AC93" s="174"/>
      <c r="AD93"/>
      <c r="AE93" s="170"/>
      <c r="AF93" s="170"/>
      <c r="AG93" s="170"/>
      <c r="AH93"/>
      <c r="AI93" s="170"/>
      <c r="AJ93" s="171"/>
      <c r="AK93" s="170"/>
      <c r="AL93"/>
      <c r="AM93" s="170"/>
      <c r="AN93" s="170"/>
      <c r="AO93" s="170"/>
      <c r="AP93"/>
      <c r="AQ93" s="170"/>
      <c r="AR93" s="170"/>
      <c r="AS93" s="174"/>
      <c r="AT93"/>
      <c r="AU93" s="170"/>
      <c r="AV93" s="170"/>
      <c r="AW93" s="170"/>
    </row>
    <row r="94" spans="2:49" hidden="1" x14ac:dyDescent="0.25">
      <c r="B94"/>
      <c r="C94" s="170"/>
      <c r="D94" s="171"/>
      <c r="E94" s="170"/>
      <c r="F94"/>
      <c r="G94" s="172"/>
      <c r="H94" s="173"/>
      <c r="I94" s="172"/>
      <c r="J94"/>
      <c r="K94" s="170"/>
      <c r="L94" s="171"/>
      <c r="M94" s="170"/>
      <c r="N94"/>
      <c r="O94" s="170"/>
      <c r="P94" s="171"/>
      <c r="Q94" s="170"/>
      <c r="R94"/>
      <c r="S94" s="170"/>
      <c r="T94" s="171"/>
      <c r="U94" s="170"/>
      <c r="V94"/>
      <c r="W94" s="170"/>
      <c r="X94" s="170"/>
      <c r="Y94" s="174"/>
      <c r="Z94"/>
      <c r="AA94" s="170"/>
      <c r="AB94" s="171"/>
      <c r="AC94" s="174"/>
      <c r="AD94"/>
      <c r="AE94" s="170"/>
      <c r="AF94" s="170"/>
      <c r="AG94" s="170"/>
      <c r="AH94"/>
      <c r="AI94" s="170"/>
      <c r="AJ94" s="171"/>
      <c r="AK94" s="170"/>
      <c r="AL94"/>
      <c r="AM94" s="170"/>
      <c r="AN94" s="170"/>
      <c r="AO94" s="170"/>
      <c r="AP94"/>
      <c r="AQ94" s="170"/>
      <c r="AR94" s="170"/>
      <c r="AS94" s="174"/>
      <c r="AT94"/>
      <c r="AU94" s="170"/>
      <c r="AV94" s="170"/>
      <c r="AW94" s="170"/>
    </row>
    <row r="95" spans="2:49" hidden="1" x14ac:dyDescent="0.25">
      <c r="B95"/>
      <c r="C95" s="170"/>
      <c r="D95" s="171"/>
      <c r="E95" s="170"/>
      <c r="F95"/>
      <c r="G95" s="172"/>
      <c r="H95" s="173"/>
      <c r="I95" s="172"/>
      <c r="J95"/>
      <c r="K95" s="170"/>
      <c r="L95" s="171"/>
      <c r="M95" s="170"/>
      <c r="N95"/>
      <c r="O95" s="170"/>
      <c r="P95" s="171"/>
      <c r="Q95" s="170"/>
      <c r="R95"/>
      <c r="S95" s="170"/>
      <c r="T95" s="171"/>
      <c r="U95" s="170"/>
      <c r="V95"/>
      <c r="W95" s="170"/>
      <c r="X95" s="170"/>
      <c r="Y95" s="174"/>
      <c r="Z95"/>
      <c r="AA95" s="170"/>
      <c r="AB95" s="171"/>
      <c r="AC95" s="174"/>
      <c r="AD95"/>
      <c r="AE95" s="170"/>
      <c r="AF95" s="170"/>
      <c r="AG95" s="170"/>
      <c r="AH95"/>
      <c r="AI95" s="170"/>
      <c r="AJ95" s="171"/>
      <c r="AK95" s="170"/>
      <c r="AL95"/>
      <c r="AM95" s="170"/>
      <c r="AN95" s="170"/>
      <c r="AO95" s="170"/>
      <c r="AP95"/>
      <c r="AQ95" s="170"/>
      <c r="AR95" s="170"/>
      <c r="AS95" s="174"/>
      <c r="AT95"/>
      <c r="AU95" s="170"/>
      <c r="AV95" s="170"/>
      <c r="AW95" s="170"/>
    </row>
    <row r="96" spans="2:49" hidden="1" x14ac:dyDescent="0.25">
      <c r="B96"/>
      <c r="C96" s="170"/>
      <c r="D96" s="171"/>
      <c r="E96" s="170"/>
      <c r="F96"/>
      <c r="G96" s="172"/>
      <c r="H96" s="173"/>
      <c r="I96" s="172"/>
      <c r="J96"/>
      <c r="K96" s="170"/>
      <c r="L96" s="171"/>
      <c r="M96" s="170"/>
      <c r="N96"/>
      <c r="O96" s="170"/>
      <c r="P96" s="171"/>
      <c r="Q96" s="170"/>
      <c r="R96"/>
      <c r="S96" s="170"/>
      <c r="T96" s="171"/>
      <c r="U96" s="170"/>
      <c r="V96"/>
      <c r="W96" s="170"/>
      <c r="X96" s="170"/>
      <c r="Y96" s="174"/>
      <c r="Z96"/>
      <c r="AA96" s="170"/>
      <c r="AB96" s="171"/>
      <c r="AC96" s="174"/>
      <c r="AD96"/>
      <c r="AE96" s="170"/>
      <c r="AF96" s="170"/>
      <c r="AG96" s="170"/>
      <c r="AH96"/>
      <c r="AI96" s="170"/>
      <c r="AJ96" s="171"/>
      <c r="AK96" s="170"/>
      <c r="AL96"/>
      <c r="AM96" s="170"/>
      <c r="AN96" s="170"/>
      <c r="AO96" s="170"/>
      <c r="AP96"/>
      <c r="AQ96" s="170"/>
      <c r="AR96" s="170"/>
      <c r="AS96" s="174"/>
      <c r="AT96"/>
      <c r="AU96" s="170"/>
      <c r="AV96" s="170"/>
      <c r="AW96" s="170"/>
    </row>
    <row r="97" spans="2:49" hidden="1" x14ac:dyDescent="0.25">
      <c r="B97"/>
      <c r="C97" s="170"/>
      <c r="D97" s="171"/>
      <c r="E97" s="170"/>
      <c r="F97"/>
      <c r="G97" s="172"/>
      <c r="H97" s="173"/>
      <c r="I97" s="172"/>
      <c r="J97"/>
      <c r="K97" s="170"/>
      <c r="L97" s="171"/>
      <c r="M97" s="170"/>
      <c r="N97"/>
      <c r="O97" s="170"/>
      <c r="P97" s="171"/>
      <c r="Q97" s="170"/>
      <c r="R97"/>
      <c r="S97" s="170"/>
      <c r="T97" s="171"/>
      <c r="U97" s="170"/>
      <c r="V97"/>
      <c r="W97" s="170"/>
      <c r="X97" s="170"/>
      <c r="Y97" s="174"/>
      <c r="Z97"/>
      <c r="AA97" s="170"/>
      <c r="AB97" s="171"/>
      <c r="AC97" s="174"/>
      <c r="AD97"/>
      <c r="AE97" s="170"/>
      <c r="AF97" s="170"/>
      <c r="AG97" s="170"/>
      <c r="AH97"/>
      <c r="AI97" s="170"/>
      <c r="AJ97" s="171"/>
      <c r="AK97" s="170"/>
      <c r="AL97"/>
      <c r="AM97" s="170"/>
      <c r="AN97" s="170"/>
      <c r="AO97" s="170"/>
      <c r="AP97"/>
      <c r="AQ97" s="170"/>
      <c r="AR97" s="170"/>
      <c r="AS97" s="174"/>
      <c r="AT97"/>
      <c r="AU97" s="170"/>
      <c r="AV97" s="170"/>
      <c r="AW97" s="170"/>
    </row>
    <row r="98" spans="2:49" hidden="1" x14ac:dyDescent="0.25">
      <c r="B98"/>
      <c r="C98" s="170"/>
      <c r="D98" s="171"/>
      <c r="E98" s="170"/>
      <c r="F98"/>
      <c r="G98" s="172"/>
      <c r="H98" s="173"/>
      <c r="I98" s="172"/>
      <c r="J98"/>
      <c r="K98" s="170"/>
      <c r="L98" s="171"/>
      <c r="M98" s="170"/>
      <c r="N98"/>
      <c r="O98" s="170"/>
      <c r="P98" s="171"/>
      <c r="Q98" s="170"/>
      <c r="R98"/>
      <c r="S98" s="170"/>
      <c r="T98" s="171"/>
      <c r="U98" s="170"/>
      <c r="V98"/>
      <c r="W98" s="170"/>
      <c r="X98" s="170"/>
      <c r="Y98" s="174"/>
      <c r="Z98"/>
      <c r="AA98" s="170"/>
      <c r="AB98" s="171"/>
      <c r="AC98" s="174"/>
      <c r="AD98"/>
      <c r="AE98" s="170"/>
      <c r="AF98" s="170"/>
      <c r="AG98" s="170"/>
      <c r="AH98"/>
      <c r="AI98" s="170"/>
      <c r="AJ98" s="171"/>
      <c r="AK98" s="170"/>
      <c r="AL98"/>
      <c r="AM98" s="170"/>
      <c r="AN98" s="170"/>
      <c r="AO98" s="170"/>
      <c r="AP98"/>
      <c r="AQ98" s="170"/>
      <c r="AR98" s="170"/>
      <c r="AS98" s="174"/>
      <c r="AT98"/>
      <c r="AU98" s="170"/>
      <c r="AV98" s="170"/>
      <c r="AW98" s="170"/>
    </row>
    <row r="99" spans="2:49" hidden="1" x14ac:dyDescent="0.25">
      <c r="B99"/>
      <c r="C99" s="170"/>
      <c r="D99" s="171"/>
      <c r="E99" s="170"/>
      <c r="F99"/>
      <c r="G99" s="172"/>
      <c r="H99" s="173"/>
      <c r="I99" s="172"/>
      <c r="J99"/>
      <c r="K99" s="170"/>
      <c r="L99" s="171"/>
      <c r="M99" s="170"/>
      <c r="N99"/>
      <c r="O99" s="170"/>
      <c r="P99" s="171"/>
      <c r="Q99" s="170"/>
      <c r="R99"/>
      <c r="S99" s="170"/>
      <c r="T99" s="171"/>
      <c r="U99" s="170"/>
      <c r="V99"/>
      <c r="W99" s="170"/>
      <c r="X99" s="170"/>
      <c r="Y99" s="174"/>
      <c r="Z99"/>
      <c r="AA99" s="170"/>
      <c r="AB99" s="171"/>
      <c r="AC99" s="174"/>
      <c r="AD99"/>
      <c r="AE99" s="170"/>
      <c r="AF99" s="170"/>
      <c r="AG99" s="170"/>
      <c r="AH99"/>
      <c r="AI99" s="170"/>
      <c r="AJ99" s="171"/>
      <c r="AK99" s="170"/>
      <c r="AL99"/>
      <c r="AM99" s="170"/>
      <c r="AN99" s="170"/>
      <c r="AO99" s="170"/>
      <c r="AP99"/>
      <c r="AQ99" s="170"/>
      <c r="AR99" s="170"/>
      <c r="AS99" s="174"/>
      <c r="AT99"/>
      <c r="AU99" s="170"/>
      <c r="AV99" s="170"/>
      <c r="AW99" s="170"/>
    </row>
    <row r="100" spans="2:49" hidden="1" x14ac:dyDescent="0.25">
      <c r="B100"/>
      <c r="C100" s="170"/>
      <c r="D100" s="171"/>
      <c r="E100" s="170"/>
      <c r="F100"/>
      <c r="G100" s="172"/>
      <c r="H100" s="173"/>
      <c r="I100" s="172"/>
      <c r="J100"/>
      <c r="K100" s="170"/>
      <c r="L100" s="171"/>
      <c r="M100" s="170"/>
      <c r="N100"/>
      <c r="O100" s="170"/>
      <c r="P100" s="171"/>
      <c r="Q100" s="170"/>
      <c r="R100"/>
      <c r="S100" s="170"/>
      <c r="T100" s="171"/>
      <c r="U100" s="170"/>
      <c r="V100"/>
      <c r="W100" s="170"/>
      <c r="X100" s="170"/>
      <c r="Y100" s="174"/>
      <c r="Z100"/>
      <c r="AA100" s="170"/>
      <c r="AB100" s="171"/>
      <c r="AC100" s="174"/>
      <c r="AD100"/>
      <c r="AE100" s="170"/>
      <c r="AF100" s="170"/>
      <c r="AG100" s="170"/>
      <c r="AH100"/>
      <c r="AI100" s="170"/>
      <c r="AJ100" s="171"/>
      <c r="AK100" s="170"/>
      <c r="AL100"/>
      <c r="AM100" s="170"/>
      <c r="AN100" s="170"/>
      <c r="AO100" s="170"/>
      <c r="AP100"/>
      <c r="AQ100" s="170"/>
      <c r="AR100" s="170"/>
      <c r="AS100" s="174"/>
      <c r="AT100"/>
      <c r="AU100" s="170"/>
      <c r="AV100" s="170"/>
      <c r="AW100" s="170"/>
    </row>
    <row r="101" spans="2:49" hidden="1" x14ac:dyDescent="0.25">
      <c r="B101"/>
      <c r="C101" s="170"/>
      <c r="D101" s="171"/>
      <c r="E101" s="170"/>
      <c r="F101"/>
      <c r="G101" s="172"/>
      <c r="H101" s="173"/>
      <c r="I101" s="172"/>
      <c r="J101"/>
      <c r="K101" s="170"/>
      <c r="L101" s="171"/>
      <c r="M101" s="170"/>
      <c r="N101"/>
      <c r="O101" s="170"/>
      <c r="P101" s="171"/>
      <c r="Q101" s="170"/>
      <c r="R101"/>
      <c r="S101" s="170"/>
      <c r="T101" s="171"/>
      <c r="U101" s="170"/>
      <c r="V101"/>
      <c r="W101" s="170"/>
      <c r="X101" s="170"/>
      <c r="Y101" s="174"/>
      <c r="Z101"/>
      <c r="AA101" s="170"/>
      <c r="AB101" s="171"/>
      <c r="AC101" s="174"/>
      <c r="AD101"/>
      <c r="AE101" s="170"/>
      <c r="AF101" s="170"/>
      <c r="AG101" s="170"/>
      <c r="AH101"/>
      <c r="AI101" s="170"/>
      <c r="AJ101" s="171"/>
      <c r="AK101" s="170"/>
      <c r="AL101"/>
      <c r="AM101" s="170"/>
      <c r="AN101" s="170"/>
      <c r="AO101" s="170"/>
      <c r="AP101"/>
      <c r="AQ101" s="170"/>
      <c r="AR101" s="170"/>
      <c r="AS101" s="174"/>
      <c r="AT101"/>
      <c r="AU101" s="170"/>
      <c r="AV101" s="170"/>
      <c r="AW101" s="170"/>
    </row>
    <row r="102" spans="2:49" hidden="1" x14ac:dyDescent="0.25">
      <c r="B102"/>
      <c r="C102" s="170"/>
      <c r="D102" s="171"/>
      <c r="E102" s="170"/>
      <c r="F102"/>
      <c r="G102" s="172"/>
      <c r="H102" s="173"/>
      <c r="I102" s="172"/>
      <c r="J102"/>
      <c r="K102" s="170"/>
      <c r="L102" s="171"/>
      <c r="M102" s="170"/>
      <c r="N102"/>
      <c r="O102" s="170"/>
      <c r="P102" s="171"/>
      <c r="Q102" s="170"/>
      <c r="R102"/>
      <c r="S102" s="170"/>
      <c r="T102" s="171"/>
      <c r="U102" s="170"/>
      <c r="V102"/>
      <c r="W102" s="170"/>
      <c r="X102" s="170"/>
      <c r="Y102" s="174"/>
      <c r="Z102"/>
      <c r="AA102" s="170"/>
      <c r="AB102" s="171"/>
      <c r="AC102" s="174"/>
      <c r="AD102"/>
      <c r="AE102" s="170"/>
      <c r="AF102" s="170"/>
      <c r="AG102" s="170"/>
      <c r="AH102"/>
      <c r="AI102" s="170"/>
      <c r="AJ102" s="171"/>
      <c r="AK102" s="170"/>
      <c r="AL102"/>
      <c r="AM102" s="170"/>
      <c r="AN102" s="170"/>
      <c r="AO102" s="170"/>
      <c r="AP102"/>
      <c r="AQ102" s="170"/>
      <c r="AR102" s="170"/>
      <c r="AS102" s="174"/>
      <c r="AT102"/>
      <c r="AU102" s="170"/>
      <c r="AV102" s="170"/>
      <c r="AW102" s="170"/>
    </row>
    <row r="103" spans="2:49" hidden="1" x14ac:dyDescent="0.25">
      <c r="B103"/>
      <c r="C103" s="170"/>
      <c r="D103" s="171"/>
      <c r="E103" s="170"/>
      <c r="F103"/>
      <c r="G103" s="172"/>
      <c r="H103" s="173"/>
      <c r="I103" s="172"/>
      <c r="J103"/>
      <c r="K103" s="170"/>
      <c r="L103" s="171"/>
      <c r="M103" s="170"/>
      <c r="N103"/>
      <c r="O103" s="170"/>
      <c r="P103" s="171"/>
      <c r="Q103" s="170"/>
      <c r="R103"/>
      <c r="S103" s="170"/>
      <c r="T103" s="171"/>
      <c r="U103" s="170"/>
      <c r="V103"/>
      <c r="W103" s="170"/>
      <c r="X103" s="170"/>
      <c r="Y103" s="174"/>
      <c r="Z103"/>
      <c r="AA103" s="170"/>
      <c r="AB103" s="171"/>
      <c r="AC103" s="174"/>
      <c r="AD103"/>
      <c r="AE103" s="170"/>
      <c r="AF103" s="170"/>
      <c r="AG103" s="170"/>
      <c r="AH103"/>
      <c r="AI103" s="170"/>
      <c r="AJ103" s="171"/>
      <c r="AK103" s="170"/>
      <c r="AL103"/>
      <c r="AM103" s="170"/>
      <c r="AN103" s="170"/>
      <c r="AO103" s="170"/>
      <c r="AP103"/>
      <c r="AQ103" s="170"/>
      <c r="AR103" s="170"/>
      <c r="AS103" s="174"/>
      <c r="AT103"/>
      <c r="AU103" s="170"/>
      <c r="AV103" s="170"/>
      <c r="AW103" s="170"/>
    </row>
    <row r="104" spans="2:49" hidden="1" x14ac:dyDescent="0.25">
      <c r="B104"/>
      <c r="C104" s="170"/>
      <c r="D104" s="171"/>
      <c r="E104" s="170"/>
      <c r="F104"/>
      <c r="G104" s="172"/>
      <c r="H104" s="173"/>
      <c r="I104" s="172"/>
      <c r="J104"/>
      <c r="K104" s="170"/>
      <c r="L104" s="171"/>
      <c r="M104" s="170"/>
      <c r="N104"/>
      <c r="O104" s="170"/>
      <c r="P104" s="171"/>
      <c r="Q104" s="170"/>
      <c r="R104"/>
      <c r="S104" s="170"/>
      <c r="T104" s="171"/>
      <c r="U104" s="170"/>
      <c r="V104"/>
      <c r="W104" s="170"/>
      <c r="X104" s="170"/>
      <c r="Y104" s="174"/>
      <c r="Z104"/>
      <c r="AA104" s="170"/>
      <c r="AB104" s="171"/>
      <c r="AC104" s="174"/>
      <c r="AD104"/>
      <c r="AE104" s="170"/>
      <c r="AF104" s="170"/>
      <c r="AG104" s="170"/>
      <c r="AH104"/>
      <c r="AI104" s="170"/>
      <c r="AJ104" s="171"/>
      <c r="AK104" s="170"/>
      <c r="AL104"/>
      <c r="AM104" s="170"/>
      <c r="AN104" s="170"/>
      <c r="AO104" s="170"/>
      <c r="AP104"/>
      <c r="AQ104" s="170"/>
      <c r="AR104" s="170"/>
      <c r="AS104" s="174"/>
      <c r="AT104"/>
      <c r="AU104" s="170"/>
      <c r="AV104" s="170"/>
      <c r="AW104" s="170"/>
    </row>
    <row r="105" spans="2:49" hidden="1" x14ac:dyDescent="0.25">
      <c r="B105"/>
      <c r="C105" s="170"/>
      <c r="D105" s="171"/>
      <c r="E105" s="170"/>
      <c r="F105"/>
      <c r="G105" s="172"/>
      <c r="H105" s="173"/>
      <c r="I105" s="172"/>
      <c r="J105"/>
      <c r="K105" s="170"/>
      <c r="L105" s="171"/>
      <c r="M105" s="170"/>
      <c r="N105"/>
      <c r="O105" s="170"/>
      <c r="P105" s="171"/>
      <c r="Q105" s="170"/>
      <c r="R105"/>
      <c r="S105" s="170"/>
      <c r="T105" s="171"/>
      <c r="U105" s="170"/>
      <c r="V105"/>
      <c r="W105" s="170"/>
      <c r="X105" s="170"/>
      <c r="Y105" s="174"/>
      <c r="Z105"/>
      <c r="AA105" s="170"/>
      <c r="AB105" s="171"/>
      <c r="AC105" s="174"/>
      <c r="AD105"/>
      <c r="AE105" s="170"/>
      <c r="AF105" s="170"/>
      <c r="AG105" s="170"/>
      <c r="AH105"/>
      <c r="AI105" s="170"/>
      <c r="AJ105" s="171"/>
      <c r="AK105" s="170"/>
      <c r="AL105"/>
      <c r="AM105" s="170"/>
      <c r="AN105" s="170"/>
      <c r="AO105" s="170"/>
      <c r="AP105"/>
      <c r="AQ105" s="170"/>
      <c r="AR105" s="170"/>
      <c r="AS105" s="174"/>
      <c r="AT105"/>
      <c r="AU105" s="170"/>
      <c r="AV105" s="170"/>
      <c r="AW105" s="170"/>
    </row>
    <row r="106" spans="2:49" hidden="1" x14ac:dyDescent="0.25">
      <c r="B106"/>
      <c r="C106" s="170"/>
      <c r="D106" s="171"/>
      <c r="E106" s="170"/>
      <c r="F106"/>
      <c r="G106" s="172"/>
      <c r="H106" s="173"/>
      <c r="I106" s="172"/>
      <c r="J106"/>
      <c r="K106" s="170"/>
      <c r="L106" s="171"/>
      <c r="M106" s="170"/>
      <c r="N106"/>
      <c r="O106" s="170"/>
      <c r="P106" s="171"/>
      <c r="Q106" s="170"/>
      <c r="R106"/>
      <c r="S106" s="170"/>
      <c r="T106" s="171"/>
      <c r="U106" s="170"/>
      <c r="V106"/>
      <c r="W106" s="170"/>
      <c r="X106" s="170"/>
      <c r="Y106" s="174"/>
      <c r="Z106"/>
      <c r="AA106" s="170"/>
      <c r="AB106" s="171"/>
      <c r="AC106" s="174"/>
      <c r="AD106"/>
      <c r="AE106" s="170"/>
      <c r="AF106" s="170"/>
      <c r="AG106" s="170"/>
      <c r="AH106"/>
      <c r="AI106" s="170"/>
      <c r="AJ106" s="171"/>
      <c r="AK106" s="170"/>
      <c r="AL106"/>
      <c r="AM106" s="170"/>
      <c r="AN106" s="170"/>
      <c r="AO106" s="170"/>
      <c r="AP106"/>
      <c r="AQ106" s="170"/>
      <c r="AR106" s="170"/>
      <c r="AS106" s="174"/>
      <c r="AT106"/>
      <c r="AU106" s="170"/>
      <c r="AV106" s="170"/>
      <c r="AW106" s="170"/>
    </row>
    <row r="107" spans="2:49" hidden="1" x14ac:dyDescent="0.25">
      <c r="B107"/>
      <c r="C107" s="170"/>
      <c r="D107" s="171"/>
      <c r="E107" s="170"/>
      <c r="F107"/>
      <c r="G107" s="172"/>
      <c r="H107" s="173"/>
      <c r="I107" s="172"/>
      <c r="J107"/>
      <c r="K107" s="170"/>
      <c r="L107" s="171"/>
      <c r="M107" s="170"/>
      <c r="N107"/>
      <c r="O107" s="170"/>
      <c r="P107" s="171"/>
      <c r="Q107" s="170"/>
      <c r="R107"/>
      <c r="S107" s="170"/>
      <c r="T107" s="171"/>
      <c r="U107" s="170"/>
      <c r="V107"/>
      <c r="W107" s="170"/>
      <c r="X107" s="170"/>
      <c r="Y107" s="174"/>
      <c r="Z107"/>
      <c r="AA107" s="170"/>
      <c r="AB107" s="171"/>
      <c r="AC107" s="174"/>
      <c r="AD107"/>
      <c r="AE107" s="170"/>
      <c r="AF107" s="170"/>
      <c r="AG107" s="170"/>
      <c r="AH107"/>
      <c r="AI107" s="170"/>
      <c r="AJ107" s="171"/>
      <c r="AK107" s="170"/>
      <c r="AL107"/>
      <c r="AM107" s="170"/>
      <c r="AN107" s="170"/>
      <c r="AO107" s="170"/>
      <c r="AP107"/>
      <c r="AQ107" s="170"/>
      <c r="AR107" s="170"/>
      <c r="AS107" s="174"/>
      <c r="AT107"/>
      <c r="AU107" s="170"/>
      <c r="AV107" s="170"/>
      <c r="AW107" s="170"/>
    </row>
    <row r="108" spans="2:49" hidden="1" x14ac:dyDescent="0.25">
      <c r="B108"/>
      <c r="C108" s="170"/>
      <c r="D108" s="171"/>
      <c r="E108" s="170"/>
      <c r="F108"/>
      <c r="G108" s="172"/>
      <c r="H108" s="173"/>
      <c r="I108" s="172"/>
      <c r="J108"/>
      <c r="K108" s="170"/>
      <c r="L108" s="171"/>
      <c r="M108" s="170"/>
      <c r="N108"/>
      <c r="O108" s="170"/>
      <c r="P108" s="171"/>
      <c r="Q108" s="170"/>
      <c r="R108"/>
      <c r="S108" s="170"/>
      <c r="T108" s="171"/>
      <c r="U108" s="170"/>
      <c r="V108"/>
      <c r="W108" s="170"/>
      <c r="X108" s="170"/>
      <c r="Y108" s="174"/>
      <c r="Z108"/>
      <c r="AA108" s="170"/>
      <c r="AB108" s="171"/>
      <c r="AC108" s="174"/>
      <c r="AD108"/>
      <c r="AE108" s="170"/>
      <c r="AF108" s="170"/>
      <c r="AG108" s="170"/>
      <c r="AH108"/>
      <c r="AI108" s="170"/>
      <c r="AJ108" s="171"/>
      <c r="AK108" s="170"/>
      <c r="AL108"/>
      <c r="AM108" s="170"/>
      <c r="AN108" s="170"/>
      <c r="AO108" s="170"/>
      <c r="AP108"/>
      <c r="AQ108" s="170"/>
      <c r="AR108" s="170"/>
      <c r="AS108" s="174"/>
      <c r="AT108"/>
      <c r="AU108" s="170"/>
      <c r="AV108" s="170"/>
      <c r="AW108" s="170"/>
    </row>
    <row r="109" spans="2:49" hidden="1" x14ac:dyDescent="0.25">
      <c r="B109"/>
      <c r="C109" s="170"/>
      <c r="D109" s="171"/>
      <c r="E109" s="170"/>
      <c r="F109"/>
      <c r="G109" s="172"/>
      <c r="H109" s="173"/>
      <c r="I109" s="172"/>
      <c r="J109"/>
      <c r="K109" s="170"/>
      <c r="L109" s="171"/>
      <c r="M109" s="170"/>
      <c r="N109"/>
      <c r="O109" s="170"/>
      <c r="P109" s="171"/>
      <c r="Q109" s="170"/>
      <c r="R109"/>
      <c r="S109" s="170"/>
      <c r="T109" s="171"/>
      <c r="U109" s="170"/>
      <c r="V109"/>
      <c r="W109" s="170"/>
      <c r="X109" s="170"/>
      <c r="Y109" s="174"/>
      <c r="Z109"/>
      <c r="AA109" s="170"/>
      <c r="AB109" s="171"/>
      <c r="AC109" s="174"/>
      <c r="AD109"/>
      <c r="AE109" s="170"/>
      <c r="AF109" s="170"/>
      <c r="AG109" s="170"/>
      <c r="AH109"/>
      <c r="AI109" s="170"/>
      <c r="AJ109" s="171"/>
      <c r="AK109" s="170"/>
      <c r="AL109"/>
      <c r="AM109" s="170"/>
      <c r="AN109" s="170"/>
      <c r="AO109" s="170"/>
      <c r="AP109"/>
      <c r="AQ109" s="170"/>
      <c r="AR109" s="170"/>
      <c r="AS109" s="174"/>
      <c r="AT109"/>
      <c r="AU109" s="170"/>
      <c r="AV109" s="170"/>
      <c r="AW109" s="170"/>
    </row>
    <row r="110" spans="2:49" hidden="1" x14ac:dyDescent="0.25">
      <c r="B110"/>
      <c r="C110" s="170"/>
      <c r="D110" s="171"/>
      <c r="E110" s="170"/>
      <c r="F110"/>
      <c r="G110" s="172"/>
      <c r="H110" s="173"/>
      <c r="I110" s="172"/>
      <c r="J110"/>
      <c r="K110" s="170"/>
      <c r="L110" s="171"/>
      <c r="M110" s="170"/>
      <c r="N110"/>
      <c r="O110" s="170"/>
      <c r="P110" s="171"/>
      <c r="Q110" s="170"/>
      <c r="R110"/>
      <c r="S110" s="170"/>
      <c r="T110" s="171"/>
      <c r="U110" s="170"/>
      <c r="V110"/>
      <c r="W110" s="170"/>
      <c r="X110" s="170"/>
      <c r="Y110" s="174"/>
      <c r="Z110"/>
      <c r="AA110" s="170"/>
      <c r="AB110" s="171"/>
      <c r="AC110" s="174"/>
      <c r="AD110"/>
      <c r="AE110" s="170"/>
      <c r="AF110" s="170"/>
      <c r="AG110" s="170"/>
      <c r="AH110"/>
      <c r="AI110" s="170"/>
      <c r="AJ110" s="171"/>
      <c r="AK110" s="170"/>
      <c r="AL110"/>
      <c r="AM110" s="170"/>
      <c r="AN110" s="170"/>
      <c r="AO110" s="170"/>
      <c r="AP110"/>
      <c r="AQ110" s="170"/>
      <c r="AR110" s="170"/>
      <c r="AS110" s="174"/>
      <c r="AT110"/>
      <c r="AU110" s="170"/>
      <c r="AV110" s="170"/>
      <c r="AW110" s="170"/>
    </row>
    <row r="111" spans="2:49" hidden="1" x14ac:dyDescent="0.25">
      <c r="B111"/>
      <c r="C111" s="170"/>
      <c r="D111" s="171"/>
      <c r="E111" s="170"/>
      <c r="F111"/>
      <c r="G111" s="172"/>
      <c r="H111" s="173"/>
      <c r="I111" s="172"/>
      <c r="J111"/>
      <c r="K111" s="170"/>
      <c r="L111" s="171"/>
      <c r="M111" s="170"/>
      <c r="N111"/>
      <c r="O111" s="170"/>
      <c r="P111" s="171"/>
      <c r="Q111" s="170"/>
      <c r="R111"/>
      <c r="S111" s="170"/>
      <c r="T111" s="171"/>
      <c r="U111" s="170"/>
      <c r="V111"/>
      <c r="W111" s="170"/>
      <c r="X111" s="170"/>
      <c r="Y111" s="174"/>
      <c r="Z111"/>
      <c r="AA111" s="170"/>
      <c r="AB111" s="171"/>
      <c r="AC111" s="174"/>
      <c r="AD111"/>
      <c r="AE111" s="170"/>
      <c r="AF111" s="170"/>
      <c r="AG111" s="170"/>
      <c r="AH111"/>
      <c r="AI111" s="170"/>
      <c r="AJ111" s="171"/>
      <c r="AK111" s="170"/>
      <c r="AL111"/>
      <c r="AM111" s="170"/>
      <c r="AN111" s="170"/>
      <c r="AO111" s="170"/>
      <c r="AP111"/>
      <c r="AQ111" s="170"/>
      <c r="AR111" s="170"/>
      <c r="AS111" s="174"/>
      <c r="AT111"/>
      <c r="AU111" s="170"/>
      <c r="AV111" s="170"/>
      <c r="AW111" s="170"/>
    </row>
    <row r="112" spans="2:49" hidden="1" x14ac:dyDescent="0.25">
      <c r="B112"/>
      <c r="C112" s="170"/>
      <c r="D112" s="171"/>
      <c r="E112" s="170"/>
      <c r="F112"/>
      <c r="G112" s="172"/>
      <c r="H112" s="173"/>
      <c r="I112" s="172"/>
      <c r="J112"/>
      <c r="K112" s="170"/>
      <c r="L112" s="171"/>
      <c r="M112" s="170"/>
      <c r="N112"/>
      <c r="O112" s="170"/>
      <c r="P112" s="171"/>
      <c r="Q112" s="170"/>
      <c r="R112"/>
      <c r="S112" s="170"/>
      <c r="T112" s="171"/>
      <c r="U112" s="170"/>
      <c r="V112"/>
      <c r="W112" s="170"/>
      <c r="X112" s="170"/>
      <c r="Y112" s="174"/>
      <c r="Z112"/>
      <c r="AA112" s="170"/>
      <c r="AB112" s="171"/>
      <c r="AC112" s="174"/>
      <c r="AD112"/>
      <c r="AE112" s="170"/>
      <c r="AF112" s="170"/>
      <c r="AG112" s="170"/>
      <c r="AH112"/>
      <c r="AI112" s="170"/>
      <c r="AJ112" s="171"/>
      <c r="AK112" s="170"/>
      <c r="AL112"/>
      <c r="AM112" s="170"/>
      <c r="AN112" s="170"/>
      <c r="AO112" s="170"/>
      <c r="AP112"/>
      <c r="AQ112" s="170"/>
      <c r="AR112" s="170"/>
      <c r="AS112" s="174"/>
      <c r="AT112"/>
      <c r="AU112" s="170"/>
      <c r="AV112" s="170"/>
      <c r="AW112" s="170"/>
    </row>
    <row r="113" spans="2:49" hidden="1" x14ac:dyDescent="0.25">
      <c r="B113"/>
      <c r="C113" s="170"/>
      <c r="D113" s="171"/>
      <c r="E113" s="170"/>
      <c r="F113"/>
      <c r="G113" s="172"/>
      <c r="H113" s="173"/>
      <c r="I113" s="172"/>
      <c r="J113"/>
      <c r="K113" s="170"/>
      <c r="L113" s="171"/>
      <c r="M113" s="170"/>
      <c r="N113"/>
      <c r="O113" s="170"/>
      <c r="P113" s="171"/>
      <c r="Q113" s="170"/>
      <c r="R113"/>
      <c r="S113" s="170"/>
      <c r="T113" s="171"/>
      <c r="U113" s="170"/>
      <c r="V113"/>
      <c r="W113" s="170"/>
      <c r="X113" s="170"/>
      <c r="Y113" s="174"/>
      <c r="Z113"/>
      <c r="AA113" s="170"/>
      <c r="AB113" s="171"/>
      <c r="AC113" s="174"/>
      <c r="AD113"/>
      <c r="AE113" s="170"/>
      <c r="AF113" s="170"/>
      <c r="AG113" s="170"/>
      <c r="AH113"/>
      <c r="AI113" s="170"/>
      <c r="AJ113" s="171"/>
      <c r="AK113" s="170"/>
      <c r="AL113"/>
      <c r="AM113" s="170"/>
      <c r="AN113" s="170"/>
      <c r="AO113" s="170"/>
      <c r="AP113"/>
      <c r="AQ113" s="170"/>
      <c r="AR113" s="170"/>
      <c r="AS113" s="174"/>
      <c r="AT113"/>
      <c r="AU113" s="170"/>
      <c r="AV113" s="170"/>
      <c r="AW113" s="170"/>
    </row>
    <row r="114" spans="2:49" hidden="1" x14ac:dyDescent="0.25">
      <c r="B114"/>
      <c r="C114" s="170"/>
      <c r="D114" s="171"/>
      <c r="E114" s="170"/>
      <c r="F114"/>
      <c r="G114" s="172"/>
      <c r="H114" s="173"/>
      <c r="I114" s="172"/>
      <c r="J114"/>
      <c r="K114" s="170"/>
      <c r="L114" s="171"/>
      <c r="M114" s="170"/>
      <c r="N114"/>
      <c r="O114" s="170"/>
      <c r="P114" s="171"/>
      <c r="Q114" s="170"/>
      <c r="R114"/>
      <c r="S114" s="170"/>
      <c r="T114" s="171"/>
      <c r="U114" s="170"/>
      <c r="V114"/>
      <c r="W114" s="170"/>
      <c r="X114" s="170"/>
      <c r="Y114" s="174"/>
      <c r="Z114"/>
      <c r="AA114" s="170"/>
      <c r="AB114" s="171"/>
      <c r="AC114" s="174"/>
      <c r="AD114"/>
      <c r="AE114" s="170"/>
      <c r="AF114" s="170"/>
      <c r="AG114" s="170"/>
      <c r="AH114"/>
      <c r="AI114" s="170"/>
      <c r="AJ114" s="171"/>
      <c r="AK114" s="170"/>
      <c r="AL114"/>
      <c r="AM114" s="170"/>
      <c r="AN114" s="170"/>
      <c r="AO114" s="170"/>
      <c r="AP114"/>
      <c r="AQ114" s="170"/>
      <c r="AR114" s="170"/>
      <c r="AS114" s="174"/>
      <c r="AT114"/>
      <c r="AU114" s="170"/>
      <c r="AV114" s="170"/>
      <c r="AW114" s="170"/>
    </row>
    <row r="115" spans="2:49" hidden="1" x14ac:dyDescent="0.25">
      <c r="B115"/>
      <c r="C115" s="170"/>
      <c r="D115" s="171"/>
      <c r="E115" s="170"/>
      <c r="F115"/>
      <c r="G115" s="172"/>
      <c r="H115" s="173"/>
      <c r="I115" s="172"/>
      <c r="J115"/>
      <c r="K115" s="170"/>
      <c r="L115" s="171"/>
      <c r="M115" s="170"/>
      <c r="N115"/>
      <c r="O115" s="170"/>
      <c r="P115" s="171"/>
      <c r="Q115" s="170"/>
      <c r="R115"/>
      <c r="S115" s="170"/>
      <c r="T115" s="171"/>
      <c r="U115" s="170"/>
      <c r="V115"/>
      <c r="W115" s="170"/>
      <c r="X115" s="170"/>
      <c r="Y115" s="174"/>
      <c r="Z115"/>
      <c r="AA115" s="170"/>
      <c r="AB115" s="171"/>
      <c r="AC115" s="174"/>
      <c r="AD115"/>
      <c r="AE115" s="170"/>
      <c r="AF115" s="170"/>
      <c r="AG115" s="170"/>
      <c r="AH115"/>
      <c r="AI115" s="170"/>
      <c r="AJ115" s="171"/>
      <c r="AK115" s="170"/>
      <c r="AL115"/>
      <c r="AM115" s="170"/>
      <c r="AN115" s="170"/>
      <c r="AO115" s="170"/>
      <c r="AP115"/>
      <c r="AQ115" s="170"/>
      <c r="AR115" s="170"/>
      <c r="AS115" s="174"/>
      <c r="AT115"/>
      <c r="AU115" s="170"/>
      <c r="AV115" s="170"/>
      <c r="AW115" s="170"/>
    </row>
    <row r="116" spans="2:49" hidden="1" x14ac:dyDescent="0.25">
      <c r="B116"/>
      <c r="C116" s="170"/>
      <c r="D116" s="171"/>
      <c r="E116" s="170"/>
      <c r="F116"/>
      <c r="G116" s="172"/>
      <c r="H116" s="173"/>
      <c r="I116" s="172"/>
      <c r="J116"/>
      <c r="K116" s="170"/>
      <c r="L116" s="171"/>
      <c r="M116" s="170"/>
      <c r="N116"/>
      <c r="O116" s="170"/>
      <c r="P116" s="171"/>
      <c r="Q116" s="170"/>
      <c r="R116"/>
      <c r="S116" s="170"/>
      <c r="T116" s="171"/>
      <c r="U116" s="170"/>
      <c r="V116"/>
      <c r="W116" s="170"/>
      <c r="X116" s="170"/>
      <c r="Y116" s="174"/>
      <c r="Z116"/>
      <c r="AA116" s="170"/>
      <c r="AB116" s="171"/>
      <c r="AC116" s="174"/>
      <c r="AD116"/>
      <c r="AE116" s="170"/>
      <c r="AF116" s="170"/>
      <c r="AG116" s="170"/>
      <c r="AH116"/>
      <c r="AI116" s="170"/>
      <c r="AJ116" s="171"/>
      <c r="AK116" s="170"/>
      <c r="AL116"/>
      <c r="AM116" s="170"/>
      <c r="AN116" s="170"/>
      <c r="AO116" s="170"/>
      <c r="AP116"/>
      <c r="AQ116" s="170"/>
      <c r="AR116" s="170"/>
      <c r="AS116" s="174"/>
      <c r="AT116"/>
      <c r="AU116" s="170"/>
      <c r="AV116" s="170"/>
      <c r="AW116" s="170"/>
    </row>
    <row r="117" spans="2:49" hidden="1" x14ac:dyDescent="0.25">
      <c r="B117"/>
      <c r="C117" s="170"/>
      <c r="D117" s="171"/>
      <c r="E117" s="170"/>
      <c r="F117"/>
      <c r="G117" s="172"/>
      <c r="H117" s="173"/>
      <c r="I117" s="172"/>
      <c r="J117"/>
      <c r="K117" s="170"/>
      <c r="L117" s="171"/>
      <c r="M117" s="170"/>
      <c r="N117"/>
      <c r="O117" s="170"/>
      <c r="P117" s="171"/>
      <c r="Q117" s="170"/>
      <c r="R117"/>
      <c r="S117" s="170"/>
      <c r="T117" s="171"/>
      <c r="U117" s="170"/>
      <c r="V117"/>
      <c r="W117" s="170"/>
      <c r="X117" s="170"/>
      <c r="Y117" s="174"/>
      <c r="Z117"/>
      <c r="AA117" s="170"/>
      <c r="AB117" s="171"/>
      <c r="AC117" s="174"/>
      <c r="AD117"/>
      <c r="AE117" s="170"/>
      <c r="AF117" s="170"/>
      <c r="AG117" s="170"/>
      <c r="AH117"/>
      <c r="AI117" s="170"/>
      <c r="AJ117" s="171"/>
      <c r="AK117" s="170"/>
      <c r="AL117"/>
      <c r="AM117" s="170"/>
      <c r="AN117" s="170"/>
      <c r="AO117" s="170"/>
      <c r="AP117"/>
      <c r="AQ117" s="170"/>
      <c r="AR117" s="170"/>
      <c r="AS117" s="174"/>
      <c r="AT117"/>
      <c r="AU117" s="170"/>
      <c r="AV117" s="170"/>
      <c r="AW117" s="170"/>
    </row>
    <row r="118" spans="2:49" hidden="1" x14ac:dyDescent="0.25">
      <c r="B118"/>
      <c r="C118" s="170"/>
      <c r="D118" s="171"/>
      <c r="E118" s="170"/>
      <c r="F118"/>
      <c r="G118" s="172"/>
      <c r="H118" s="173"/>
      <c r="I118" s="172"/>
      <c r="J118"/>
      <c r="K118" s="170"/>
      <c r="L118" s="171"/>
      <c r="M118" s="170"/>
      <c r="N118"/>
      <c r="O118" s="170"/>
      <c r="P118" s="171"/>
      <c r="Q118" s="170"/>
      <c r="R118"/>
      <c r="S118" s="170"/>
      <c r="T118" s="171"/>
      <c r="U118" s="170"/>
      <c r="V118"/>
      <c r="W118" s="170"/>
      <c r="X118" s="170"/>
      <c r="Y118" s="174"/>
      <c r="Z118"/>
      <c r="AA118" s="170"/>
      <c r="AB118" s="171"/>
      <c r="AC118" s="174"/>
      <c r="AD118"/>
      <c r="AE118" s="170"/>
      <c r="AF118" s="170"/>
      <c r="AG118" s="170"/>
      <c r="AH118"/>
      <c r="AI118" s="170"/>
      <c r="AJ118" s="171"/>
      <c r="AK118" s="170"/>
      <c r="AL118"/>
      <c r="AM118" s="170"/>
      <c r="AN118" s="170"/>
      <c r="AO118" s="170"/>
      <c r="AP118"/>
      <c r="AQ118" s="170"/>
      <c r="AR118" s="170"/>
      <c r="AS118" s="174"/>
      <c r="AT118"/>
      <c r="AU118" s="170"/>
      <c r="AV118" s="170"/>
      <c r="AW118" s="170"/>
    </row>
    <row r="119" spans="2:49" hidden="1" x14ac:dyDescent="0.25">
      <c r="B119"/>
      <c r="C119" s="170"/>
      <c r="D119" s="171"/>
      <c r="E119" s="170"/>
      <c r="F119"/>
      <c r="G119" s="172"/>
      <c r="H119" s="173"/>
      <c r="I119" s="172"/>
      <c r="J119"/>
      <c r="K119" s="170"/>
      <c r="L119" s="171"/>
      <c r="M119" s="170"/>
      <c r="N119"/>
      <c r="O119" s="170"/>
      <c r="P119" s="171"/>
      <c r="Q119" s="170"/>
      <c r="R119"/>
      <c r="S119" s="170"/>
      <c r="T119" s="171"/>
      <c r="U119" s="170"/>
      <c r="V119"/>
      <c r="W119" s="170"/>
      <c r="X119" s="170"/>
      <c r="Y119" s="174"/>
      <c r="Z119"/>
      <c r="AA119" s="170"/>
      <c r="AB119" s="171"/>
      <c r="AC119" s="174"/>
      <c r="AD119"/>
      <c r="AE119" s="170"/>
      <c r="AF119" s="170"/>
      <c r="AG119" s="170"/>
      <c r="AH119"/>
      <c r="AI119" s="170"/>
      <c r="AJ119" s="171"/>
      <c r="AK119" s="170"/>
      <c r="AL119"/>
      <c r="AM119" s="170"/>
      <c r="AN119" s="170"/>
      <c r="AO119" s="170"/>
      <c r="AP119"/>
      <c r="AQ119" s="170"/>
      <c r="AR119" s="170"/>
      <c r="AS119" s="174"/>
      <c r="AT119"/>
      <c r="AU119" s="170"/>
      <c r="AV119" s="170"/>
      <c r="AW119" s="170"/>
    </row>
    <row r="120" spans="2:49" hidden="1" x14ac:dyDescent="0.25">
      <c r="B120"/>
      <c r="C120" s="170"/>
      <c r="D120" s="171"/>
      <c r="E120" s="170"/>
      <c r="F120"/>
      <c r="G120" s="172"/>
      <c r="H120" s="173"/>
      <c r="I120" s="172"/>
      <c r="J120"/>
      <c r="K120" s="170"/>
      <c r="L120" s="171"/>
      <c r="M120" s="170"/>
      <c r="N120"/>
      <c r="O120" s="170"/>
      <c r="P120" s="171"/>
      <c r="Q120" s="170"/>
      <c r="R120"/>
      <c r="S120" s="170"/>
      <c r="T120" s="171"/>
      <c r="U120" s="170"/>
      <c r="V120"/>
      <c r="W120" s="170"/>
      <c r="X120" s="170"/>
      <c r="Y120" s="174"/>
      <c r="Z120"/>
      <c r="AA120" s="170"/>
      <c r="AB120" s="171"/>
      <c r="AC120" s="174"/>
      <c r="AD120"/>
      <c r="AE120" s="170"/>
      <c r="AF120" s="170"/>
      <c r="AG120" s="170"/>
      <c r="AH120"/>
      <c r="AI120" s="170"/>
      <c r="AJ120" s="171"/>
      <c r="AK120" s="170"/>
      <c r="AL120"/>
      <c r="AM120" s="170"/>
      <c r="AN120" s="170"/>
      <c r="AO120" s="170"/>
      <c r="AP120"/>
      <c r="AQ120" s="170"/>
      <c r="AR120" s="170"/>
      <c r="AS120" s="174"/>
      <c r="AT120"/>
      <c r="AU120" s="170"/>
      <c r="AV120" s="170"/>
      <c r="AW120" s="170"/>
    </row>
    <row r="121" spans="2:49" hidden="1" x14ac:dyDescent="0.25">
      <c r="B121"/>
      <c r="C121" s="170"/>
      <c r="D121" s="171"/>
      <c r="E121" s="170"/>
      <c r="F121"/>
      <c r="G121" s="172"/>
      <c r="H121" s="173"/>
      <c r="I121" s="172"/>
      <c r="J121"/>
      <c r="K121" s="170"/>
      <c r="L121" s="171"/>
      <c r="M121" s="170"/>
      <c r="N121"/>
      <c r="O121" s="170"/>
      <c r="P121" s="171"/>
      <c r="Q121" s="170"/>
      <c r="R121"/>
      <c r="S121" s="170"/>
      <c r="T121" s="171"/>
      <c r="U121" s="170"/>
      <c r="V121"/>
      <c r="W121" s="170"/>
      <c r="X121" s="170"/>
      <c r="Y121" s="174"/>
      <c r="Z121"/>
      <c r="AA121" s="170"/>
      <c r="AB121" s="171"/>
      <c r="AC121" s="174"/>
      <c r="AD121"/>
      <c r="AE121" s="170"/>
      <c r="AF121" s="170"/>
      <c r="AG121" s="170"/>
      <c r="AH121"/>
      <c r="AI121" s="170"/>
      <c r="AJ121" s="171"/>
      <c r="AK121" s="170"/>
      <c r="AL121"/>
      <c r="AM121" s="170"/>
      <c r="AN121" s="170"/>
      <c r="AO121" s="170"/>
      <c r="AP121"/>
      <c r="AQ121" s="170"/>
      <c r="AR121" s="170"/>
      <c r="AS121" s="174"/>
      <c r="AT121"/>
      <c r="AU121" s="170"/>
      <c r="AV121" s="170"/>
      <c r="AW121" s="170"/>
    </row>
    <row r="122" spans="2:49" hidden="1" x14ac:dyDescent="0.25">
      <c r="B122"/>
      <c r="C122" s="170"/>
      <c r="D122" s="171"/>
      <c r="E122" s="170"/>
      <c r="F122"/>
      <c r="G122" s="172"/>
      <c r="H122" s="173"/>
      <c r="I122" s="172"/>
      <c r="J122"/>
      <c r="K122" s="170"/>
      <c r="L122" s="171"/>
      <c r="M122" s="170"/>
      <c r="N122"/>
      <c r="O122" s="170"/>
      <c r="P122" s="171"/>
      <c r="Q122" s="170"/>
      <c r="R122"/>
      <c r="S122" s="170"/>
      <c r="T122" s="171"/>
      <c r="U122" s="170"/>
      <c r="V122"/>
      <c r="W122" s="170"/>
      <c r="X122" s="170"/>
      <c r="Y122" s="174"/>
      <c r="Z122"/>
      <c r="AA122" s="170"/>
      <c r="AB122" s="171"/>
      <c r="AC122" s="174"/>
      <c r="AD122"/>
      <c r="AE122" s="170"/>
      <c r="AF122" s="170"/>
      <c r="AG122" s="170"/>
      <c r="AH122"/>
      <c r="AI122" s="170"/>
      <c r="AJ122" s="171"/>
      <c r="AK122" s="170"/>
      <c r="AL122"/>
      <c r="AM122" s="170"/>
      <c r="AN122" s="170"/>
      <c r="AO122" s="170"/>
      <c r="AP122"/>
      <c r="AQ122" s="170"/>
      <c r="AR122" s="170"/>
      <c r="AS122" s="174"/>
      <c r="AT122"/>
      <c r="AU122" s="170"/>
      <c r="AV122" s="170"/>
      <c r="AW122" s="170"/>
    </row>
    <row r="123" spans="2:49" hidden="1" x14ac:dyDescent="0.25">
      <c r="B123"/>
      <c r="C123" s="170"/>
      <c r="D123" s="171"/>
      <c r="E123" s="170"/>
      <c r="F123"/>
      <c r="G123" s="172"/>
      <c r="H123" s="173"/>
      <c r="I123" s="172"/>
      <c r="J123"/>
      <c r="K123" s="170"/>
      <c r="L123" s="171"/>
      <c r="M123" s="170"/>
      <c r="N123"/>
      <c r="O123" s="170"/>
      <c r="P123" s="171"/>
      <c r="Q123" s="170"/>
      <c r="R123"/>
      <c r="S123" s="170"/>
      <c r="T123" s="171"/>
      <c r="U123" s="170"/>
      <c r="V123"/>
      <c r="W123" s="170"/>
      <c r="X123" s="170"/>
      <c r="Y123" s="174"/>
      <c r="Z123"/>
      <c r="AA123" s="170"/>
      <c r="AB123" s="171"/>
      <c r="AC123" s="174"/>
      <c r="AD123"/>
      <c r="AE123" s="170"/>
      <c r="AF123" s="170"/>
      <c r="AG123" s="170"/>
      <c r="AH123"/>
      <c r="AI123" s="170"/>
      <c r="AJ123" s="171"/>
      <c r="AK123" s="170"/>
      <c r="AL123"/>
      <c r="AM123" s="170"/>
      <c r="AN123" s="170"/>
      <c r="AO123" s="170"/>
      <c r="AP123"/>
      <c r="AQ123" s="170"/>
      <c r="AR123" s="170"/>
      <c r="AS123" s="174"/>
      <c r="AT123"/>
      <c r="AU123" s="170"/>
      <c r="AV123" s="170"/>
      <c r="AW123" s="170"/>
    </row>
    <row r="124" spans="2:49" hidden="1" x14ac:dyDescent="0.25">
      <c r="B124"/>
      <c r="C124" s="170"/>
      <c r="D124" s="171"/>
      <c r="E124" s="170"/>
      <c r="F124"/>
      <c r="G124" s="172"/>
      <c r="H124" s="173"/>
      <c r="I124" s="172"/>
      <c r="J124"/>
      <c r="K124" s="170"/>
      <c r="L124" s="171"/>
      <c r="M124" s="170"/>
      <c r="N124"/>
      <c r="O124" s="170"/>
      <c r="P124" s="171"/>
      <c r="Q124" s="170"/>
      <c r="R124"/>
      <c r="S124" s="170"/>
      <c r="T124" s="171"/>
      <c r="U124" s="170"/>
      <c r="V124"/>
      <c r="W124" s="170"/>
      <c r="X124" s="170"/>
      <c r="Y124" s="174"/>
      <c r="Z124"/>
      <c r="AA124" s="170"/>
      <c r="AB124" s="171"/>
      <c r="AC124" s="174"/>
      <c r="AD124"/>
      <c r="AE124" s="170"/>
      <c r="AF124" s="170"/>
      <c r="AG124" s="170"/>
      <c r="AH124"/>
      <c r="AI124" s="170"/>
      <c r="AJ124" s="171"/>
      <c r="AK124" s="170"/>
      <c r="AL124"/>
      <c r="AM124" s="170"/>
      <c r="AN124" s="170"/>
      <c r="AO124" s="170"/>
      <c r="AP124"/>
      <c r="AQ124" s="170"/>
      <c r="AR124" s="170"/>
      <c r="AS124" s="174"/>
      <c r="AT124"/>
      <c r="AU124" s="170"/>
      <c r="AV124" s="170"/>
      <c r="AW124" s="170"/>
    </row>
    <row r="125" spans="2:49" hidden="1" x14ac:dyDescent="0.25">
      <c r="B125"/>
      <c r="C125" s="170"/>
      <c r="D125" s="171"/>
      <c r="E125" s="170"/>
      <c r="F125"/>
      <c r="G125" s="172"/>
      <c r="H125" s="173"/>
      <c r="I125" s="172"/>
      <c r="J125"/>
      <c r="K125" s="170"/>
      <c r="L125" s="171"/>
      <c r="M125" s="170"/>
      <c r="N125"/>
      <c r="O125" s="170"/>
      <c r="P125" s="171"/>
      <c r="Q125" s="170"/>
      <c r="R125"/>
      <c r="S125" s="170"/>
      <c r="T125" s="171"/>
      <c r="U125" s="170"/>
      <c r="V125"/>
      <c r="W125" s="170"/>
      <c r="X125" s="170"/>
      <c r="Y125" s="174"/>
      <c r="Z125"/>
      <c r="AA125" s="170"/>
      <c r="AB125" s="171"/>
      <c r="AC125" s="174"/>
      <c r="AD125"/>
      <c r="AE125" s="170"/>
      <c r="AF125" s="170"/>
      <c r="AG125" s="170"/>
      <c r="AH125"/>
      <c r="AI125" s="170"/>
      <c r="AJ125" s="171"/>
      <c r="AK125" s="170"/>
      <c r="AL125"/>
      <c r="AM125" s="170"/>
      <c r="AN125" s="170"/>
      <c r="AO125" s="170"/>
      <c r="AP125"/>
      <c r="AQ125" s="170"/>
      <c r="AR125" s="170"/>
      <c r="AS125" s="174"/>
      <c r="AT125"/>
      <c r="AU125" s="170"/>
      <c r="AV125" s="170"/>
      <c r="AW125" s="170"/>
    </row>
    <row r="126" spans="2:49" hidden="1" x14ac:dyDescent="0.25">
      <c r="B126"/>
      <c r="C126" s="170"/>
      <c r="D126" s="171"/>
      <c r="E126" s="170"/>
      <c r="F126"/>
      <c r="G126" s="172"/>
      <c r="H126" s="173"/>
      <c r="I126" s="172"/>
      <c r="J126"/>
      <c r="K126" s="170"/>
      <c r="L126" s="171"/>
      <c r="M126" s="170"/>
      <c r="N126"/>
      <c r="O126" s="170"/>
      <c r="P126" s="171"/>
      <c r="Q126" s="170"/>
      <c r="R126"/>
      <c r="S126" s="170"/>
      <c r="T126" s="171"/>
      <c r="U126" s="170"/>
      <c r="V126"/>
      <c r="W126" s="170"/>
      <c r="X126" s="170"/>
      <c r="Y126" s="174"/>
      <c r="Z126"/>
      <c r="AA126" s="170"/>
      <c r="AB126" s="171"/>
      <c r="AC126" s="174"/>
      <c r="AD126"/>
      <c r="AE126" s="170"/>
      <c r="AF126" s="170"/>
      <c r="AG126" s="170"/>
      <c r="AH126"/>
      <c r="AI126" s="170"/>
      <c r="AJ126" s="171"/>
      <c r="AK126" s="170"/>
      <c r="AL126"/>
      <c r="AM126" s="170"/>
      <c r="AN126" s="170"/>
      <c r="AO126" s="170"/>
      <c r="AP126"/>
      <c r="AQ126" s="170"/>
      <c r="AR126" s="170"/>
      <c r="AS126" s="174"/>
      <c r="AT126"/>
      <c r="AU126" s="170"/>
      <c r="AV126" s="170"/>
      <c r="AW126" s="170"/>
    </row>
    <row r="127" spans="2:49" hidden="1" x14ac:dyDescent="0.25">
      <c r="B127"/>
      <c r="C127" s="170"/>
      <c r="D127" s="171"/>
      <c r="E127" s="170"/>
      <c r="F127"/>
      <c r="G127" s="172"/>
      <c r="H127" s="173"/>
      <c r="I127" s="172"/>
      <c r="J127"/>
      <c r="K127" s="170"/>
      <c r="L127" s="171"/>
      <c r="M127" s="170"/>
      <c r="N127"/>
      <c r="O127" s="170"/>
      <c r="P127" s="171"/>
      <c r="Q127" s="170"/>
      <c r="R127"/>
      <c r="S127" s="170"/>
      <c r="T127" s="171"/>
      <c r="U127" s="170"/>
      <c r="V127"/>
      <c r="W127" s="170"/>
      <c r="X127" s="170"/>
      <c r="Y127" s="174"/>
      <c r="Z127"/>
      <c r="AA127" s="170"/>
      <c r="AB127" s="171"/>
      <c r="AC127" s="174"/>
      <c r="AD127"/>
      <c r="AE127" s="170"/>
      <c r="AF127" s="170"/>
      <c r="AG127" s="170"/>
      <c r="AH127"/>
      <c r="AI127" s="170"/>
      <c r="AJ127" s="171"/>
      <c r="AK127" s="170"/>
      <c r="AL127"/>
      <c r="AM127" s="170"/>
      <c r="AN127" s="170"/>
      <c r="AO127" s="170"/>
      <c r="AP127"/>
      <c r="AQ127" s="170"/>
      <c r="AR127" s="170"/>
      <c r="AS127" s="174"/>
      <c r="AT127"/>
      <c r="AU127" s="170"/>
      <c r="AV127" s="170"/>
      <c r="AW127" s="170"/>
    </row>
    <row r="128" spans="2:49" hidden="1" x14ac:dyDescent="0.25">
      <c r="B128"/>
      <c r="C128" s="170"/>
      <c r="D128" s="171"/>
      <c r="E128" s="170"/>
      <c r="F128"/>
      <c r="G128" s="172"/>
      <c r="H128" s="173"/>
      <c r="I128" s="172"/>
      <c r="J128"/>
      <c r="K128" s="170"/>
      <c r="L128" s="171"/>
      <c r="M128" s="170"/>
      <c r="N128"/>
      <c r="O128" s="170"/>
      <c r="P128" s="171"/>
      <c r="Q128" s="170"/>
      <c r="R128"/>
      <c r="S128" s="170"/>
      <c r="T128" s="171"/>
      <c r="U128" s="170"/>
      <c r="V128"/>
      <c r="W128" s="170"/>
      <c r="X128" s="170"/>
      <c r="Y128" s="174"/>
      <c r="Z128"/>
      <c r="AA128" s="170"/>
      <c r="AB128" s="171"/>
      <c r="AC128" s="174"/>
      <c r="AD128"/>
      <c r="AE128" s="170"/>
      <c r="AF128" s="170"/>
      <c r="AG128" s="170"/>
      <c r="AH128"/>
      <c r="AI128" s="170"/>
      <c r="AJ128" s="171"/>
      <c r="AK128" s="170"/>
      <c r="AL128"/>
      <c r="AM128" s="170"/>
      <c r="AN128" s="170"/>
      <c r="AO128" s="170"/>
      <c r="AP128"/>
      <c r="AQ128" s="170"/>
      <c r="AR128" s="170"/>
      <c r="AS128" s="174"/>
      <c r="AT128"/>
      <c r="AU128" s="170"/>
      <c r="AV128" s="170"/>
      <c r="AW128" s="170"/>
    </row>
    <row r="129" spans="2:49" hidden="1" x14ac:dyDescent="0.25">
      <c r="B129"/>
      <c r="C129" s="170"/>
      <c r="D129" s="171"/>
      <c r="E129" s="170"/>
      <c r="F129"/>
      <c r="G129" s="172"/>
      <c r="H129" s="173"/>
      <c r="I129" s="172"/>
      <c r="J129"/>
      <c r="K129" s="170"/>
      <c r="L129" s="171"/>
      <c r="M129" s="170"/>
      <c r="N129"/>
      <c r="O129" s="170"/>
      <c r="P129" s="171"/>
      <c r="Q129" s="170"/>
      <c r="R129"/>
      <c r="S129" s="170"/>
      <c r="T129" s="171"/>
      <c r="U129" s="170"/>
      <c r="V129"/>
      <c r="W129" s="170"/>
      <c r="X129" s="170"/>
      <c r="Y129" s="174"/>
      <c r="Z129"/>
      <c r="AA129" s="170"/>
      <c r="AB129" s="171"/>
      <c r="AC129" s="174"/>
      <c r="AD129"/>
      <c r="AE129" s="170"/>
      <c r="AF129" s="170"/>
      <c r="AG129" s="170"/>
      <c r="AH129"/>
      <c r="AI129" s="170"/>
      <c r="AJ129" s="171"/>
      <c r="AK129" s="170"/>
      <c r="AL129"/>
      <c r="AM129" s="170"/>
      <c r="AN129" s="170"/>
      <c r="AO129" s="170"/>
      <c r="AP129"/>
      <c r="AQ129" s="170"/>
      <c r="AR129" s="170"/>
      <c r="AS129" s="174"/>
      <c r="AT129"/>
      <c r="AU129" s="170"/>
      <c r="AV129" s="170"/>
      <c r="AW129" s="170"/>
    </row>
    <row r="130" spans="2:49" hidden="1" x14ac:dyDescent="0.25">
      <c r="B130"/>
      <c r="C130" s="170"/>
      <c r="D130" s="171"/>
      <c r="E130" s="170"/>
      <c r="F130"/>
      <c r="G130" s="172"/>
      <c r="H130" s="173"/>
      <c r="I130" s="172"/>
      <c r="J130"/>
      <c r="K130" s="170"/>
      <c r="L130" s="171"/>
      <c r="M130" s="170"/>
      <c r="N130"/>
      <c r="O130" s="170"/>
      <c r="P130" s="171"/>
      <c r="Q130" s="170"/>
      <c r="R130"/>
      <c r="S130" s="170"/>
      <c r="T130" s="171"/>
      <c r="U130" s="170"/>
      <c r="V130"/>
      <c r="W130" s="170"/>
      <c r="X130" s="170"/>
      <c r="Y130" s="174"/>
      <c r="Z130"/>
      <c r="AA130" s="170"/>
      <c r="AB130" s="171"/>
      <c r="AC130" s="174"/>
      <c r="AD130"/>
      <c r="AE130" s="170"/>
      <c r="AF130" s="170"/>
      <c r="AG130" s="170"/>
      <c r="AH130"/>
      <c r="AI130" s="170"/>
      <c r="AJ130" s="171"/>
      <c r="AK130" s="170"/>
      <c r="AL130"/>
      <c r="AM130" s="170"/>
      <c r="AN130" s="170"/>
      <c r="AO130" s="170"/>
      <c r="AP130"/>
      <c r="AQ130" s="170"/>
      <c r="AR130" s="170"/>
      <c r="AS130" s="174"/>
      <c r="AT130"/>
      <c r="AU130" s="170"/>
      <c r="AV130" s="170"/>
      <c r="AW130" s="170"/>
    </row>
    <row r="131" spans="2:49" hidden="1" x14ac:dyDescent="0.25">
      <c r="B131"/>
      <c r="C131" s="170"/>
      <c r="D131" s="171"/>
      <c r="E131" s="170"/>
      <c r="F131"/>
      <c r="G131" s="172"/>
      <c r="H131" s="173"/>
      <c r="I131" s="172"/>
      <c r="J131"/>
      <c r="K131" s="170"/>
      <c r="L131" s="171"/>
      <c r="M131" s="170"/>
      <c r="N131"/>
      <c r="O131" s="170"/>
      <c r="P131" s="171"/>
      <c r="Q131" s="170"/>
      <c r="R131"/>
      <c r="S131" s="170"/>
      <c r="T131" s="171"/>
      <c r="U131" s="170"/>
      <c r="V131"/>
      <c r="W131" s="170"/>
      <c r="X131" s="170"/>
      <c r="Y131" s="174"/>
      <c r="Z131"/>
      <c r="AA131" s="170"/>
      <c r="AB131" s="171"/>
      <c r="AC131" s="174"/>
      <c r="AD131"/>
      <c r="AE131" s="170"/>
      <c r="AF131" s="170"/>
      <c r="AG131" s="170"/>
      <c r="AH131"/>
      <c r="AI131" s="170"/>
      <c r="AJ131" s="171"/>
      <c r="AK131" s="170"/>
      <c r="AL131"/>
      <c r="AM131" s="170"/>
      <c r="AN131" s="170"/>
      <c r="AO131" s="170"/>
      <c r="AP131"/>
      <c r="AQ131" s="170"/>
      <c r="AR131" s="170"/>
      <c r="AS131" s="174"/>
      <c r="AT131"/>
      <c r="AU131" s="170"/>
      <c r="AV131" s="170"/>
      <c r="AW131" s="170"/>
    </row>
    <row r="132" spans="2:49" hidden="1" x14ac:dyDescent="0.25">
      <c r="B132"/>
      <c r="C132" s="170"/>
      <c r="D132" s="171"/>
      <c r="E132" s="170"/>
      <c r="F132"/>
      <c r="G132" s="172"/>
      <c r="H132" s="173"/>
      <c r="I132" s="172"/>
      <c r="J132"/>
      <c r="K132" s="170"/>
      <c r="L132" s="171"/>
      <c r="M132" s="170"/>
      <c r="N132"/>
      <c r="O132" s="170"/>
      <c r="P132" s="171"/>
      <c r="Q132" s="170"/>
      <c r="R132"/>
      <c r="S132" s="170"/>
      <c r="T132" s="171"/>
      <c r="U132" s="170"/>
      <c r="V132"/>
      <c r="W132" s="170"/>
      <c r="X132" s="170"/>
      <c r="Y132" s="174"/>
      <c r="Z132"/>
      <c r="AA132" s="170"/>
      <c r="AB132" s="171"/>
      <c r="AC132" s="174"/>
      <c r="AD132"/>
      <c r="AE132" s="170"/>
      <c r="AF132" s="170"/>
      <c r="AG132" s="170"/>
      <c r="AH132"/>
      <c r="AI132" s="170"/>
      <c r="AJ132" s="171"/>
      <c r="AK132" s="170"/>
      <c r="AL132"/>
      <c r="AM132" s="170"/>
      <c r="AN132" s="170"/>
      <c r="AO132" s="170"/>
      <c r="AP132"/>
      <c r="AQ132" s="170"/>
      <c r="AR132" s="170"/>
      <c r="AS132" s="174"/>
      <c r="AT132"/>
      <c r="AU132" s="170"/>
      <c r="AV132" s="170"/>
      <c r="AW132" s="170"/>
    </row>
    <row r="133" spans="2:49" hidden="1" x14ac:dyDescent="0.25">
      <c r="B133"/>
      <c r="C133" s="170"/>
      <c r="D133" s="171"/>
      <c r="E133" s="170"/>
      <c r="F133"/>
      <c r="G133" s="172"/>
      <c r="H133" s="173"/>
      <c r="I133" s="172"/>
      <c r="J133"/>
      <c r="K133" s="170"/>
      <c r="L133" s="171"/>
      <c r="M133" s="170"/>
      <c r="N133"/>
      <c r="O133" s="170"/>
      <c r="P133" s="171"/>
      <c r="Q133" s="170"/>
      <c r="R133"/>
      <c r="S133" s="170"/>
      <c r="T133" s="171"/>
      <c r="U133" s="170"/>
      <c r="V133"/>
      <c r="W133" s="170"/>
      <c r="X133" s="170"/>
      <c r="Y133" s="174"/>
      <c r="Z133"/>
      <c r="AA133" s="170"/>
      <c r="AB133" s="171"/>
      <c r="AC133" s="174"/>
      <c r="AD133"/>
      <c r="AE133" s="170"/>
      <c r="AF133" s="170"/>
      <c r="AG133" s="170"/>
      <c r="AH133"/>
      <c r="AI133" s="170"/>
      <c r="AJ133" s="171"/>
      <c r="AK133" s="170"/>
      <c r="AL133"/>
      <c r="AM133" s="170"/>
      <c r="AN133" s="170"/>
      <c r="AO133" s="170"/>
      <c r="AP133"/>
      <c r="AQ133" s="170"/>
      <c r="AR133" s="170"/>
      <c r="AS133" s="174"/>
      <c r="AT133"/>
      <c r="AU133" s="170"/>
      <c r="AV133" s="170"/>
      <c r="AW133" s="170"/>
    </row>
    <row r="134" spans="2:49" hidden="1" x14ac:dyDescent="0.25">
      <c r="B134"/>
      <c r="C134" s="170"/>
      <c r="D134" s="171"/>
      <c r="E134" s="170"/>
      <c r="F134"/>
      <c r="G134" s="172"/>
      <c r="H134" s="173"/>
      <c r="I134" s="172"/>
      <c r="J134"/>
      <c r="K134" s="170"/>
      <c r="L134" s="171"/>
      <c r="M134" s="170"/>
      <c r="N134"/>
      <c r="O134" s="170"/>
      <c r="P134" s="171"/>
      <c r="Q134" s="170"/>
      <c r="R134"/>
      <c r="S134" s="170"/>
      <c r="T134" s="171"/>
      <c r="U134" s="170"/>
      <c r="V134"/>
      <c r="W134" s="170"/>
      <c r="X134" s="170"/>
      <c r="Y134" s="174"/>
      <c r="Z134"/>
      <c r="AA134" s="170"/>
      <c r="AB134" s="171"/>
      <c r="AC134" s="174"/>
      <c r="AD134"/>
      <c r="AE134" s="170"/>
      <c r="AF134" s="170"/>
      <c r="AG134" s="170"/>
      <c r="AH134"/>
      <c r="AI134" s="170"/>
      <c r="AJ134" s="171"/>
      <c r="AK134" s="170"/>
      <c r="AL134"/>
      <c r="AM134" s="170"/>
      <c r="AN134" s="170"/>
      <c r="AO134" s="170"/>
      <c r="AP134"/>
      <c r="AQ134" s="170"/>
      <c r="AR134" s="170"/>
      <c r="AS134" s="174"/>
      <c r="AT134"/>
      <c r="AU134" s="170"/>
      <c r="AV134" s="170"/>
      <c r="AW134" s="170"/>
    </row>
    <row r="135" spans="2:49" hidden="1" x14ac:dyDescent="0.25">
      <c r="B135"/>
      <c r="C135" s="170"/>
      <c r="D135" s="171"/>
      <c r="E135" s="170"/>
      <c r="F135"/>
      <c r="G135" s="172"/>
      <c r="H135" s="173"/>
      <c r="I135" s="172"/>
      <c r="J135"/>
      <c r="K135" s="170"/>
      <c r="L135" s="171"/>
      <c r="M135" s="170"/>
      <c r="N135"/>
      <c r="O135" s="170"/>
      <c r="P135" s="171"/>
      <c r="Q135" s="170"/>
      <c r="R135"/>
      <c r="S135" s="170"/>
      <c r="T135" s="171"/>
      <c r="U135" s="170"/>
      <c r="V135"/>
      <c r="W135" s="170"/>
      <c r="X135" s="170"/>
      <c r="Y135" s="174"/>
      <c r="Z135"/>
      <c r="AA135" s="170"/>
      <c r="AB135" s="171"/>
      <c r="AC135" s="174"/>
      <c r="AD135"/>
      <c r="AE135" s="170"/>
      <c r="AF135" s="170"/>
      <c r="AG135" s="170"/>
      <c r="AH135"/>
      <c r="AI135" s="170"/>
      <c r="AJ135" s="171"/>
      <c r="AK135" s="170"/>
      <c r="AL135"/>
      <c r="AM135" s="170"/>
      <c r="AN135" s="170"/>
      <c r="AO135" s="170"/>
      <c r="AP135"/>
      <c r="AQ135" s="170"/>
      <c r="AR135" s="170"/>
      <c r="AS135" s="174"/>
      <c r="AT135"/>
      <c r="AU135" s="170"/>
      <c r="AV135" s="170"/>
      <c r="AW135" s="170"/>
    </row>
    <row r="136" spans="2:49" hidden="1" x14ac:dyDescent="0.25">
      <c r="B136"/>
      <c r="C136" s="170"/>
      <c r="D136" s="171"/>
      <c r="E136" s="170"/>
      <c r="F136"/>
      <c r="G136" s="172"/>
      <c r="H136" s="173"/>
      <c r="I136" s="172"/>
      <c r="J136"/>
      <c r="K136" s="170"/>
      <c r="L136" s="171"/>
      <c r="M136" s="170"/>
      <c r="N136"/>
      <c r="O136" s="170"/>
      <c r="P136" s="171"/>
      <c r="Q136" s="170"/>
      <c r="R136"/>
      <c r="S136" s="170"/>
      <c r="T136" s="171"/>
      <c r="U136" s="170"/>
      <c r="V136"/>
      <c r="W136" s="170"/>
      <c r="X136" s="170"/>
      <c r="Y136" s="174"/>
      <c r="Z136"/>
      <c r="AA136" s="170"/>
      <c r="AB136" s="171"/>
      <c r="AC136" s="174"/>
      <c r="AD136"/>
      <c r="AE136" s="170"/>
      <c r="AF136" s="170"/>
      <c r="AG136" s="170"/>
      <c r="AH136"/>
      <c r="AI136" s="170"/>
      <c r="AJ136" s="171"/>
      <c r="AK136" s="170"/>
      <c r="AL136"/>
      <c r="AM136" s="170"/>
      <c r="AN136" s="170"/>
      <c r="AO136" s="170"/>
      <c r="AP136"/>
      <c r="AQ136" s="170"/>
      <c r="AR136" s="170"/>
      <c r="AS136" s="174"/>
      <c r="AT136"/>
      <c r="AU136" s="170"/>
      <c r="AV136" s="170"/>
      <c r="AW136" s="170"/>
    </row>
    <row r="137" spans="2:49" hidden="1" x14ac:dyDescent="0.25">
      <c r="B137"/>
      <c r="C137" s="170"/>
      <c r="D137" s="171"/>
      <c r="E137" s="170"/>
      <c r="F137"/>
      <c r="G137" s="172"/>
      <c r="H137" s="173"/>
      <c r="I137" s="172"/>
      <c r="J137"/>
      <c r="K137" s="170"/>
      <c r="L137" s="171"/>
      <c r="M137" s="170"/>
      <c r="N137"/>
      <c r="O137" s="170"/>
      <c r="P137" s="171"/>
      <c r="Q137" s="170"/>
      <c r="R137"/>
      <c r="S137" s="170"/>
      <c r="T137" s="171"/>
      <c r="U137" s="170"/>
      <c r="V137"/>
      <c r="W137" s="170"/>
      <c r="X137" s="170"/>
      <c r="Y137" s="174"/>
      <c r="Z137"/>
      <c r="AA137" s="170"/>
      <c r="AB137" s="171"/>
      <c r="AC137" s="174"/>
      <c r="AD137"/>
      <c r="AE137" s="170"/>
      <c r="AF137" s="170"/>
      <c r="AG137" s="170"/>
      <c r="AH137"/>
      <c r="AI137" s="170"/>
      <c r="AJ137" s="171"/>
      <c r="AK137" s="170"/>
      <c r="AL137"/>
      <c r="AM137" s="170"/>
      <c r="AN137" s="170"/>
      <c r="AO137" s="170"/>
      <c r="AP137"/>
      <c r="AQ137" s="170"/>
      <c r="AR137" s="170"/>
      <c r="AS137" s="174"/>
      <c r="AT137"/>
      <c r="AU137" s="170"/>
      <c r="AV137" s="170"/>
      <c r="AW137" s="170"/>
    </row>
    <row r="138" spans="2:49" hidden="1" x14ac:dyDescent="0.25">
      <c r="B138"/>
      <c r="C138" s="170"/>
      <c r="D138" s="171"/>
      <c r="E138" s="170"/>
      <c r="F138"/>
      <c r="G138" s="172"/>
      <c r="H138" s="173"/>
      <c r="I138" s="172"/>
      <c r="J138"/>
      <c r="K138" s="170"/>
      <c r="L138" s="171"/>
      <c r="M138" s="170"/>
      <c r="N138"/>
      <c r="O138" s="170"/>
      <c r="P138" s="171"/>
      <c r="Q138" s="170"/>
      <c r="R138"/>
      <c r="S138" s="170"/>
      <c r="T138" s="171"/>
      <c r="U138" s="170"/>
      <c r="V138"/>
      <c r="W138" s="170"/>
      <c r="X138" s="170"/>
      <c r="Y138" s="174"/>
      <c r="Z138"/>
      <c r="AA138" s="170"/>
      <c r="AB138" s="171"/>
      <c r="AC138" s="174"/>
      <c r="AD138"/>
      <c r="AE138" s="170"/>
      <c r="AF138" s="170"/>
      <c r="AG138" s="170"/>
      <c r="AH138"/>
      <c r="AI138" s="170"/>
      <c r="AJ138" s="171"/>
      <c r="AK138" s="170"/>
      <c r="AL138"/>
      <c r="AM138" s="170"/>
      <c r="AN138" s="170"/>
      <c r="AO138" s="170"/>
      <c r="AP138"/>
      <c r="AQ138" s="170"/>
      <c r="AR138" s="170"/>
      <c r="AS138" s="174"/>
      <c r="AT138"/>
      <c r="AU138" s="170"/>
      <c r="AV138" s="170"/>
      <c r="AW138" s="170"/>
    </row>
    <row r="139" spans="2:49" hidden="1" x14ac:dyDescent="0.25">
      <c r="B139"/>
      <c r="C139" s="170"/>
      <c r="D139" s="171"/>
      <c r="E139" s="170"/>
      <c r="F139"/>
      <c r="G139" s="172"/>
      <c r="H139" s="173"/>
      <c r="I139" s="172"/>
      <c r="J139"/>
      <c r="K139" s="170"/>
      <c r="L139" s="171"/>
      <c r="M139" s="170"/>
      <c r="N139"/>
      <c r="O139" s="170"/>
      <c r="P139" s="171"/>
      <c r="Q139" s="170"/>
      <c r="R139"/>
      <c r="S139" s="170"/>
      <c r="T139" s="171"/>
      <c r="U139" s="170"/>
      <c r="V139"/>
      <c r="W139" s="170"/>
      <c r="X139" s="170"/>
      <c r="Y139" s="174"/>
      <c r="Z139"/>
      <c r="AA139" s="170"/>
      <c r="AB139" s="171"/>
      <c r="AC139" s="174"/>
      <c r="AD139"/>
      <c r="AE139" s="170"/>
      <c r="AF139" s="170"/>
      <c r="AG139" s="170"/>
      <c r="AH139"/>
      <c r="AI139" s="170"/>
      <c r="AJ139" s="171"/>
      <c r="AK139" s="170"/>
      <c r="AL139"/>
      <c r="AM139" s="170"/>
      <c r="AN139" s="170"/>
      <c r="AO139" s="170"/>
      <c r="AP139"/>
      <c r="AQ139" s="170"/>
      <c r="AR139" s="170"/>
      <c r="AS139" s="174"/>
      <c r="AT139"/>
      <c r="AU139" s="170"/>
      <c r="AV139" s="170"/>
      <c r="AW139" s="170"/>
    </row>
    <row r="140" spans="2:49" hidden="1" x14ac:dyDescent="0.25">
      <c r="B140"/>
      <c r="C140" s="170"/>
      <c r="D140" s="171"/>
      <c r="E140" s="170"/>
      <c r="F140"/>
      <c r="G140" s="172"/>
      <c r="H140" s="173"/>
      <c r="I140" s="172"/>
      <c r="J140"/>
      <c r="K140" s="170"/>
      <c r="L140" s="171"/>
      <c r="M140" s="170"/>
      <c r="N140"/>
      <c r="O140" s="170"/>
      <c r="P140" s="171"/>
      <c r="Q140" s="170"/>
      <c r="R140"/>
      <c r="S140" s="170"/>
      <c r="T140" s="171"/>
      <c r="U140" s="170"/>
      <c r="V140"/>
      <c r="W140" s="170"/>
      <c r="X140" s="170"/>
      <c r="Y140" s="174"/>
      <c r="Z140"/>
      <c r="AA140" s="170"/>
      <c r="AB140" s="171"/>
      <c r="AC140" s="174"/>
      <c r="AD140"/>
      <c r="AE140" s="170"/>
      <c r="AF140" s="170"/>
      <c r="AG140" s="170"/>
      <c r="AH140"/>
      <c r="AI140" s="170"/>
      <c r="AJ140" s="171"/>
      <c r="AK140" s="170"/>
      <c r="AL140"/>
      <c r="AM140" s="170"/>
      <c r="AN140" s="170"/>
      <c r="AO140" s="170"/>
      <c r="AP140"/>
      <c r="AQ140" s="170"/>
      <c r="AR140" s="170"/>
      <c r="AS140" s="174"/>
      <c r="AT140"/>
      <c r="AU140" s="170"/>
      <c r="AV140" s="170"/>
      <c r="AW140" s="170"/>
    </row>
    <row r="141" spans="2:49" hidden="1" x14ac:dyDescent="0.25">
      <c r="B141"/>
      <c r="C141" s="170"/>
      <c r="D141" s="171"/>
      <c r="E141" s="170"/>
      <c r="F141"/>
      <c r="G141" s="172"/>
      <c r="H141" s="173"/>
      <c r="I141" s="172"/>
      <c r="J141"/>
      <c r="K141" s="170"/>
      <c r="L141" s="171"/>
      <c r="M141" s="170"/>
      <c r="N141"/>
      <c r="O141" s="170"/>
      <c r="P141" s="171"/>
      <c r="Q141" s="170"/>
      <c r="R141"/>
      <c r="S141" s="170"/>
      <c r="T141" s="171"/>
      <c r="U141" s="170"/>
      <c r="V141"/>
      <c r="W141" s="170"/>
      <c r="X141" s="170"/>
      <c r="Y141" s="174"/>
      <c r="Z141"/>
      <c r="AA141" s="170"/>
      <c r="AB141" s="171"/>
      <c r="AC141" s="174"/>
      <c r="AD141"/>
      <c r="AE141" s="170"/>
      <c r="AF141" s="170"/>
      <c r="AG141" s="170"/>
      <c r="AH141"/>
      <c r="AI141" s="170"/>
      <c r="AJ141" s="171"/>
      <c r="AK141" s="170"/>
      <c r="AL141"/>
      <c r="AM141" s="170"/>
      <c r="AN141" s="170"/>
      <c r="AO141" s="170"/>
      <c r="AP141"/>
      <c r="AQ141" s="170"/>
      <c r="AR141" s="170"/>
      <c r="AS141" s="174"/>
      <c r="AT141"/>
      <c r="AU141" s="170"/>
      <c r="AV141" s="170"/>
      <c r="AW141" s="170"/>
    </row>
    <row r="142" spans="2:49" hidden="1" x14ac:dyDescent="0.25">
      <c r="B142"/>
      <c r="C142" s="170"/>
      <c r="D142" s="171"/>
      <c r="E142" s="170"/>
      <c r="F142"/>
      <c r="G142" s="172"/>
      <c r="H142" s="173"/>
      <c r="I142" s="172"/>
      <c r="J142"/>
      <c r="K142" s="170"/>
      <c r="L142" s="171"/>
      <c r="M142" s="170"/>
      <c r="N142"/>
      <c r="O142" s="170"/>
      <c r="P142" s="171"/>
      <c r="Q142" s="170"/>
      <c r="R142"/>
      <c r="S142" s="170"/>
      <c r="T142" s="171"/>
      <c r="U142" s="170"/>
      <c r="V142"/>
      <c r="W142" s="170"/>
      <c r="X142" s="170"/>
      <c r="Y142" s="174"/>
      <c r="Z142"/>
      <c r="AA142" s="170"/>
      <c r="AB142" s="171"/>
      <c r="AC142" s="174"/>
      <c r="AD142"/>
      <c r="AE142" s="170"/>
      <c r="AF142" s="170"/>
      <c r="AG142" s="170"/>
      <c r="AH142"/>
      <c r="AI142" s="170"/>
      <c r="AJ142" s="171"/>
      <c r="AK142" s="170"/>
      <c r="AL142"/>
      <c r="AM142" s="170"/>
      <c r="AN142" s="170"/>
      <c r="AO142" s="170"/>
      <c r="AP142"/>
      <c r="AQ142" s="170"/>
      <c r="AR142" s="170"/>
      <c r="AS142" s="174"/>
      <c r="AT142"/>
      <c r="AU142" s="170"/>
      <c r="AV142" s="170"/>
      <c r="AW142" s="170"/>
    </row>
    <row r="143" spans="2:49" hidden="1" x14ac:dyDescent="0.25">
      <c r="B143"/>
      <c r="C143" s="170"/>
      <c r="D143" s="171"/>
      <c r="E143" s="170"/>
      <c r="F143"/>
      <c r="G143" s="172"/>
      <c r="H143" s="173"/>
      <c r="I143" s="172"/>
      <c r="J143"/>
      <c r="K143" s="170"/>
      <c r="L143" s="171"/>
      <c r="M143" s="170"/>
      <c r="N143"/>
      <c r="O143" s="170"/>
      <c r="P143" s="171"/>
      <c r="Q143" s="170"/>
      <c r="R143"/>
      <c r="S143" s="170"/>
      <c r="T143" s="171"/>
      <c r="U143" s="170"/>
      <c r="V143"/>
      <c r="W143" s="170"/>
      <c r="X143" s="170"/>
      <c r="Y143" s="174"/>
      <c r="Z143"/>
      <c r="AA143" s="170"/>
      <c r="AB143" s="171"/>
      <c r="AC143" s="174"/>
      <c r="AD143"/>
      <c r="AE143" s="170"/>
      <c r="AF143" s="170"/>
      <c r="AG143" s="170"/>
      <c r="AH143"/>
      <c r="AI143" s="170"/>
      <c r="AJ143" s="171"/>
      <c r="AK143" s="170"/>
      <c r="AL143"/>
      <c r="AM143" s="170"/>
      <c r="AN143" s="170"/>
      <c r="AO143" s="170"/>
      <c r="AP143"/>
      <c r="AQ143" s="170"/>
      <c r="AR143" s="170"/>
      <c r="AS143" s="174"/>
      <c r="AT143"/>
      <c r="AU143" s="170"/>
      <c r="AV143" s="170"/>
      <c r="AW143" s="170"/>
    </row>
    <row r="144" spans="2:49" hidden="1" x14ac:dyDescent="0.25">
      <c r="B144"/>
      <c r="C144" s="170"/>
      <c r="D144" s="171"/>
      <c r="E144" s="170"/>
      <c r="F144"/>
      <c r="G144" s="172"/>
      <c r="H144" s="173"/>
      <c r="I144" s="172"/>
      <c r="J144"/>
      <c r="K144" s="170"/>
      <c r="L144" s="171"/>
      <c r="M144" s="170"/>
      <c r="N144"/>
      <c r="O144" s="170"/>
      <c r="P144" s="171"/>
      <c r="Q144" s="170"/>
      <c r="R144"/>
      <c r="S144" s="170"/>
      <c r="T144" s="171"/>
      <c r="U144" s="170"/>
      <c r="V144"/>
      <c r="W144" s="170"/>
      <c r="X144" s="170"/>
      <c r="Y144" s="174"/>
      <c r="Z144"/>
      <c r="AA144" s="170"/>
      <c r="AB144" s="171"/>
      <c r="AC144" s="174"/>
      <c r="AD144"/>
      <c r="AE144" s="170"/>
      <c r="AF144" s="170"/>
      <c r="AG144" s="170"/>
      <c r="AH144"/>
      <c r="AI144" s="170"/>
      <c r="AJ144" s="171"/>
      <c r="AK144" s="170"/>
      <c r="AL144"/>
      <c r="AM144" s="170"/>
      <c r="AN144" s="170"/>
      <c r="AO144" s="170"/>
      <c r="AP144"/>
      <c r="AQ144" s="170"/>
      <c r="AR144" s="170"/>
      <c r="AS144" s="174"/>
      <c r="AT144"/>
      <c r="AU144" s="170"/>
      <c r="AV144" s="170"/>
      <c r="AW144" s="170"/>
    </row>
    <row r="145" spans="2:49" hidden="1" x14ac:dyDescent="0.25">
      <c r="B145"/>
      <c r="C145" s="170"/>
      <c r="D145" s="171"/>
      <c r="E145" s="170"/>
      <c r="F145"/>
      <c r="G145" s="172"/>
      <c r="H145" s="173"/>
      <c r="I145" s="172"/>
      <c r="J145"/>
      <c r="K145" s="170"/>
      <c r="L145" s="171"/>
      <c r="M145" s="170"/>
      <c r="N145"/>
      <c r="O145" s="170"/>
      <c r="P145" s="171"/>
      <c r="Q145" s="170"/>
      <c r="R145"/>
      <c r="S145" s="170"/>
      <c r="T145" s="171"/>
      <c r="U145" s="170"/>
      <c r="V145"/>
      <c r="W145" s="170"/>
      <c r="X145" s="170"/>
      <c r="Y145" s="174"/>
      <c r="Z145"/>
      <c r="AA145" s="170"/>
      <c r="AB145" s="171"/>
      <c r="AC145" s="174"/>
      <c r="AD145"/>
      <c r="AE145" s="170"/>
      <c r="AF145" s="170"/>
      <c r="AG145" s="170"/>
      <c r="AH145"/>
      <c r="AI145" s="170"/>
      <c r="AJ145" s="171"/>
      <c r="AK145" s="170"/>
      <c r="AL145"/>
      <c r="AM145" s="170"/>
      <c r="AN145" s="170"/>
      <c r="AO145" s="170"/>
      <c r="AP145"/>
      <c r="AQ145" s="170"/>
      <c r="AR145" s="170"/>
      <c r="AS145" s="174"/>
      <c r="AT145"/>
      <c r="AU145" s="170"/>
      <c r="AV145" s="170"/>
      <c r="AW145" s="170"/>
    </row>
    <row r="146" spans="2:49" hidden="1" x14ac:dyDescent="0.25">
      <c r="B146"/>
      <c r="C146" s="170"/>
      <c r="D146" s="171"/>
      <c r="E146" s="170"/>
      <c r="F146"/>
      <c r="G146" s="172"/>
      <c r="H146" s="173"/>
      <c r="I146" s="172"/>
      <c r="J146"/>
      <c r="K146" s="170"/>
      <c r="L146" s="171"/>
      <c r="M146" s="170"/>
      <c r="N146"/>
      <c r="O146" s="170"/>
      <c r="P146" s="171"/>
      <c r="Q146" s="170"/>
      <c r="R146"/>
      <c r="S146" s="170"/>
      <c r="T146" s="171"/>
      <c r="U146" s="170"/>
      <c r="V146"/>
      <c r="W146" s="170"/>
      <c r="X146" s="170"/>
      <c r="Y146" s="174"/>
      <c r="Z146"/>
      <c r="AA146" s="170"/>
      <c r="AB146" s="171"/>
      <c r="AC146" s="174"/>
      <c r="AD146"/>
      <c r="AE146" s="170"/>
      <c r="AF146" s="170"/>
      <c r="AG146" s="170"/>
      <c r="AH146"/>
      <c r="AI146" s="170"/>
      <c r="AJ146" s="171"/>
      <c r="AK146" s="170"/>
      <c r="AL146"/>
      <c r="AM146" s="170"/>
      <c r="AN146" s="170"/>
      <c r="AO146" s="170"/>
      <c r="AP146"/>
      <c r="AQ146" s="170"/>
      <c r="AR146" s="170"/>
      <c r="AS146" s="174"/>
      <c r="AT146"/>
      <c r="AU146" s="170"/>
      <c r="AV146" s="170"/>
      <c r="AW146" s="170"/>
    </row>
    <row r="147" spans="2:49" hidden="1" x14ac:dyDescent="0.25">
      <c r="B147"/>
      <c r="C147" s="170"/>
      <c r="D147" s="171"/>
      <c r="E147" s="170"/>
      <c r="F147"/>
      <c r="G147" s="172"/>
      <c r="H147" s="173"/>
      <c r="I147" s="172"/>
      <c r="J147"/>
      <c r="K147" s="170"/>
      <c r="L147" s="171"/>
      <c r="M147" s="170"/>
      <c r="N147"/>
      <c r="O147" s="170"/>
      <c r="P147" s="171"/>
      <c r="Q147" s="170"/>
      <c r="R147"/>
      <c r="S147" s="170"/>
      <c r="T147" s="171"/>
      <c r="U147" s="170"/>
      <c r="V147"/>
      <c r="W147" s="170"/>
      <c r="X147" s="170"/>
      <c r="Y147" s="174"/>
      <c r="Z147"/>
      <c r="AA147" s="170"/>
      <c r="AB147" s="171"/>
      <c r="AC147" s="174"/>
      <c r="AD147"/>
      <c r="AE147" s="170"/>
      <c r="AF147" s="170"/>
      <c r="AG147" s="170"/>
      <c r="AH147"/>
      <c r="AI147" s="170"/>
      <c r="AJ147" s="171"/>
      <c r="AK147" s="170"/>
      <c r="AL147"/>
      <c r="AM147" s="170"/>
      <c r="AN147" s="170"/>
      <c r="AO147" s="170"/>
      <c r="AP147"/>
      <c r="AQ147" s="170"/>
      <c r="AR147" s="170"/>
      <c r="AS147" s="174"/>
      <c r="AT147"/>
      <c r="AU147" s="170"/>
      <c r="AV147" s="170"/>
      <c r="AW147" s="170"/>
    </row>
    <row r="148" spans="2:49" hidden="1" x14ac:dyDescent="0.25">
      <c r="B148"/>
      <c r="C148" s="170"/>
      <c r="D148" s="171"/>
      <c r="E148" s="170"/>
      <c r="F148"/>
      <c r="G148" s="172"/>
      <c r="H148" s="173"/>
      <c r="I148" s="172"/>
      <c r="J148"/>
      <c r="K148" s="170"/>
      <c r="L148" s="171"/>
      <c r="M148" s="170"/>
      <c r="N148"/>
      <c r="O148" s="170"/>
      <c r="P148" s="171"/>
      <c r="Q148" s="170"/>
      <c r="R148"/>
      <c r="S148" s="170"/>
      <c r="T148" s="171"/>
      <c r="U148" s="170"/>
      <c r="V148"/>
      <c r="W148" s="170"/>
      <c r="X148" s="170"/>
      <c r="Y148" s="174"/>
      <c r="Z148"/>
      <c r="AA148" s="170"/>
      <c r="AB148" s="171"/>
      <c r="AC148" s="174"/>
      <c r="AD148"/>
      <c r="AE148" s="170"/>
      <c r="AF148" s="170"/>
      <c r="AG148" s="170"/>
      <c r="AH148"/>
      <c r="AI148" s="170"/>
      <c r="AJ148" s="171"/>
      <c r="AK148" s="170"/>
      <c r="AL148"/>
      <c r="AM148" s="170"/>
      <c r="AN148" s="170"/>
      <c r="AO148" s="170"/>
      <c r="AP148"/>
      <c r="AQ148" s="170"/>
      <c r="AR148" s="170"/>
      <c r="AS148" s="174"/>
      <c r="AT148"/>
      <c r="AU148" s="170"/>
      <c r="AV148" s="170"/>
      <c r="AW148" s="170"/>
    </row>
    <row r="149" spans="2:49" hidden="1" x14ac:dyDescent="0.25">
      <c r="B149"/>
      <c r="C149" s="170"/>
      <c r="D149" s="171"/>
      <c r="E149" s="170"/>
      <c r="F149"/>
      <c r="G149" s="172"/>
      <c r="H149" s="173"/>
      <c r="I149" s="172"/>
      <c r="J149"/>
      <c r="K149" s="170"/>
      <c r="L149" s="171"/>
      <c r="M149" s="170"/>
      <c r="N149"/>
      <c r="O149" s="170"/>
      <c r="P149" s="171"/>
      <c r="Q149" s="170"/>
      <c r="R149"/>
      <c r="S149" s="170"/>
      <c r="T149" s="171"/>
      <c r="U149" s="170"/>
      <c r="V149"/>
      <c r="W149" s="170"/>
      <c r="X149" s="170"/>
      <c r="Y149" s="174"/>
      <c r="Z149"/>
      <c r="AA149" s="170"/>
      <c r="AB149" s="171"/>
      <c r="AC149" s="174"/>
      <c r="AD149"/>
      <c r="AE149" s="170"/>
      <c r="AF149" s="170"/>
      <c r="AG149" s="170"/>
      <c r="AH149"/>
      <c r="AI149" s="170"/>
      <c r="AJ149" s="171"/>
      <c r="AK149" s="170"/>
      <c r="AL149"/>
      <c r="AM149" s="170"/>
      <c r="AN149" s="170"/>
      <c r="AO149" s="170"/>
      <c r="AP149"/>
      <c r="AQ149" s="170"/>
      <c r="AR149" s="170"/>
      <c r="AS149" s="174"/>
      <c r="AT149"/>
      <c r="AU149" s="170"/>
      <c r="AV149" s="170"/>
      <c r="AW149" s="170"/>
    </row>
    <row r="150" spans="2:49" hidden="1" x14ac:dyDescent="0.25">
      <c r="B150"/>
      <c r="C150" s="170"/>
      <c r="D150" s="171"/>
      <c r="E150" s="170"/>
      <c r="F150"/>
      <c r="G150" s="172"/>
      <c r="H150" s="173"/>
      <c r="I150" s="172"/>
      <c r="J150"/>
      <c r="K150" s="170"/>
      <c r="L150" s="171"/>
      <c r="M150" s="170"/>
      <c r="N150"/>
      <c r="O150" s="170"/>
      <c r="P150" s="171"/>
      <c r="Q150" s="170"/>
      <c r="R150"/>
      <c r="S150" s="170"/>
      <c r="T150" s="171"/>
      <c r="U150" s="170"/>
      <c r="V150"/>
      <c r="W150" s="170"/>
      <c r="X150" s="170"/>
      <c r="Y150" s="174"/>
      <c r="Z150"/>
      <c r="AA150" s="170"/>
      <c r="AB150" s="171"/>
      <c r="AC150" s="174"/>
      <c r="AD150"/>
      <c r="AE150" s="170"/>
      <c r="AF150" s="170"/>
      <c r="AG150" s="170"/>
      <c r="AH150"/>
      <c r="AI150" s="170"/>
      <c r="AJ150" s="171"/>
      <c r="AK150" s="170"/>
      <c r="AL150"/>
      <c r="AM150" s="170"/>
      <c r="AN150" s="170"/>
      <c r="AO150" s="170"/>
      <c r="AP150"/>
      <c r="AQ150" s="170"/>
      <c r="AR150" s="170"/>
      <c r="AS150" s="174"/>
      <c r="AT150"/>
      <c r="AU150" s="170"/>
      <c r="AV150" s="170"/>
      <c r="AW150" s="170"/>
    </row>
    <row r="151" spans="2:49" hidden="1" x14ac:dyDescent="0.25">
      <c r="B151"/>
      <c r="C151" s="170"/>
      <c r="D151" s="171"/>
      <c r="E151" s="170"/>
      <c r="F151"/>
      <c r="G151" s="172"/>
      <c r="H151" s="173"/>
      <c r="I151" s="172"/>
      <c r="J151"/>
      <c r="K151" s="170"/>
      <c r="L151" s="171"/>
      <c r="M151" s="170"/>
      <c r="N151"/>
      <c r="O151" s="170"/>
      <c r="P151" s="171"/>
      <c r="Q151" s="170"/>
      <c r="R151"/>
      <c r="S151" s="170"/>
      <c r="T151" s="171"/>
      <c r="U151" s="170"/>
      <c r="V151"/>
      <c r="W151" s="170"/>
      <c r="X151" s="170"/>
      <c r="Y151" s="174"/>
      <c r="Z151"/>
      <c r="AA151" s="170"/>
      <c r="AB151" s="171"/>
      <c r="AC151" s="174"/>
      <c r="AD151"/>
      <c r="AE151" s="170"/>
      <c r="AF151" s="170"/>
      <c r="AG151" s="170"/>
      <c r="AH151"/>
      <c r="AI151" s="170"/>
      <c r="AJ151" s="171"/>
      <c r="AK151" s="170"/>
      <c r="AL151"/>
      <c r="AM151" s="170"/>
      <c r="AN151" s="170"/>
      <c r="AO151" s="170"/>
      <c r="AP151"/>
      <c r="AQ151" s="170"/>
      <c r="AR151" s="170"/>
      <c r="AS151" s="174"/>
      <c r="AT151"/>
      <c r="AU151" s="170"/>
      <c r="AV151" s="170"/>
      <c r="AW151" s="170"/>
    </row>
    <row r="152" spans="2:49" hidden="1" x14ac:dyDescent="0.25">
      <c r="B152"/>
      <c r="C152" s="170"/>
      <c r="D152" s="171"/>
      <c r="E152" s="170"/>
      <c r="F152"/>
      <c r="G152" s="172"/>
      <c r="H152" s="173"/>
      <c r="I152" s="172"/>
      <c r="J152"/>
      <c r="K152" s="170"/>
      <c r="L152" s="171"/>
      <c r="M152" s="170"/>
      <c r="N152"/>
      <c r="O152" s="170"/>
      <c r="P152" s="171"/>
      <c r="Q152" s="170"/>
      <c r="R152"/>
      <c r="S152" s="170"/>
      <c r="T152" s="171"/>
      <c r="U152" s="170"/>
      <c r="V152"/>
      <c r="W152" s="170"/>
      <c r="X152" s="170"/>
      <c r="Y152" s="174"/>
      <c r="Z152"/>
      <c r="AA152" s="170"/>
      <c r="AB152" s="171"/>
      <c r="AC152" s="174"/>
      <c r="AD152"/>
      <c r="AE152" s="170"/>
      <c r="AF152" s="170"/>
      <c r="AG152" s="170"/>
      <c r="AH152"/>
      <c r="AI152" s="170"/>
      <c r="AJ152" s="171"/>
      <c r="AK152" s="170"/>
      <c r="AL152"/>
      <c r="AM152" s="170"/>
      <c r="AN152" s="170"/>
      <c r="AO152" s="170"/>
      <c r="AP152"/>
      <c r="AQ152" s="170"/>
      <c r="AR152" s="170"/>
      <c r="AS152" s="174"/>
      <c r="AT152"/>
      <c r="AU152" s="170"/>
      <c r="AV152" s="170"/>
      <c r="AW152" s="170"/>
    </row>
    <row r="153" spans="2:49" hidden="1" x14ac:dyDescent="0.25">
      <c r="B153"/>
      <c r="C153" s="170"/>
      <c r="D153" s="171"/>
      <c r="E153" s="170"/>
      <c r="F153"/>
      <c r="G153" s="172"/>
      <c r="H153" s="173"/>
      <c r="I153" s="172"/>
      <c r="J153"/>
      <c r="K153" s="170"/>
      <c r="L153" s="171"/>
      <c r="M153" s="170"/>
      <c r="N153"/>
      <c r="O153" s="170"/>
      <c r="P153" s="171"/>
      <c r="Q153" s="170"/>
      <c r="R153"/>
      <c r="S153" s="170"/>
      <c r="T153" s="171"/>
      <c r="U153" s="170"/>
      <c r="V153"/>
      <c r="W153" s="170"/>
      <c r="X153" s="170"/>
      <c r="Y153" s="174"/>
      <c r="Z153"/>
      <c r="AA153" s="170"/>
      <c r="AB153" s="171"/>
      <c r="AC153" s="174"/>
      <c r="AD153"/>
      <c r="AE153" s="170"/>
      <c r="AF153" s="170"/>
      <c r="AG153" s="170"/>
      <c r="AH153"/>
      <c r="AI153" s="170"/>
      <c r="AJ153" s="171"/>
      <c r="AK153" s="170"/>
      <c r="AL153"/>
      <c r="AM153" s="170"/>
      <c r="AN153" s="170"/>
      <c r="AO153" s="170"/>
      <c r="AP153"/>
      <c r="AQ153" s="170"/>
      <c r="AR153" s="170"/>
      <c r="AS153" s="174"/>
      <c r="AT153"/>
      <c r="AU153" s="170"/>
      <c r="AV153" s="170"/>
      <c r="AW153" s="170"/>
    </row>
    <row r="154" spans="2:49" hidden="1" x14ac:dyDescent="0.25">
      <c r="B154"/>
      <c r="C154" s="170"/>
      <c r="D154" s="171"/>
      <c r="E154" s="170"/>
      <c r="F154"/>
      <c r="G154" s="172"/>
      <c r="H154" s="173"/>
      <c r="I154" s="172"/>
      <c r="J154"/>
      <c r="K154" s="170"/>
      <c r="L154" s="171"/>
      <c r="M154" s="170"/>
      <c r="N154"/>
      <c r="O154" s="170"/>
      <c r="P154" s="171"/>
      <c r="Q154" s="170"/>
      <c r="R154"/>
      <c r="S154" s="170"/>
      <c r="T154" s="171"/>
      <c r="U154" s="170"/>
      <c r="V154"/>
      <c r="W154" s="170"/>
      <c r="X154" s="170"/>
      <c r="Y154" s="174"/>
      <c r="Z154"/>
      <c r="AA154" s="170"/>
      <c r="AB154" s="171"/>
      <c r="AC154" s="174"/>
      <c r="AD154"/>
      <c r="AE154" s="170"/>
      <c r="AF154" s="170"/>
      <c r="AG154" s="170"/>
      <c r="AH154"/>
      <c r="AI154" s="170"/>
      <c r="AJ154" s="171"/>
      <c r="AK154" s="170"/>
      <c r="AL154"/>
      <c r="AM154" s="170"/>
      <c r="AN154" s="170"/>
      <c r="AO154" s="170"/>
      <c r="AP154"/>
      <c r="AQ154" s="170"/>
      <c r="AR154" s="170"/>
      <c r="AS154" s="174"/>
      <c r="AT154"/>
      <c r="AU154" s="170"/>
      <c r="AV154" s="170"/>
      <c r="AW154" s="170"/>
    </row>
    <row r="155" spans="2:49" hidden="1" x14ac:dyDescent="0.25">
      <c r="B155"/>
      <c r="C155" s="170"/>
      <c r="D155" s="171"/>
      <c r="E155" s="170"/>
      <c r="F155"/>
      <c r="G155" s="172"/>
      <c r="H155" s="173"/>
      <c r="I155" s="172"/>
      <c r="J155"/>
      <c r="K155" s="170"/>
      <c r="L155" s="171"/>
      <c r="M155" s="170"/>
      <c r="N155"/>
      <c r="O155" s="170"/>
      <c r="P155" s="171"/>
      <c r="Q155" s="170"/>
      <c r="R155"/>
      <c r="S155" s="170"/>
      <c r="T155" s="171"/>
      <c r="U155" s="170"/>
      <c r="V155"/>
      <c r="W155" s="170"/>
      <c r="X155" s="170"/>
      <c r="Y155" s="174"/>
      <c r="Z155"/>
      <c r="AA155" s="170"/>
      <c r="AB155" s="171"/>
      <c r="AC155" s="174"/>
      <c r="AD155"/>
      <c r="AE155" s="170"/>
      <c r="AF155" s="170"/>
      <c r="AG155" s="170"/>
      <c r="AH155"/>
      <c r="AI155" s="170"/>
      <c r="AJ155" s="171"/>
      <c r="AK155" s="170"/>
      <c r="AL155"/>
      <c r="AM155" s="170"/>
      <c r="AN155" s="170"/>
      <c r="AO155" s="170"/>
      <c r="AP155"/>
      <c r="AQ155" s="170"/>
      <c r="AR155" s="170"/>
      <c r="AS155" s="174"/>
      <c r="AT155"/>
      <c r="AU155" s="170"/>
      <c r="AV155" s="170"/>
      <c r="AW155" s="170"/>
    </row>
    <row r="156" spans="2:49" hidden="1" x14ac:dyDescent="0.25">
      <c r="B156"/>
      <c r="C156" s="170"/>
      <c r="D156" s="171"/>
      <c r="E156" s="170"/>
      <c r="F156"/>
      <c r="G156" s="172"/>
      <c r="H156" s="173"/>
      <c r="I156" s="172"/>
      <c r="J156"/>
      <c r="K156" s="170"/>
      <c r="L156" s="171"/>
      <c r="M156" s="170"/>
      <c r="N156"/>
      <c r="O156" s="170"/>
      <c r="P156" s="171"/>
      <c r="Q156" s="170"/>
      <c r="R156"/>
      <c r="S156" s="170"/>
      <c r="T156" s="171"/>
      <c r="U156" s="170"/>
      <c r="V156"/>
      <c r="W156" s="170"/>
      <c r="X156" s="170"/>
      <c r="Y156" s="174"/>
      <c r="Z156"/>
      <c r="AA156" s="170"/>
      <c r="AB156" s="171"/>
      <c r="AC156" s="174"/>
      <c r="AD156"/>
      <c r="AE156" s="170"/>
      <c r="AF156" s="170"/>
      <c r="AG156" s="170"/>
      <c r="AH156"/>
      <c r="AI156" s="170"/>
      <c r="AJ156" s="171"/>
      <c r="AK156" s="170"/>
      <c r="AL156"/>
      <c r="AM156" s="170"/>
      <c r="AN156" s="170"/>
      <c r="AO156" s="170"/>
      <c r="AP156"/>
      <c r="AQ156" s="170"/>
      <c r="AR156" s="170"/>
      <c r="AS156" s="174"/>
      <c r="AT156"/>
      <c r="AU156" s="170"/>
      <c r="AV156" s="170"/>
      <c r="AW156" s="170"/>
    </row>
    <row r="157" spans="2:49" hidden="1" x14ac:dyDescent="0.25">
      <c r="B157"/>
      <c r="C157" s="170"/>
      <c r="D157" s="171"/>
      <c r="E157" s="170"/>
      <c r="F157"/>
      <c r="G157" s="172"/>
      <c r="H157" s="173"/>
      <c r="I157" s="172"/>
      <c r="J157"/>
      <c r="K157" s="170"/>
      <c r="L157" s="171"/>
      <c r="M157" s="170"/>
      <c r="N157"/>
      <c r="O157" s="170"/>
      <c r="P157" s="171"/>
      <c r="Q157" s="170"/>
      <c r="R157"/>
      <c r="S157" s="170"/>
      <c r="T157" s="171"/>
      <c r="U157" s="170"/>
      <c r="V157"/>
      <c r="W157" s="170"/>
      <c r="X157" s="170"/>
      <c r="Y157" s="174"/>
      <c r="Z157"/>
      <c r="AA157" s="170"/>
      <c r="AB157" s="171"/>
      <c r="AC157" s="174"/>
      <c r="AD157"/>
      <c r="AE157" s="170"/>
      <c r="AF157" s="170"/>
      <c r="AG157" s="170"/>
      <c r="AH157"/>
      <c r="AI157" s="170"/>
      <c r="AJ157" s="171"/>
      <c r="AK157" s="170"/>
      <c r="AL157"/>
      <c r="AM157" s="170"/>
      <c r="AN157" s="170"/>
      <c r="AO157" s="170"/>
      <c r="AP157"/>
      <c r="AQ157" s="170"/>
      <c r="AR157" s="170"/>
      <c r="AS157" s="174"/>
      <c r="AT157"/>
      <c r="AU157" s="170"/>
      <c r="AV157" s="170"/>
      <c r="AW157" s="170"/>
    </row>
    <row r="158" spans="2:49" hidden="1" x14ac:dyDescent="0.25">
      <c r="B158"/>
      <c r="C158" s="170"/>
      <c r="D158" s="171"/>
      <c r="E158" s="170"/>
      <c r="F158"/>
      <c r="G158" s="172"/>
      <c r="H158" s="173"/>
      <c r="I158" s="172"/>
      <c r="J158"/>
      <c r="K158" s="170"/>
      <c r="L158" s="171"/>
      <c r="M158" s="170"/>
      <c r="N158"/>
      <c r="O158" s="170"/>
      <c r="P158" s="171"/>
      <c r="Q158" s="170"/>
      <c r="R158"/>
      <c r="S158" s="170"/>
      <c r="T158" s="171"/>
      <c r="U158" s="170"/>
      <c r="V158"/>
      <c r="W158" s="170"/>
      <c r="X158" s="170"/>
      <c r="Y158" s="174"/>
      <c r="Z158"/>
      <c r="AA158" s="170"/>
      <c r="AB158" s="171"/>
      <c r="AC158" s="174"/>
      <c r="AD158"/>
      <c r="AE158" s="170"/>
      <c r="AF158" s="170"/>
      <c r="AG158" s="170"/>
      <c r="AH158"/>
      <c r="AI158" s="170"/>
      <c r="AJ158" s="171"/>
      <c r="AK158" s="170"/>
      <c r="AL158"/>
      <c r="AM158" s="170"/>
      <c r="AN158" s="170"/>
      <c r="AO158" s="170"/>
      <c r="AP158"/>
      <c r="AQ158" s="170"/>
      <c r="AR158" s="170"/>
      <c r="AS158" s="174"/>
      <c r="AT158"/>
      <c r="AU158" s="170"/>
      <c r="AV158" s="170"/>
      <c r="AW158" s="170"/>
    </row>
    <row r="159" spans="2:49" hidden="1" x14ac:dyDescent="0.25">
      <c r="B159"/>
      <c r="C159" s="170"/>
      <c r="D159" s="171"/>
      <c r="E159" s="170"/>
      <c r="F159"/>
      <c r="G159" s="172"/>
      <c r="H159" s="173"/>
      <c r="I159" s="172"/>
      <c r="J159"/>
      <c r="K159" s="170"/>
      <c r="L159" s="171"/>
      <c r="M159" s="170"/>
      <c r="N159"/>
      <c r="O159" s="170"/>
      <c r="P159" s="171"/>
      <c r="Q159" s="170"/>
      <c r="R159"/>
      <c r="S159" s="170"/>
      <c r="T159" s="171"/>
      <c r="U159" s="170"/>
      <c r="V159"/>
      <c r="W159" s="170"/>
      <c r="X159" s="170"/>
      <c r="Y159" s="174"/>
      <c r="Z159"/>
      <c r="AA159" s="170"/>
      <c r="AB159" s="171"/>
      <c r="AC159" s="174"/>
      <c r="AD159"/>
      <c r="AE159" s="170"/>
      <c r="AF159" s="170"/>
      <c r="AG159" s="170"/>
      <c r="AH159"/>
      <c r="AI159" s="170"/>
      <c r="AJ159" s="171"/>
      <c r="AK159" s="170"/>
      <c r="AL159"/>
      <c r="AM159" s="170"/>
      <c r="AN159" s="170"/>
      <c r="AO159" s="170"/>
      <c r="AP159"/>
      <c r="AQ159" s="170"/>
      <c r="AR159" s="170"/>
      <c r="AS159" s="174"/>
      <c r="AT159"/>
      <c r="AU159" s="170"/>
      <c r="AV159" s="170"/>
      <c r="AW159" s="170"/>
    </row>
    <row r="160" spans="2:49" hidden="1" x14ac:dyDescent="0.25">
      <c r="B160"/>
      <c r="C160" s="170"/>
      <c r="D160" s="171"/>
      <c r="E160" s="170"/>
      <c r="F160"/>
      <c r="G160" s="172"/>
      <c r="H160" s="173"/>
      <c r="I160" s="172"/>
      <c r="J160"/>
      <c r="K160" s="170"/>
      <c r="L160" s="171"/>
      <c r="M160" s="170"/>
      <c r="N160"/>
      <c r="O160" s="170"/>
      <c r="P160" s="171"/>
      <c r="Q160" s="170"/>
      <c r="R160"/>
      <c r="S160" s="170"/>
      <c r="T160" s="171"/>
      <c r="U160" s="170"/>
      <c r="V160"/>
      <c r="W160" s="170"/>
      <c r="X160" s="170"/>
      <c r="Y160" s="174"/>
      <c r="Z160"/>
      <c r="AA160" s="170"/>
      <c r="AB160" s="171"/>
      <c r="AC160" s="174"/>
      <c r="AD160"/>
      <c r="AE160" s="170"/>
      <c r="AF160" s="170"/>
      <c r="AG160" s="170"/>
      <c r="AH160"/>
      <c r="AI160" s="170"/>
      <c r="AJ160" s="171"/>
      <c r="AK160" s="170"/>
      <c r="AL160"/>
      <c r="AM160" s="170"/>
      <c r="AN160" s="170"/>
      <c r="AO160" s="170"/>
      <c r="AP160"/>
      <c r="AQ160" s="170"/>
      <c r="AR160" s="170"/>
      <c r="AS160" s="174"/>
      <c r="AT160"/>
      <c r="AU160" s="170"/>
      <c r="AV160" s="170"/>
      <c r="AW160" s="170"/>
    </row>
    <row r="161" spans="2:49" hidden="1" x14ac:dyDescent="0.25">
      <c r="B161"/>
      <c r="C161" s="170"/>
      <c r="D161" s="171"/>
      <c r="E161" s="170"/>
      <c r="F161"/>
      <c r="G161" s="172"/>
      <c r="H161" s="173"/>
      <c r="I161" s="172"/>
      <c r="J161"/>
      <c r="K161" s="170"/>
      <c r="L161" s="171"/>
      <c r="M161" s="170"/>
      <c r="N161"/>
      <c r="O161" s="170"/>
      <c r="P161" s="171"/>
      <c r="Q161" s="170"/>
      <c r="R161"/>
      <c r="S161" s="170"/>
      <c r="T161" s="171"/>
      <c r="U161" s="170"/>
      <c r="V161"/>
      <c r="W161" s="170"/>
      <c r="X161" s="170"/>
      <c r="Y161" s="174"/>
      <c r="Z161"/>
      <c r="AA161" s="170"/>
      <c r="AB161" s="171"/>
      <c r="AC161" s="174"/>
      <c r="AD161"/>
      <c r="AE161" s="170"/>
      <c r="AF161" s="170"/>
      <c r="AG161" s="170"/>
      <c r="AH161"/>
      <c r="AI161" s="170"/>
      <c r="AJ161" s="171"/>
      <c r="AK161" s="170"/>
      <c r="AL161"/>
      <c r="AM161" s="170"/>
      <c r="AN161" s="170"/>
      <c r="AO161" s="170"/>
      <c r="AP161"/>
      <c r="AQ161" s="170"/>
      <c r="AR161" s="170"/>
      <c r="AS161" s="174"/>
      <c r="AT161"/>
      <c r="AU161" s="170"/>
      <c r="AV161" s="170"/>
      <c r="AW161" s="170"/>
    </row>
    <row r="162" spans="2:49" hidden="1" x14ac:dyDescent="0.25">
      <c r="B162"/>
      <c r="C162" s="170"/>
      <c r="D162" s="171"/>
      <c r="E162" s="170"/>
      <c r="F162"/>
      <c r="G162" s="172"/>
      <c r="H162" s="173"/>
      <c r="I162" s="172"/>
      <c r="J162"/>
      <c r="K162" s="170"/>
      <c r="L162" s="171"/>
      <c r="M162" s="170"/>
      <c r="N162"/>
      <c r="O162" s="170"/>
      <c r="P162" s="171"/>
      <c r="Q162" s="170"/>
      <c r="R162"/>
      <c r="S162" s="170"/>
      <c r="T162" s="171"/>
      <c r="U162" s="170"/>
      <c r="V162"/>
      <c r="W162" s="170"/>
      <c r="X162" s="170"/>
      <c r="Y162" s="174"/>
      <c r="Z162"/>
      <c r="AA162" s="170"/>
      <c r="AB162" s="171"/>
      <c r="AC162" s="174"/>
      <c r="AD162"/>
      <c r="AE162" s="170"/>
      <c r="AF162" s="170"/>
      <c r="AG162" s="170"/>
      <c r="AH162"/>
      <c r="AI162" s="170"/>
      <c r="AJ162" s="171"/>
      <c r="AK162" s="170"/>
      <c r="AL162"/>
      <c r="AM162" s="170"/>
      <c r="AN162" s="170"/>
      <c r="AO162" s="170"/>
      <c r="AP162"/>
      <c r="AQ162" s="170"/>
      <c r="AR162" s="170"/>
      <c r="AS162" s="174"/>
      <c r="AT162"/>
      <c r="AU162" s="170"/>
      <c r="AV162" s="170"/>
      <c r="AW162" s="170"/>
    </row>
    <row r="163" spans="2:49" hidden="1" x14ac:dyDescent="0.25">
      <c r="B163"/>
      <c r="C163" s="170"/>
      <c r="D163" s="171"/>
      <c r="E163" s="170"/>
      <c r="F163"/>
      <c r="G163" s="172"/>
      <c r="H163" s="173"/>
      <c r="I163" s="172"/>
      <c r="J163"/>
      <c r="K163" s="170"/>
      <c r="L163" s="171"/>
      <c r="M163" s="170"/>
      <c r="N163"/>
      <c r="O163" s="170"/>
      <c r="P163" s="171"/>
      <c r="Q163" s="170"/>
      <c r="R163"/>
      <c r="S163" s="170"/>
      <c r="T163" s="171"/>
      <c r="U163" s="170"/>
      <c r="V163"/>
      <c r="W163" s="170"/>
      <c r="X163" s="170"/>
      <c r="Y163" s="174"/>
      <c r="Z163"/>
      <c r="AA163" s="170"/>
      <c r="AB163" s="171"/>
      <c r="AC163" s="174"/>
      <c r="AD163"/>
      <c r="AE163" s="170"/>
      <c r="AF163" s="170"/>
      <c r="AG163" s="170"/>
      <c r="AH163"/>
      <c r="AI163" s="170"/>
      <c r="AJ163" s="171"/>
      <c r="AK163" s="170"/>
      <c r="AL163"/>
      <c r="AM163" s="170"/>
      <c r="AN163" s="170"/>
      <c r="AO163" s="170"/>
      <c r="AP163"/>
      <c r="AQ163" s="170"/>
      <c r="AR163" s="170"/>
      <c r="AS163" s="174"/>
      <c r="AT163"/>
      <c r="AU163" s="170"/>
      <c r="AV163" s="170"/>
      <c r="AW163" s="170"/>
    </row>
    <row r="164" spans="2:49" hidden="1" x14ac:dyDescent="0.25">
      <c r="B164"/>
      <c r="C164" s="170"/>
      <c r="D164" s="171"/>
      <c r="E164" s="170"/>
      <c r="F164"/>
      <c r="G164" s="172"/>
      <c r="H164" s="173"/>
      <c r="I164" s="172"/>
      <c r="J164"/>
      <c r="K164" s="170"/>
      <c r="L164" s="171"/>
      <c r="M164" s="170"/>
      <c r="N164"/>
      <c r="O164" s="170"/>
      <c r="P164" s="171"/>
      <c r="Q164" s="170"/>
      <c r="R164"/>
      <c r="S164" s="170"/>
      <c r="T164" s="171"/>
      <c r="U164" s="170"/>
      <c r="V164"/>
      <c r="W164" s="170"/>
      <c r="X164" s="170"/>
      <c r="Y164" s="174"/>
      <c r="Z164"/>
      <c r="AA164" s="170"/>
      <c r="AB164" s="171"/>
      <c r="AC164" s="174"/>
      <c r="AD164"/>
      <c r="AE164" s="170"/>
      <c r="AF164" s="170"/>
      <c r="AG164" s="170"/>
      <c r="AH164"/>
      <c r="AI164" s="170"/>
      <c r="AJ164" s="171"/>
      <c r="AK164" s="170"/>
      <c r="AL164"/>
      <c r="AM164" s="170"/>
      <c r="AN164" s="170"/>
      <c r="AO164" s="170"/>
      <c r="AP164"/>
      <c r="AQ164" s="170"/>
      <c r="AR164" s="170"/>
      <c r="AS164" s="174"/>
      <c r="AT164"/>
      <c r="AU164" s="170"/>
      <c r="AV164" s="170"/>
      <c r="AW164" s="170"/>
    </row>
    <row r="165" spans="2:49" hidden="1" x14ac:dyDescent="0.25">
      <c r="B165"/>
      <c r="C165" s="170"/>
      <c r="D165" s="171"/>
      <c r="E165" s="170"/>
      <c r="F165"/>
      <c r="G165" s="172"/>
      <c r="H165" s="173"/>
      <c r="I165" s="172"/>
      <c r="J165"/>
      <c r="K165" s="170"/>
      <c r="L165" s="171"/>
      <c r="M165" s="170"/>
      <c r="N165"/>
      <c r="O165" s="170"/>
      <c r="P165" s="171"/>
      <c r="Q165" s="170"/>
      <c r="R165"/>
      <c r="S165" s="170"/>
      <c r="T165" s="171"/>
      <c r="U165" s="170"/>
      <c r="V165"/>
      <c r="W165" s="170"/>
      <c r="X165" s="170"/>
      <c r="Y165" s="174"/>
      <c r="Z165"/>
      <c r="AA165" s="170"/>
      <c r="AB165" s="171"/>
      <c r="AC165" s="174"/>
      <c r="AD165"/>
      <c r="AE165" s="170"/>
      <c r="AF165" s="170"/>
      <c r="AG165" s="170"/>
      <c r="AH165"/>
      <c r="AI165" s="170"/>
      <c r="AJ165" s="171"/>
      <c r="AK165" s="170"/>
      <c r="AL165"/>
      <c r="AM165" s="170"/>
      <c r="AN165" s="170"/>
      <c r="AO165" s="170"/>
      <c r="AP165"/>
      <c r="AQ165" s="170"/>
      <c r="AR165" s="170"/>
      <c r="AS165" s="174"/>
      <c r="AT165"/>
      <c r="AU165" s="170"/>
      <c r="AV165" s="170"/>
      <c r="AW165" s="170"/>
    </row>
    <row r="166" spans="2:49" hidden="1" x14ac:dyDescent="0.25">
      <c r="B166"/>
      <c r="C166" s="170"/>
      <c r="D166" s="171"/>
      <c r="E166" s="170"/>
      <c r="F166"/>
      <c r="G166" s="172"/>
      <c r="H166" s="173"/>
      <c r="I166" s="172"/>
      <c r="J166"/>
      <c r="K166" s="170"/>
      <c r="L166" s="171"/>
      <c r="M166" s="170"/>
      <c r="N166"/>
      <c r="O166" s="170"/>
      <c r="P166" s="171"/>
      <c r="Q166" s="170"/>
      <c r="R166"/>
      <c r="S166" s="170"/>
      <c r="T166" s="171"/>
      <c r="U166" s="170"/>
      <c r="V166"/>
      <c r="W166" s="170"/>
      <c r="X166" s="170"/>
      <c r="Y166" s="174"/>
      <c r="Z166"/>
      <c r="AA166" s="170"/>
      <c r="AB166" s="171"/>
      <c r="AC166" s="174"/>
      <c r="AD166"/>
      <c r="AE166" s="170"/>
      <c r="AF166" s="170"/>
      <c r="AG166" s="170"/>
      <c r="AH166"/>
      <c r="AI166" s="170"/>
      <c r="AJ166" s="171"/>
      <c r="AK166" s="170"/>
      <c r="AL166"/>
      <c r="AM166" s="170"/>
      <c r="AN166" s="170"/>
      <c r="AO166" s="170"/>
      <c r="AP166"/>
      <c r="AQ166" s="170"/>
      <c r="AR166" s="170"/>
      <c r="AS166" s="174"/>
      <c r="AT166"/>
      <c r="AU166" s="170"/>
      <c r="AV166" s="170"/>
      <c r="AW166" s="170"/>
    </row>
    <row r="167" spans="2:49" hidden="1" x14ac:dyDescent="0.25">
      <c r="B167"/>
      <c r="C167" s="170"/>
      <c r="D167" s="171"/>
      <c r="E167" s="170"/>
      <c r="F167"/>
      <c r="G167" s="172"/>
      <c r="H167" s="173"/>
      <c r="I167" s="172"/>
      <c r="J167"/>
      <c r="K167" s="170"/>
      <c r="L167" s="171"/>
      <c r="M167" s="170"/>
      <c r="N167"/>
      <c r="O167" s="170"/>
      <c r="P167" s="171"/>
      <c r="Q167" s="170"/>
      <c r="R167"/>
      <c r="S167" s="170"/>
      <c r="T167" s="171"/>
      <c r="U167" s="170"/>
      <c r="V167"/>
      <c r="W167" s="170"/>
      <c r="X167" s="170"/>
      <c r="Y167" s="174"/>
      <c r="Z167"/>
      <c r="AA167" s="170"/>
      <c r="AB167" s="171"/>
      <c r="AC167" s="174"/>
      <c r="AD167"/>
      <c r="AE167" s="170"/>
      <c r="AF167" s="170"/>
      <c r="AG167" s="170"/>
      <c r="AH167"/>
      <c r="AI167" s="170"/>
      <c r="AJ167" s="171"/>
      <c r="AK167" s="170"/>
      <c r="AL167"/>
      <c r="AM167" s="170"/>
      <c r="AN167" s="170"/>
      <c r="AO167" s="170"/>
      <c r="AP167"/>
      <c r="AQ167" s="170"/>
      <c r="AR167" s="170"/>
      <c r="AS167" s="174"/>
      <c r="AT167"/>
      <c r="AU167" s="170"/>
      <c r="AV167" s="170"/>
      <c r="AW167" s="170"/>
    </row>
    <row r="168" spans="2:49" hidden="1" x14ac:dyDescent="0.25">
      <c r="B168"/>
      <c r="C168" s="170"/>
      <c r="D168" s="171"/>
      <c r="E168" s="170"/>
      <c r="F168"/>
      <c r="G168" s="172"/>
      <c r="H168" s="173"/>
      <c r="I168" s="172"/>
      <c r="J168"/>
      <c r="K168" s="170"/>
      <c r="L168" s="171"/>
      <c r="M168" s="170"/>
      <c r="N168"/>
      <c r="O168" s="170"/>
      <c r="P168" s="171"/>
      <c r="Q168" s="170"/>
      <c r="R168"/>
      <c r="S168" s="170"/>
      <c r="T168" s="171"/>
      <c r="U168" s="170"/>
      <c r="V168"/>
      <c r="W168" s="170"/>
      <c r="X168" s="170"/>
      <c r="Y168" s="174"/>
      <c r="Z168"/>
      <c r="AA168" s="170"/>
      <c r="AB168" s="171"/>
      <c r="AC168" s="174"/>
      <c r="AD168"/>
      <c r="AE168" s="170"/>
      <c r="AF168" s="170"/>
      <c r="AG168" s="170"/>
      <c r="AH168"/>
      <c r="AI168" s="170"/>
      <c r="AJ168" s="171"/>
      <c r="AK168" s="170"/>
      <c r="AL168"/>
      <c r="AM168" s="170"/>
      <c r="AN168" s="170"/>
      <c r="AO168" s="170"/>
      <c r="AP168"/>
      <c r="AQ168" s="170"/>
      <c r="AR168" s="170"/>
      <c r="AS168" s="174"/>
      <c r="AT168"/>
      <c r="AU168" s="170"/>
      <c r="AV168" s="170"/>
      <c r="AW168" s="170"/>
    </row>
    <row r="169" spans="2:49" hidden="1" x14ac:dyDescent="0.25">
      <c r="B169"/>
      <c r="C169" s="170"/>
      <c r="D169" s="171"/>
      <c r="E169" s="170"/>
      <c r="F169"/>
      <c r="G169" s="172"/>
      <c r="H169" s="173"/>
      <c r="I169" s="172"/>
      <c r="J169"/>
      <c r="K169" s="170"/>
      <c r="L169" s="171"/>
      <c r="M169" s="170"/>
      <c r="N169"/>
      <c r="O169" s="170"/>
      <c r="P169" s="171"/>
      <c r="Q169" s="170"/>
      <c r="R169"/>
      <c r="S169" s="170"/>
      <c r="T169" s="171"/>
      <c r="U169" s="170"/>
      <c r="V169"/>
      <c r="W169" s="170"/>
      <c r="X169" s="170"/>
      <c r="Y169" s="174"/>
      <c r="Z169"/>
      <c r="AA169" s="170"/>
      <c r="AB169" s="171"/>
      <c r="AC169" s="174"/>
      <c r="AD169"/>
      <c r="AE169" s="170"/>
      <c r="AF169" s="170"/>
      <c r="AG169" s="170"/>
      <c r="AH169"/>
      <c r="AI169" s="170"/>
      <c r="AJ169" s="171"/>
      <c r="AK169" s="170"/>
      <c r="AL169"/>
      <c r="AM169" s="170"/>
      <c r="AN169" s="170"/>
      <c r="AO169" s="170"/>
      <c r="AP169"/>
      <c r="AQ169" s="170"/>
      <c r="AR169" s="170"/>
      <c r="AS169" s="174"/>
      <c r="AT169"/>
      <c r="AU169" s="170"/>
      <c r="AV169" s="170"/>
      <c r="AW169" s="170"/>
    </row>
    <row r="170" spans="2:49" hidden="1" x14ac:dyDescent="0.25">
      <c r="B170"/>
      <c r="C170" s="170"/>
      <c r="D170" s="171"/>
      <c r="E170" s="170"/>
      <c r="F170"/>
      <c r="G170" s="172"/>
      <c r="H170" s="173"/>
      <c r="I170" s="172"/>
      <c r="J170"/>
      <c r="K170" s="170"/>
      <c r="L170" s="171"/>
      <c r="M170" s="170"/>
      <c r="N170"/>
      <c r="O170" s="170"/>
      <c r="P170" s="171"/>
      <c r="Q170" s="170"/>
      <c r="R170"/>
      <c r="S170" s="170"/>
      <c r="T170" s="171"/>
      <c r="U170" s="170"/>
      <c r="V170"/>
      <c r="W170" s="170"/>
      <c r="X170" s="170"/>
      <c r="Y170" s="174"/>
      <c r="Z170"/>
      <c r="AA170" s="170"/>
      <c r="AB170" s="171"/>
      <c r="AC170" s="174"/>
      <c r="AD170"/>
      <c r="AE170" s="170"/>
      <c r="AF170" s="170"/>
      <c r="AG170" s="170"/>
      <c r="AH170"/>
      <c r="AI170" s="170"/>
      <c r="AJ170" s="171"/>
      <c r="AK170" s="170"/>
      <c r="AL170"/>
      <c r="AM170" s="170"/>
      <c r="AN170" s="170"/>
      <c r="AO170" s="170"/>
      <c r="AP170"/>
      <c r="AQ170" s="170"/>
      <c r="AR170" s="170"/>
      <c r="AS170" s="174"/>
      <c r="AT170"/>
      <c r="AU170" s="170"/>
      <c r="AV170" s="170"/>
      <c r="AW170" s="170"/>
    </row>
    <row r="171" spans="2:49" hidden="1" x14ac:dyDescent="0.25">
      <c r="B171"/>
      <c r="C171" s="170"/>
      <c r="D171" s="171"/>
      <c r="E171" s="170"/>
      <c r="F171"/>
      <c r="G171" s="172"/>
      <c r="H171" s="173"/>
      <c r="I171" s="172"/>
      <c r="J171"/>
      <c r="K171" s="170"/>
      <c r="L171" s="171"/>
      <c r="M171" s="170"/>
      <c r="N171"/>
      <c r="O171" s="170"/>
      <c r="P171" s="171"/>
      <c r="Q171" s="170"/>
      <c r="R171"/>
      <c r="S171" s="170"/>
      <c r="T171" s="171"/>
      <c r="U171" s="170"/>
      <c r="V171"/>
      <c r="W171" s="170"/>
      <c r="X171" s="170"/>
      <c r="Y171" s="174"/>
      <c r="Z171"/>
      <c r="AA171" s="170"/>
      <c r="AB171" s="171"/>
      <c r="AC171" s="174"/>
      <c r="AD171"/>
      <c r="AE171" s="170"/>
      <c r="AF171" s="170"/>
      <c r="AG171" s="170"/>
      <c r="AH171"/>
      <c r="AI171" s="170"/>
      <c r="AJ171" s="171"/>
      <c r="AK171" s="170"/>
      <c r="AL171"/>
      <c r="AM171" s="170"/>
      <c r="AN171" s="170"/>
      <c r="AO171" s="170"/>
      <c r="AP171"/>
      <c r="AQ171" s="170"/>
      <c r="AR171" s="170"/>
      <c r="AS171" s="174"/>
      <c r="AT171"/>
      <c r="AU171" s="170"/>
      <c r="AV171" s="170"/>
      <c r="AW171" s="170"/>
    </row>
    <row r="172" spans="2:49" hidden="1" x14ac:dyDescent="0.25">
      <c r="B172"/>
      <c r="C172" s="170"/>
      <c r="D172" s="171"/>
      <c r="E172" s="170"/>
      <c r="F172"/>
      <c r="G172" s="172"/>
      <c r="H172" s="173"/>
      <c r="I172" s="172"/>
      <c r="J172"/>
      <c r="K172" s="170"/>
      <c r="L172" s="171"/>
      <c r="M172" s="170"/>
      <c r="N172"/>
      <c r="O172" s="170"/>
      <c r="P172" s="171"/>
      <c r="Q172" s="170"/>
      <c r="R172"/>
      <c r="S172" s="170"/>
      <c r="T172" s="171"/>
      <c r="U172" s="170"/>
      <c r="V172"/>
      <c r="W172" s="170"/>
      <c r="X172" s="170"/>
      <c r="Y172" s="174"/>
      <c r="Z172"/>
      <c r="AA172" s="170"/>
      <c r="AB172" s="171"/>
      <c r="AC172" s="174"/>
      <c r="AD172"/>
      <c r="AE172" s="170"/>
      <c r="AF172" s="170"/>
      <c r="AG172" s="170"/>
      <c r="AH172"/>
      <c r="AI172" s="170"/>
      <c r="AJ172" s="171"/>
      <c r="AK172" s="170"/>
      <c r="AL172"/>
      <c r="AM172" s="170"/>
      <c r="AN172" s="170"/>
      <c r="AO172" s="170"/>
      <c r="AP172"/>
      <c r="AQ172" s="170"/>
      <c r="AR172" s="170"/>
      <c r="AS172" s="174"/>
      <c r="AT172"/>
      <c r="AU172" s="170"/>
      <c r="AV172" s="170"/>
      <c r="AW172" s="170"/>
    </row>
    <row r="173" spans="2:49" hidden="1" x14ac:dyDescent="0.25">
      <c r="B173"/>
      <c r="C173" s="170"/>
      <c r="D173" s="171"/>
      <c r="E173" s="170"/>
      <c r="F173"/>
      <c r="G173" s="172"/>
      <c r="H173" s="173"/>
      <c r="I173" s="172"/>
      <c r="J173"/>
      <c r="K173" s="170"/>
      <c r="L173" s="171"/>
      <c r="M173" s="170"/>
      <c r="N173"/>
      <c r="O173" s="170"/>
      <c r="P173" s="171"/>
      <c r="Q173" s="170"/>
      <c r="R173"/>
      <c r="S173" s="170"/>
      <c r="T173" s="171"/>
      <c r="U173" s="170"/>
      <c r="V173"/>
      <c r="W173" s="170"/>
      <c r="X173" s="170"/>
      <c r="Y173" s="174"/>
      <c r="Z173"/>
      <c r="AA173" s="170"/>
      <c r="AB173" s="171"/>
      <c r="AC173" s="174"/>
      <c r="AD173"/>
      <c r="AE173" s="170"/>
      <c r="AF173" s="170"/>
      <c r="AG173" s="170"/>
      <c r="AH173"/>
      <c r="AI173" s="170"/>
      <c r="AJ173" s="171"/>
      <c r="AK173" s="170"/>
      <c r="AL173"/>
      <c r="AM173" s="170"/>
      <c r="AN173" s="170"/>
      <c r="AO173" s="170"/>
      <c r="AP173"/>
      <c r="AQ173" s="170"/>
      <c r="AR173" s="170"/>
      <c r="AS173" s="174"/>
      <c r="AT173"/>
      <c r="AU173" s="170"/>
      <c r="AV173" s="170"/>
      <c r="AW173" s="170"/>
    </row>
    <row r="174" spans="2:49" hidden="1" x14ac:dyDescent="0.25">
      <c r="B174"/>
      <c r="C174" s="170"/>
      <c r="D174" s="171"/>
      <c r="E174" s="170"/>
      <c r="F174"/>
      <c r="G174" s="172"/>
      <c r="H174" s="173"/>
      <c r="I174" s="172"/>
      <c r="J174"/>
      <c r="K174" s="170"/>
      <c r="L174" s="171"/>
      <c r="M174" s="170"/>
      <c r="N174"/>
      <c r="O174" s="170"/>
      <c r="P174" s="171"/>
      <c r="Q174" s="170"/>
      <c r="R174"/>
      <c r="S174" s="170"/>
      <c r="T174" s="171"/>
      <c r="U174" s="170"/>
      <c r="V174"/>
      <c r="W174" s="170"/>
      <c r="X174" s="170"/>
      <c r="Y174" s="174"/>
      <c r="Z174"/>
      <c r="AA174" s="170"/>
      <c r="AB174" s="171"/>
      <c r="AC174" s="174"/>
      <c r="AD174"/>
      <c r="AE174" s="170"/>
      <c r="AF174" s="170"/>
      <c r="AG174" s="170"/>
      <c r="AH174"/>
      <c r="AI174" s="170"/>
      <c r="AJ174" s="171"/>
      <c r="AK174" s="170"/>
      <c r="AL174"/>
      <c r="AM174" s="170"/>
      <c r="AN174" s="170"/>
      <c r="AO174" s="170"/>
      <c r="AP174"/>
      <c r="AQ174" s="170"/>
      <c r="AR174" s="170"/>
      <c r="AS174" s="174"/>
      <c r="AT174"/>
      <c r="AU174" s="170"/>
      <c r="AV174" s="170"/>
      <c r="AW174" s="170"/>
    </row>
    <row r="175" spans="2:49" hidden="1" x14ac:dyDescent="0.25">
      <c r="B175"/>
      <c r="C175" s="170"/>
      <c r="D175" s="171"/>
      <c r="E175" s="170"/>
      <c r="F175"/>
      <c r="G175" s="172"/>
      <c r="H175" s="173"/>
      <c r="I175" s="172"/>
      <c r="J175"/>
      <c r="K175" s="170"/>
      <c r="L175" s="171"/>
      <c r="M175" s="170"/>
      <c r="N175"/>
      <c r="O175" s="170"/>
      <c r="P175" s="171"/>
      <c r="Q175" s="170"/>
      <c r="R175"/>
      <c r="S175" s="170"/>
      <c r="T175" s="171"/>
      <c r="U175" s="170"/>
      <c r="V175"/>
      <c r="W175" s="170"/>
      <c r="X175" s="170"/>
      <c r="Y175" s="174"/>
      <c r="Z175"/>
      <c r="AA175" s="170"/>
      <c r="AB175" s="171"/>
      <c r="AC175" s="174"/>
      <c r="AD175"/>
      <c r="AE175" s="170"/>
      <c r="AF175" s="170"/>
      <c r="AG175" s="170"/>
      <c r="AH175"/>
      <c r="AI175" s="170"/>
      <c r="AJ175" s="171"/>
      <c r="AK175" s="170"/>
      <c r="AL175"/>
      <c r="AM175" s="170"/>
      <c r="AN175" s="170"/>
      <c r="AO175" s="170"/>
      <c r="AP175"/>
      <c r="AQ175" s="170"/>
      <c r="AR175" s="170"/>
      <c r="AS175" s="174"/>
      <c r="AT175"/>
      <c r="AU175" s="170"/>
      <c r="AV175" s="170"/>
      <c r="AW175" s="170"/>
    </row>
    <row r="176" spans="2:49" hidden="1" x14ac:dyDescent="0.25">
      <c r="B176"/>
      <c r="C176" s="170"/>
      <c r="D176" s="171"/>
      <c r="E176" s="170"/>
      <c r="F176"/>
      <c r="G176" s="172"/>
      <c r="H176" s="173"/>
      <c r="I176" s="172"/>
      <c r="J176"/>
      <c r="K176" s="170"/>
      <c r="L176" s="171"/>
      <c r="M176" s="170"/>
      <c r="N176"/>
      <c r="O176" s="170"/>
      <c r="P176" s="171"/>
      <c r="Q176" s="170"/>
      <c r="R176"/>
      <c r="S176" s="170"/>
      <c r="T176" s="171"/>
      <c r="U176" s="170"/>
      <c r="V176"/>
      <c r="W176" s="170"/>
      <c r="X176" s="170"/>
      <c r="Y176" s="174"/>
      <c r="Z176"/>
      <c r="AA176" s="170"/>
      <c r="AB176" s="171"/>
      <c r="AC176" s="174"/>
      <c r="AD176"/>
      <c r="AE176" s="170"/>
      <c r="AF176" s="170"/>
      <c r="AG176" s="170"/>
      <c r="AH176"/>
      <c r="AI176" s="170"/>
      <c r="AJ176" s="171"/>
      <c r="AK176" s="170"/>
      <c r="AL176"/>
      <c r="AM176" s="170"/>
      <c r="AN176" s="170"/>
      <c r="AO176" s="170"/>
      <c r="AP176"/>
      <c r="AQ176" s="170"/>
      <c r="AR176" s="170"/>
      <c r="AS176" s="174"/>
      <c r="AT176"/>
      <c r="AU176" s="170"/>
      <c r="AV176" s="170"/>
      <c r="AW176" s="170"/>
    </row>
    <row r="177" spans="2:49" hidden="1" x14ac:dyDescent="0.25">
      <c r="B177"/>
      <c r="C177" s="170"/>
      <c r="D177" s="171"/>
      <c r="E177" s="170"/>
      <c r="F177"/>
      <c r="G177" s="172"/>
      <c r="H177" s="173"/>
      <c r="I177" s="172"/>
      <c r="J177"/>
      <c r="K177" s="170"/>
      <c r="L177" s="171"/>
      <c r="M177" s="170"/>
      <c r="N177"/>
      <c r="O177" s="170"/>
      <c r="P177" s="171"/>
      <c r="Q177" s="170"/>
      <c r="R177"/>
      <c r="S177" s="170"/>
      <c r="T177" s="171"/>
      <c r="U177" s="170"/>
      <c r="V177"/>
      <c r="W177" s="170"/>
      <c r="X177" s="170"/>
      <c r="Y177" s="174"/>
      <c r="Z177"/>
      <c r="AA177" s="170"/>
      <c r="AB177" s="171"/>
      <c r="AC177" s="174"/>
      <c r="AD177"/>
      <c r="AE177" s="170"/>
      <c r="AF177" s="170"/>
      <c r="AG177" s="170"/>
      <c r="AH177"/>
      <c r="AI177" s="170"/>
      <c r="AJ177" s="171"/>
      <c r="AK177" s="170"/>
      <c r="AL177"/>
      <c r="AM177" s="170"/>
      <c r="AN177" s="170"/>
      <c r="AO177" s="170"/>
      <c r="AP177"/>
      <c r="AQ177" s="170"/>
      <c r="AR177" s="170"/>
      <c r="AS177" s="174"/>
      <c r="AT177"/>
      <c r="AU177" s="170"/>
      <c r="AV177" s="170"/>
      <c r="AW177" s="170"/>
    </row>
    <row r="178" spans="2:49" hidden="1" x14ac:dyDescent="0.25">
      <c r="B178"/>
      <c r="C178" s="170"/>
      <c r="D178" s="171"/>
      <c r="E178" s="170"/>
      <c r="F178"/>
      <c r="G178" s="172"/>
      <c r="H178" s="173"/>
      <c r="I178" s="172"/>
      <c r="J178"/>
      <c r="K178" s="170"/>
      <c r="L178" s="171"/>
      <c r="M178" s="170"/>
      <c r="N178"/>
      <c r="O178" s="170"/>
      <c r="P178" s="171"/>
      <c r="Q178" s="170"/>
      <c r="R178"/>
      <c r="S178" s="170"/>
      <c r="T178" s="171"/>
      <c r="U178" s="170"/>
      <c r="V178"/>
      <c r="W178" s="170"/>
      <c r="X178" s="170"/>
      <c r="Y178" s="174"/>
      <c r="Z178"/>
      <c r="AA178" s="170"/>
      <c r="AB178" s="171"/>
      <c r="AC178" s="174"/>
      <c r="AD178"/>
      <c r="AE178" s="170"/>
      <c r="AF178" s="170"/>
      <c r="AG178" s="170"/>
      <c r="AH178"/>
      <c r="AI178" s="170"/>
      <c r="AJ178" s="171"/>
      <c r="AK178" s="170"/>
      <c r="AL178"/>
      <c r="AM178" s="170"/>
      <c r="AN178" s="170"/>
      <c r="AO178" s="170"/>
      <c r="AP178"/>
      <c r="AQ178" s="170"/>
      <c r="AR178" s="170"/>
      <c r="AS178" s="174"/>
      <c r="AT178"/>
      <c r="AU178" s="170"/>
      <c r="AV178" s="170"/>
      <c r="AW178" s="170"/>
    </row>
    <row r="179" spans="2:49" hidden="1" x14ac:dyDescent="0.25">
      <c r="B179"/>
      <c r="C179" s="170"/>
      <c r="D179" s="171"/>
      <c r="E179" s="170"/>
      <c r="F179"/>
      <c r="G179" s="172"/>
      <c r="H179" s="173"/>
      <c r="I179" s="172"/>
      <c r="J179"/>
      <c r="K179" s="170"/>
      <c r="L179" s="171"/>
      <c r="M179" s="170"/>
      <c r="N179"/>
      <c r="O179" s="170"/>
      <c r="P179" s="171"/>
      <c r="Q179" s="170"/>
      <c r="R179"/>
      <c r="S179" s="170"/>
      <c r="T179" s="171"/>
      <c r="U179" s="170"/>
      <c r="V179"/>
      <c r="W179" s="170"/>
      <c r="X179" s="170"/>
      <c r="Y179" s="174"/>
      <c r="Z179"/>
      <c r="AA179" s="170"/>
      <c r="AB179" s="171"/>
      <c r="AC179" s="174"/>
      <c r="AD179"/>
      <c r="AE179" s="170"/>
      <c r="AF179" s="170"/>
      <c r="AG179" s="170"/>
      <c r="AH179"/>
      <c r="AI179" s="170"/>
      <c r="AJ179" s="171"/>
      <c r="AK179" s="170"/>
      <c r="AL179"/>
      <c r="AM179" s="170"/>
      <c r="AN179" s="170"/>
      <c r="AO179" s="170"/>
      <c r="AP179"/>
      <c r="AQ179" s="170"/>
      <c r="AR179" s="170"/>
      <c r="AS179" s="174"/>
      <c r="AT179"/>
      <c r="AU179" s="170"/>
      <c r="AV179" s="170"/>
      <c r="AW179" s="170"/>
    </row>
    <row r="180" spans="2:49" hidden="1" x14ac:dyDescent="0.25">
      <c r="B180"/>
      <c r="C180" s="170"/>
      <c r="D180" s="171"/>
      <c r="E180" s="170"/>
      <c r="F180"/>
      <c r="G180" s="172"/>
      <c r="H180" s="173"/>
      <c r="I180" s="172"/>
      <c r="J180"/>
      <c r="K180" s="170"/>
      <c r="L180" s="171"/>
      <c r="M180" s="170"/>
      <c r="N180"/>
      <c r="O180" s="170"/>
      <c r="P180" s="171"/>
      <c r="Q180" s="170"/>
      <c r="R180"/>
      <c r="S180" s="170"/>
      <c r="T180" s="171"/>
      <c r="U180" s="170"/>
      <c r="V180"/>
      <c r="W180" s="170"/>
      <c r="X180" s="170"/>
      <c r="Y180" s="174"/>
      <c r="Z180"/>
      <c r="AA180" s="170"/>
      <c r="AB180" s="171"/>
      <c r="AC180" s="174"/>
      <c r="AD180"/>
      <c r="AE180" s="170"/>
      <c r="AF180" s="170"/>
      <c r="AG180" s="170"/>
      <c r="AH180"/>
      <c r="AI180" s="170"/>
      <c r="AJ180" s="171"/>
      <c r="AK180" s="170"/>
      <c r="AL180"/>
      <c r="AM180" s="170"/>
      <c r="AN180" s="170"/>
      <c r="AO180" s="170"/>
      <c r="AP180"/>
      <c r="AQ180" s="170"/>
      <c r="AR180" s="170"/>
      <c r="AS180" s="174"/>
      <c r="AT180"/>
      <c r="AU180" s="170"/>
      <c r="AV180" s="170"/>
      <c r="AW180" s="170"/>
    </row>
    <row r="181" spans="2:49" hidden="1" x14ac:dyDescent="0.25">
      <c r="B181"/>
      <c r="C181" s="170"/>
      <c r="D181" s="171"/>
      <c r="E181" s="170"/>
      <c r="F181"/>
      <c r="G181" s="172"/>
      <c r="H181" s="173"/>
      <c r="I181" s="172"/>
      <c r="J181"/>
      <c r="K181" s="170"/>
      <c r="L181" s="171"/>
      <c r="M181" s="170"/>
      <c r="N181"/>
      <c r="O181" s="170"/>
      <c r="P181" s="171"/>
      <c r="Q181" s="170"/>
      <c r="R181"/>
      <c r="S181" s="170"/>
      <c r="T181" s="171"/>
      <c r="U181" s="170"/>
      <c r="V181"/>
      <c r="W181" s="170"/>
      <c r="X181" s="170"/>
      <c r="Y181" s="174"/>
      <c r="Z181"/>
      <c r="AA181" s="170"/>
      <c r="AB181" s="171"/>
      <c r="AC181" s="174"/>
      <c r="AD181"/>
      <c r="AE181" s="170"/>
      <c r="AF181" s="170"/>
      <c r="AG181" s="170"/>
      <c r="AH181"/>
      <c r="AI181" s="170"/>
      <c r="AJ181" s="171"/>
      <c r="AK181" s="170"/>
      <c r="AL181"/>
      <c r="AM181" s="170"/>
      <c r="AN181" s="170"/>
      <c r="AO181" s="170"/>
      <c r="AP181"/>
      <c r="AQ181" s="170"/>
      <c r="AR181" s="170"/>
      <c r="AS181" s="174"/>
      <c r="AT181"/>
      <c r="AU181" s="170"/>
      <c r="AV181" s="170"/>
      <c r="AW181" s="170"/>
    </row>
    <row r="182" spans="2:49" hidden="1" x14ac:dyDescent="0.25">
      <c r="B182"/>
      <c r="C182" s="170"/>
      <c r="D182" s="171"/>
      <c r="E182" s="170"/>
      <c r="F182"/>
      <c r="G182" s="172"/>
      <c r="H182" s="173"/>
      <c r="I182" s="172"/>
      <c r="J182"/>
      <c r="K182" s="170"/>
      <c r="L182" s="171"/>
      <c r="M182" s="170"/>
      <c r="N182"/>
      <c r="O182" s="170"/>
      <c r="P182" s="171"/>
      <c r="Q182" s="170"/>
      <c r="R182"/>
      <c r="S182" s="170"/>
      <c r="T182" s="171"/>
      <c r="U182" s="170"/>
      <c r="V182"/>
      <c r="W182" s="170"/>
      <c r="X182" s="170"/>
      <c r="Y182" s="174"/>
      <c r="Z182"/>
      <c r="AA182" s="170"/>
      <c r="AB182" s="171"/>
      <c r="AC182" s="174"/>
      <c r="AD182"/>
      <c r="AE182" s="170"/>
      <c r="AF182" s="170"/>
      <c r="AG182" s="170"/>
      <c r="AH182"/>
      <c r="AI182" s="170"/>
      <c r="AJ182" s="171"/>
      <c r="AK182" s="170"/>
      <c r="AL182"/>
      <c r="AM182" s="170"/>
      <c r="AN182" s="170"/>
      <c r="AO182" s="170"/>
      <c r="AP182"/>
      <c r="AQ182" s="170"/>
      <c r="AR182" s="170"/>
      <c r="AS182" s="174"/>
      <c r="AT182"/>
      <c r="AU182" s="170"/>
      <c r="AV182" s="170"/>
      <c r="AW182" s="170"/>
    </row>
    <row r="183" spans="2:49" hidden="1" x14ac:dyDescent="0.25">
      <c r="B183"/>
      <c r="C183" s="170"/>
      <c r="D183" s="171"/>
      <c r="E183" s="170"/>
      <c r="F183"/>
      <c r="G183" s="172"/>
      <c r="H183" s="173"/>
      <c r="I183" s="172"/>
      <c r="J183"/>
      <c r="K183" s="170"/>
      <c r="L183" s="171"/>
      <c r="M183" s="170"/>
      <c r="N183"/>
      <c r="O183" s="170"/>
      <c r="P183" s="171"/>
      <c r="Q183" s="170"/>
      <c r="R183"/>
      <c r="S183" s="170"/>
      <c r="T183" s="171"/>
      <c r="U183" s="170"/>
      <c r="V183"/>
      <c r="W183" s="170"/>
      <c r="X183" s="170"/>
      <c r="Y183" s="174"/>
      <c r="Z183"/>
      <c r="AA183" s="170"/>
      <c r="AB183" s="171"/>
      <c r="AC183" s="174"/>
      <c r="AD183"/>
      <c r="AE183" s="170"/>
      <c r="AF183" s="170"/>
      <c r="AG183" s="170"/>
      <c r="AH183"/>
      <c r="AI183" s="170"/>
      <c r="AJ183" s="171"/>
      <c r="AK183" s="170"/>
      <c r="AL183"/>
      <c r="AM183" s="170"/>
      <c r="AN183" s="170"/>
      <c r="AO183" s="170"/>
      <c r="AP183"/>
      <c r="AQ183" s="170"/>
      <c r="AR183" s="170"/>
      <c r="AS183" s="174"/>
      <c r="AT183"/>
      <c r="AU183" s="170"/>
      <c r="AV183" s="170"/>
      <c r="AW183" s="170"/>
    </row>
    <row r="184" spans="2:49" hidden="1" x14ac:dyDescent="0.25">
      <c r="B184"/>
      <c r="C184" s="170"/>
      <c r="D184" s="171"/>
      <c r="E184" s="170"/>
      <c r="F184"/>
      <c r="G184" s="172"/>
      <c r="H184" s="173"/>
      <c r="I184" s="172"/>
      <c r="J184"/>
      <c r="K184" s="170"/>
      <c r="L184" s="171"/>
      <c r="M184" s="170"/>
      <c r="N184"/>
      <c r="O184" s="170"/>
      <c r="P184" s="171"/>
      <c r="Q184" s="170"/>
      <c r="R184"/>
      <c r="S184" s="170"/>
      <c r="T184" s="171"/>
      <c r="U184" s="170"/>
      <c r="V184"/>
      <c r="W184" s="170"/>
      <c r="X184" s="170"/>
      <c r="Y184" s="174"/>
      <c r="Z184"/>
      <c r="AA184" s="170"/>
      <c r="AB184" s="171"/>
      <c r="AC184" s="174"/>
      <c r="AD184"/>
      <c r="AE184" s="170"/>
      <c r="AF184" s="170"/>
      <c r="AG184" s="170"/>
      <c r="AH184"/>
      <c r="AI184" s="170"/>
      <c r="AJ184" s="171"/>
      <c r="AK184" s="170"/>
      <c r="AL184"/>
      <c r="AM184" s="170"/>
      <c r="AN184" s="170"/>
      <c r="AO184" s="170"/>
      <c r="AP184"/>
      <c r="AQ184" s="170"/>
      <c r="AR184" s="170"/>
      <c r="AS184" s="174"/>
      <c r="AT184"/>
      <c r="AU184" s="170"/>
      <c r="AV184" s="170"/>
      <c r="AW184" s="170"/>
    </row>
    <row r="185" spans="2:49" hidden="1" x14ac:dyDescent="0.25">
      <c r="B185"/>
      <c r="C185" s="170"/>
      <c r="D185" s="171"/>
      <c r="E185" s="170"/>
      <c r="F185"/>
      <c r="G185" s="172"/>
      <c r="H185" s="173"/>
      <c r="I185" s="172"/>
      <c r="J185"/>
      <c r="K185" s="170"/>
      <c r="L185" s="171"/>
      <c r="M185" s="170"/>
      <c r="N185"/>
      <c r="O185" s="170"/>
      <c r="P185" s="171"/>
      <c r="Q185" s="170"/>
      <c r="R185"/>
      <c r="S185" s="170"/>
      <c r="T185" s="171"/>
      <c r="U185" s="170"/>
      <c r="V185"/>
      <c r="W185" s="170"/>
      <c r="X185" s="170"/>
      <c r="Y185" s="174"/>
      <c r="Z185"/>
      <c r="AA185" s="170"/>
      <c r="AB185" s="171"/>
      <c r="AC185" s="174"/>
      <c r="AD185"/>
      <c r="AE185" s="170"/>
      <c r="AF185" s="170"/>
      <c r="AG185" s="170"/>
      <c r="AH185"/>
      <c r="AI185" s="170"/>
      <c r="AJ185" s="171"/>
      <c r="AK185" s="170"/>
      <c r="AL185"/>
      <c r="AM185" s="170"/>
      <c r="AN185" s="170"/>
      <c r="AO185" s="170"/>
      <c r="AP185"/>
      <c r="AQ185" s="170"/>
      <c r="AR185" s="170"/>
      <c r="AS185" s="174"/>
      <c r="AT185"/>
      <c r="AU185" s="170"/>
      <c r="AV185" s="170"/>
      <c r="AW185" s="170"/>
    </row>
    <row r="186" spans="2:49" hidden="1" x14ac:dyDescent="0.25">
      <c r="B186"/>
      <c r="C186" s="170"/>
      <c r="D186" s="171"/>
      <c r="E186" s="170"/>
      <c r="F186"/>
      <c r="G186" s="172"/>
      <c r="H186" s="173"/>
      <c r="I186" s="172"/>
      <c r="J186"/>
      <c r="K186" s="170"/>
      <c r="L186" s="171"/>
      <c r="M186" s="170"/>
      <c r="N186"/>
      <c r="O186" s="170"/>
      <c r="P186" s="171"/>
      <c r="Q186" s="170"/>
      <c r="R186"/>
      <c r="S186" s="170"/>
      <c r="T186" s="171"/>
      <c r="U186" s="170"/>
      <c r="V186"/>
      <c r="W186" s="170"/>
      <c r="X186" s="170"/>
      <c r="Y186" s="174"/>
      <c r="Z186"/>
      <c r="AA186" s="170"/>
      <c r="AB186" s="171"/>
      <c r="AC186" s="174"/>
      <c r="AD186"/>
      <c r="AE186" s="170"/>
      <c r="AF186" s="170"/>
      <c r="AG186" s="170"/>
      <c r="AH186"/>
      <c r="AI186" s="170"/>
      <c r="AJ186" s="171"/>
      <c r="AK186" s="170"/>
      <c r="AL186"/>
      <c r="AM186" s="170"/>
      <c r="AN186" s="170"/>
      <c r="AO186" s="170"/>
      <c r="AP186"/>
      <c r="AQ186" s="170"/>
      <c r="AR186" s="170"/>
      <c r="AS186" s="174"/>
      <c r="AT186"/>
      <c r="AU186" s="170"/>
      <c r="AV186" s="170"/>
      <c r="AW186" s="170"/>
    </row>
    <row r="187" spans="2:49" hidden="1" x14ac:dyDescent="0.25">
      <c r="B187"/>
      <c r="C187" s="170"/>
      <c r="D187" s="171"/>
      <c r="E187" s="170"/>
      <c r="F187"/>
      <c r="G187" s="172"/>
      <c r="H187" s="173"/>
      <c r="I187" s="172"/>
      <c r="J187"/>
      <c r="K187" s="170"/>
      <c r="L187" s="171"/>
      <c r="M187" s="170"/>
      <c r="N187"/>
      <c r="O187" s="170"/>
      <c r="P187" s="171"/>
      <c r="Q187" s="170"/>
      <c r="R187"/>
      <c r="S187" s="170"/>
      <c r="T187" s="171"/>
      <c r="U187" s="170"/>
      <c r="V187"/>
      <c r="W187" s="170"/>
      <c r="X187" s="170"/>
      <c r="Y187" s="174"/>
      <c r="Z187"/>
      <c r="AA187" s="170"/>
      <c r="AB187" s="171"/>
      <c r="AC187" s="174"/>
      <c r="AD187"/>
      <c r="AE187" s="170"/>
      <c r="AF187" s="170"/>
      <c r="AG187" s="170"/>
      <c r="AH187"/>
      <c r="AI187" s="170"/>
      <c r="AJ187" s="171"/>
      <c r="AK187" s="170"/>
      <c r="AL187"/>
      <c r="AM187" s="170"/>
      <c r="AN187" s="170"/>
      <c r="AO187" s="170"/>
      <c r="AP187"/>
      <c r="AQ187" s="170"/>
      <c r="AR187" s="170"/>
      <c r="AS187" s="174"/>
      <c r="AT187"/>
      <c r="AU187" s="170"/>
      <c r="AV187" s="170"/>
      <c r="AW187" s="170"/>
    </row>
    <row r="188" spans="2:49" hidden="1" x14ac:dyDescent="0.25">
      <c r="B188"/>
      <c r="C188" s="170"/>
      <c r="D188" s="171"/>
      <c r="E188" s="170"/>
      <c r="F188"/>
      <c r="G188" s="172"/>
      <c r="H188" s="173"/>
      <c r="I188" s="172"/>
      <c r="J188"/>
      <c r="K188" s="170"/>
      <c r="L188" s="171"/>
      <c r="M188" s="170"/>
      <c r="N188"/>
      <c r="O188" s="170"/>
      <c r="P188" s="171"/>
      <c r="Q188" s="170"/>
      <c r="R188"/>
      <c r="S188" s="170"/>
      <c r="T188" s="171"/>
      <c r="U188" s="170"/>
      <c r="V188"/>
      <c r="W188" s="170"/>
      <c r="X188" s="170"/>
      <c r="Y188" s="174"/>
      <c r="Z188"/>
      <c r="AA188" s="170"/>
      <c r="AB188" s="171"/>
      <c r="AC188" s="174"/>
      <c r="AD188"/>
      <c r="AE188" s="170"/>
      <c r="AF188" s="170"/>
      <c r="AG188" s="170"/>
      <c r="AH188"/>
      <c r="AI188" s="170"/>
      <c r="AJ188" s="171"/>
      <c r="AK188" s="170"/>
      <c r="AL188"/>
      <c r="AM188" s="170"/>
      <c r="AN188" s="170"/>
      <c r="AO188" s="170"/>
      <c r="AP188"/>
      <c r="AQ188" s="170"/>
      <c r="AR188" s="170"/>
      <c r="AS188" s="174"/>
      <c r="AT188"/>
      <c r="AU188" s="170"/>
      <c r="AV188" s="170"/>
      <c r="AW188" s="170"/>
    </row>
    <row r="189" spans="2:49" hidden="1" x14ac:dyDescent="0.25">
      <c r="B189"/>
      <c r="C189" s="170"/>
      <c r="D189" s="171"/>
      <c r="E189" s="170"/>
      <c r="F189"/>
      <c r="G189" s="172"/>
      <c r="H189" s="173"/>
      <c r="I189" s="172"/>
      <c r="J189"/>
      <c r="K189" s="170"/>
      <c r="L189" s="171"/>
      <c r="M189" s="170"/>
      <c r="N189"/>
      <c r="O189" s="170"/>
      <c r="P189" s="171"/>
      <c r="Q189" s="170"/>
      <c r="R189"/>
      <c r="S189" s="170"/>
      <c r="T189" s="171"/>
      <c r="U189" s="170"/>
      <c r="V189"/>
      <c r="W189" s="170"/>
      <c r="X189" s="170"/>
      <c r="Y189" s="174"/>
      <c r="Z189"/>
      <c r="AA189" s="170"/>
      <c r="AB189" s="171"/>
      <c r="AC189" s="174"/>
      <c r="AD189"/>
      <c r="AE189" s="170"/>
      <c r="AF189" s="170"/>
      <c r="AG189" s="170"/>
      <c r="AH189"/>
      <c r="AI189" s="170"/>
      <c r="AJ189" s="171"/>
      <c r="AK189" s="170"/>
      <c r="AL189"/>
      <c r="AM189" s="170"/>
      <c r="AN189" s="170"/>
      <c r="AO189" s="170"/>
      <c r="AP189"/>
      <c r="AQ189" s="170"/>
      <c r="AR189" s="170"/>
      <c r="AS189" s="174"/>
      <c r="AT189"/>
      <c r="AU189" s="170"/>
      <c r="AV189" s="170"/>
      <c r="AW189" s="170"/>
    </row>
    <row r="190" spans="2:49" hidden="1" x14ac:dyDescent="0.25">
      <c r="B190"/>
      <c r="C190" s="170"/>
      <c r="D190" s="171"/>
      <c r="E190" s="170"/>
      <c r="F190"/>
      <c r="G190" s="172"/>
      <c r="H190" s="173"/>
      <c r="I190" s="172"/>
      <c r="J190"/>
      <c r="K190" s="170"/>
      <c r="L190" s="171"/>
      <c r="M190" s="170"/>
      <c r="N190"/>
      <c r="O190" s="170"/>
      <c r="P190" s="171"/>
      <c r="Q190" s="170"/>
      <c r="R190"/>
      <c r="S190" s="170"/>
      <c r="T190" s="171"/>
      <c r="U190" s="170"/>
      <c r="V190"/>
      <c r="W190" s="170"/>
      <c r="X190" s="170"/>
      <c r="Y190" s="174"/>
      <c r="Z190"/>
      <c r="AA190" s="170"/>
      <c r="AB190" s="171"/>
      <c r="AC190" s="174"/>
      <c r="AD190"/>
      <c r="AE190" s="170"/>
      <c r="AF190" s="170"/>
      <c r="AG190" s="170"/>
      <c r="AH190"/>
      <c r="AI190" s="170"/>
      <c r="AJ190" s="171"/>
      <c r="AK190" s="170"/>
      <c r="AL190"/>
      <c r="AM190" s="170"/>
      <c r="AN190" s="170"/>
      <c r="AO190" s="170"/>
      <c r="AP190"/>
      <c r="AQ190" s="170"/>
      <c r="AR190" s="170"/>
      <c r="AS190" s="174"/>
      <c r="AT190"/>
      <c r="AU190" s="170"/>
      <c r="AV190" s="170"/>
      <c r="AW190" s="170"/>
    </row>
    <row r="191" spans="2:49" hidden="1" x14ac:dyDescent="0.25">
      <c r="B191"/>
      <c r="C191" s="170"/>
      <c r="D191" s="171"/>
      <c r="E191" s="170"/>
      <c r="F191"/>
      <c r="G191" s="172"/>
      <c r="H191" s="173"/>
      <c r="I191" s="172"/>
      <c r="J191"/>
      <c r="K191" s="170"/>
      <c r="L191" s="171"/>
      <c r="M191" s="170"/>
      <c r="N191"/>
      <c r="O191" s="170"/>
      <c r="P191" s="171"/>
      <c r="Q191" s="170"/>
      <c r="R191"/>
      <c r="S191" s="170"/>
      <c r="T191" s="171"/>
      <c r="U191" s="170"/>
      <c r="V191"/>
      <c r="W191" s="170"/>
      <c r="X191" s="170"/>
      <c r="Y191" s="174"/>
      <c r="Z191"/>
      <c r="AA191" s="170"/>
      <c r="AB191" s="171"/>
      <c r="AC191" s="174"/>
      <c r="AD191"/>
      <c r="AE191" s="170"/>
      <c r="AF191" s="170"/>
      <c r="AG191" s="170"/>
      <c r="AH191"/>
      <c r="AI191" s="170"/>
      <c r="AJ191" s="171"/>
      <c r="AK191" s="170"/>
      <c r="AL191"/>
      <c r="AM191" s="170"/>
      <c r="AN191" s="170"/>
      <c r="AO191" s="170"/>
      <c r="AP191"/>
      <c r="AQ191" s="170"/>
      <c r="AR191" s="170"/>
      <c r="AS191" s="174"/>
      <c r="AT191"/>
      <c r="AU191" s="170"/>
      <c r="AV191" s="170"/>
      <c r="AW191" s="170"/>
    </row>
    <row r="192" spans="2:49" hidden="1" x14ac:dyDescent="0.25">
      <c r="B192"/>
      <c r="C192" s="170"/>
      <c r="D192" s="171"/>
      <c r="E192" s="170"/>
      <c r="F192"/>
      <c r="G192" s="172"/>
      <c r="H192" s="173"/>
      <c r="I192" s="172"/>
      <c r="J192"/>
      <c r="K192" s="170"/>
      <c r="L192" s="171"/>
      <c r="M192" s="170"/>
      <c r="N192"/>
      <c r="O192" s="170"/>
      <c r="P192" s="171"/>
      <c r="Q192" s="170"/>
      <c r="R192"/>
      <c r="S192" s="170"/>
      <c r="T192" s="171"/>
      <c r="U192" s="170"/>
      <c r="V192"/>
      <c r="W192" s="170"/>
      <c r="X192" s="170"/>
      <c r="Y192" s="174"/>
      <c r="Z192"/>
      <c r="AA192" s="170"/>
      <c r="AB192" s="171"/>
      <c r="AC192" s="174"/>
      <c r="AD192"/>
      <c r="AE192" s="170"/>
      <c r="AF192" s="170"/>
      <c r="AG192" s="170"/>
      <c r="AH192"/>
      <c r="AI192" s="170"/>
      <c r="AJ192" s="171"/>
      <c r="AK192" s="170"/>
      <c r="AL192"/>
      <c r="AM192" s="170"/>
      <c r="AN192" s="170"/>
      <c r="AO192" s="170"/>
      <c r="AP192"/>
      <c r="AQ192" s="170"/>
      <c r="AR192" s="170"/>
      <c r="AS192" s="174"/>
      <c r="AT192"/>
      <c r="AU192" s="170"/>
      <c r="AV192" s="170"/>
      <c r="AW192" s="170"/>
    </row>
    <row r="193" spans="2:49" hidden="1" x14ac:dyDescent="0.25">
      <c r="B193"/>
      <c r="C193" s="170"/>
      <c r="D193" s="171"/>
      <c r="E193" s="170"/>
      <c r="F193"/>
      <c r="G193" s="172"/>
      <c r="H193" s="173"/>
      <c r="I193" s="172"/>
      <c r="J193"/>
      <c r="K193" s="170"/>
      <c r="L193" s="171"/>
      <c r="M193" s="170"/>
      <c r="N193"/>
      <c r="O193" s="170"/>
      <c r="P193" s="171"/>
      <c r="Q193" s="170"/>
      <c r="R193"/>
      <c r="S193" s="170"/>
      <c r="T193" s="171"/>
      <c r="U193" s="170"/>
      <c r="V193"/>
      <c r="W193" s="170"/>
      <c r="X193" s="170"/>
      <c r="Y193" s="174"/>
      <c r="Z193"/>
      <c r="AA193" s="170"/>
      <c r="AB193" s="171"/>
      <c r="AC193" s="174"/>
      <c r="AD193"/>
      <c r="AE193" s="170"/>
      <c r="AF193" s="170"/>
      <c r="AG193" s="170"/>
      <c r="AH193"/>
      <c r="AI193" s="170"/>
      <c r="AJ193" s="171"/>
      <c r="AK193" s="170"/>
      <c r="AL193"/>
      <c r="AM193" s="170"/>
      <c r="AN193" s="170"/>
      <c r="AO193" s="170"/>
      <c r="AP193"/>
      <c r="AQ193" s="170"/>
      <c r="AR193" s="170"/>
      <c r="AS193" s="174"/>
      <c r="AT193"/>
      <c r="AU193" s="170"/>
      <c r="AV193" s="170"/>
      <c r="AW193" s="170"/>
    </row>
    <row r="194" spans="2:49" hidden="1" x14ac:dyDescent="0.25">
      <c r="B194"/>
      <c r="C194" s="170"/>
      <c r="D194" s="171"/>
      <c r="E194" s="170"/>
      <c r="F194"/>
      <c r="G194" s="172"/>
      <c r="H194" s="173"/>
      <c r="I194" s="172"/>
      <c r="J194"/>
      <c r="K194" s="170"/>
      <c r="L194" s="171"/>
      <c r="M194" s="170"/>
      <c r="N194"/>
      <c r="O194" s="170"/>
      <c r="P194" s="171"/>
      <c r="Q194" s="170"/>
      <c r="R194"/>
      <c r="S194" s="170"/>
      <c r="T194" s="171"/>
      <c r="U194" s="170"/>
      <c r="V194"/>
      <c r="W194" s="170"/>
      <c r="X194" s="170"/>
      <c r="Y194" s="174"/>
      <c r="Z194"/>
      <c r="AA194" s="170"/>
      <c r="AB194" s="171"/>
      <c r="AC194" s="174"/>
      <c r="AD194"/>
      <c r="AE194" s="170"/>
      <c r="AF194" s="170"/>
      <c r="AG194" s="170"/>
      <c r="AH194"/>
      <c r="AI194" s="170"/>
      <c r="AJ194" s="171"/>
      <c r="AK194" s="170"/>
      <c r="AL194"/>
      <c r="AM194" s="170"/>
      <c r="AN194" s="170"/>
      <c r="AO194" s="170"/>
      <c r="AP194"/>
      <c r="AQ194" s="170"/>
      <c r="AR194" s="170"/>
      <c r="AS194" s="174"/>
      <c r="AT194"/>
      <c r="AU194" s="170"/>
      <c r="AV194" s="170"/>
      <c r="AW194" s="170"/>
    </row>
    <row r="195" spans="2:49" hidden="1" x14ac:dyDescent="0.25">
      <c r="B195"/>
      <c r="C195" s="170"/>
      <c r="D195" s="171"/>
      <c r="E195" s="170"/>
      <c r="F195"/>
      <c r="G195" s="172"/>
      <c r="H195" s="173"/>
      <c r="I195" s="172"/>
      <c r="J195"/>
      <c r="K195" s="170"/>
      <c r="L195" s="171"/>
      <c r="M195" s="170"/>
      <c r="N195"/>
      <c r="O195" s="170"/>
      <c r="P195" s="171"/>
      <c r="Q195" s="170"/>
      <c r="R195"/>
      <c r="S195" s="170"/>
      <c r="T195" s="171"/>
      <c r="U195" s="170"/>
      <c r="V195"/>
      <c r="W195" s="170"/>
      <c r="X195" s="170"/>
      <c r="Y195" s="174"/>
      <c r="Z195"/>
      <c r="AA195" s="170"/>
      <c r="AB195" s="171"/>
      <c r="AC195" s="174"/>
      <c r="AD195"/>
      <c r="AE195" s="170"/>
      <c r="AF195" s="170"/>
      <c r="AG195" s="170"/>
      <c r="AH195"/>
      <c r="AI195" s="170"/>
      <c r="AJ195" s="171"/>
      <c r="AK195" s="170"/>
      <c r="AL195"/>
      <c r="AM195" s="170"/>
      <c r="AN195" s="170"/>
      <c r="AO195" s="170"/>
      <c r="AP195"/>
      <c r="AQ195" s="170"/>
      <c r="AR195" s="170"/>
      <c r="AS195" s="174"/>
      <c r="AT195"/>
      <c r="AU195" s="170"/>
      <c r="AV195" s="170"/>
      <c r="AW195" s="170"/>
    </row>
    <row r="196" spans="2:49" hidden="1" x14ac:dyDescent="0.25">
      <c r="B196"/>
      <c r="C196" s="170"/>
      <c r="D196" s="171"/>
      <c r="E196" s="170"/>
      <c r="F196"/>
      <c r="G196" s="172"/>
      <c r="H196" s="173"/>
      <c r="I196" s="172"/>
      <c r="J196"/>
      <c r="K196" s="170"/>
      <c r="L196" s="171"/>
      <c r="M196" s="170"/>
      <c r="N196"/>
      <c r="O196" s="170"/>
      <c r="P196" s="171"/>
      <c r="Q196" s="170"/>
      <c r="R196"/>
      <c r="S196" s="170"/>
      <c r="T196" s="171"/>
      <c r="U196" s="170"/>
      <c r="V196"/>
      <c r="W196" s="170"/>
      <c r="X196" s="170"/>
      <c r="Y196" s="174"/>
      <c r="Z196"/>
      <c r="AA196" s="170"/>
      <c r="AB196" s="171"/>
      <c r="AC196" s="174"/>
      <c r="AD196"/>
      <c r="AE196" s="170"/>
      <c r="AF196" s="170"/>
      <c r="AG196" s="170"/>
      <c r="AH196"/>
      <c r="AI196" s="170"/>
      <c r="AJ196" s="171"/>
      <c r="AK196" s="170"/>
      <c r="AL196"/>
      <c r="AM196" s="170"/>
      <c r="AN196" s="170"/>
      <c r="AO196" s="170"/>
      <c r="AP196"/>
      <c r="AQ196" s="170"/>
      <c r="AR196" s="170"/>
      <c r="AS196" s="174"/>
      <c r="AT196"/>
      <c r="AU196" s="170"/>
      <c r="AV196" s="170"/>
      <c r="AW196" s="170"/>
    </row>
    <row r="197" spans="2:49" hidden="1" x14ac:dyDescent="0.25">
      <c r="B197"/>
      <c r="C197" s="170"/>
      <c r="D197" s="171"/>
      <c r="E197" s="170"/>
      <c r="F197"/>
      <c r="G197" s="172"/>
      <c r="H197" s="173"/>
      <c r="I197" s="172"/>
      <c r="J197"/>
      <c r="K197" s="170"/>
      <c r="L197" s="171"/>
      <c r="M197" s="170"/>
      <c r="N197"/>
      <c r="O197" s="170"/>
      <c r="P197" s="171"/>
      <c r="Q197" s="170"/>
      <c r="R197"/>
      <c r="S197" s="170"/>
      <c r="T197" s="171"/>
      <c r="U197" s="170"/>
      <c r="V197"/>
      <c r="W197" s="170"/>
      <c r="X197" s="170"/>
      <c r="Y197" s="174"/>
      <c r="Z197"/>
      <c r="AA197" s="170"/>
      <c r="AB197" s="171"/>
      <c r="AC197" s="174"/>
      <c r="AD197"/>
      <c r="AE197" s="170"/>
      <c r="AF197" s="170"/>
      <c r="AG197" s="170"/>
      <c r="AH197"/>
      <c r="AI197" s="170"/>
      <c r="AJ197" s="171"/>
      <c r="AK197" s="170"/>
      <c r="AL197"/>
      <c r="AM197" s="170"/>
      <c r="AN197" s="170"/>
      <c r="AO197" s="170"/>
      <c r="AP197"/>
      <c r="AQ197" s="170"/>
      <c r="AR197" s="170"/>
      <c r="AS197" s="174"/>
      <c r="AT197"/>
      <c r="AU197" s="170"/>
      <c r="AV197" s="170"/>
      <c r="AW197" s="170"/>
    </row>
    <row r="198" spans="2:49" hidden="1" x14ac:dyDescent="0.25">
      <c r="B198"/>
      <c r="C198" s="170"/>
      <c r="D198" s="171"/>
      <c r="E198" s="170"/>
      <c r="F198"/>
      <c r="G198" s="172"/>
      <c r="H198" s="173"/>
      <c r="I198" s="172"/>
      <c r="J198"/>
      <c r="K198" s="170"/>
      <c r="L198" s="171"/>
      <c r="M198" s="170"/>
      <c r="N198"/>
      <c r="O198" s="170"/>
      <c r="P198" s="171"/>
      <c r="Q198" s="170"/>
      <c r="R198"/>
      <c r="S198" s="170"/>
      <c r="T198" s="171"/>
      <c r="U198" s="170"/>
      <c r="V198"/>
      <c r="W198" s="170"/>
      <c r="X198" s="170"/>
      <c r="Y198" s="174"/>
      <c r="Z198"/>
      <c r="AA198" s="170"/>
      <c r="AB198" s="171"/>
      <c r="AC198" s="174"/>
      <c r="AD198"/>
      <c r="AE198" s="170"/>
      <c r="AF198" s="170"/>
      <c r="AG198" s="170"/>
      <c r="AH198"/>
      <c r="AI198" s="170"/>
      <c r="AJ198" s="171"/>
      <c r="AK198" s="170"/>
      <c r="AL198"/>
      <c r="AM198" s="170"/>
      <c r="AN198" s="170"/>
      <c r="AO198" s="170"/>
      <c r="AP198"/>
      <c r="AQ198" s="170"/>
      <c r="AR198" s="170"/>
      <c r="AS198" s="174"/>
      <c r="AT198"/>
      <c r="AU198" s="170"/>
      <c r="AV198" s="170"/>
      <c r="AW198" s="170"/>
    </row>
    <row r="199" spans="2:49" hidden="1" x14ac:dyDescent="0.25">
      <c r="B199"/>
      <c r="C199" s="170"/>
      <c r="D199" s="171"/>
      <c r="E199" s="170"/>
      <c r="F199"/>
      <c r="G199" s="172"/>
      <c r="H199" s="173"/>
      <c r="I199" s="172"/>
      <c r="J199"/>
      <c r="K199" s="170"/>
      <c r="L199" s="171"/>
      <c r="M199" s="170"/>
      <c r="N199"/>
      <c r="O199" s="170"/>
      <c r="P199" s="171"/>
      <c r="Q199" s="170"/>
      <c r="R199"/>
      <c r="S199" s="170"/>
      <c r="T199" s="171"/>
      <c r="U199" s="170"/>
      <c r="V199"/>
      <c r="W199" s="170"/>
      <c r="X199" s="170"/>
      <c r="Y199" s="174"/>
      <c r="Z199"/>
      <c r="AA199" s="170"/>
      <c r="AB199" s="171"/>
      <c r="AC199" s="174"/>
      <c r="AD199"/>
      <c r="AE199" s="170"/>
      <c r="AF199" s="170"/>
      <c r="AG199" s="170"/>
      <c r="AH199"/>
      <c r="AI199" s="170"/>
      <c r="AJ199" s="171"/>
      <c r="AK199" s="170"/>
      <c r="AL199"/>
      <c r="AM199" s="170"/>
      <c r="AN199" s="170"/>
      <c r="AO199" s="170"/>
      <c r="AP199"/>
      <c r="AQ199" s="170"/>
      <c r="AR199" s="170"/>
      <c r="AS199" s="174"/>
      <c r="AT199"/>
      <c r="AU199" s="170"/>
      <c r="AV199" s="170"/>
      <c r="AW199" s="170"/>
    </row>
    <row r="200" spans="2:49" hidden="1" x14ac:dyDescent="0.25">
      <c r="B200"/>
      <c r="C200" s="170"/>
      <c r="D200" s="171"/>
      <c r="E200" s="170"/>
      <c r="F200"/>
      <c r="G200" s="172"/>
      <c r="H200" s="173"/>
      <c r="I200" s="172"/>
      <c r="J200"/>
      <c r="K200" s="170"/>
      <c r="L200" s="171"/>
      <c r="M200" s="170"/>
      <c r="N200"/>
      <c r="O200" s="170"/>
      <c r="P200" s="171"/>
      <c r="Q200" s="170"/>
      <c r="R200"/>
      <c r="S200" s="170"/>
      <c r="T200" s="171"/>
      <c r="U200" s="170"/>
      <c r="V200"/>
      <c r="W200" s="170"/>
      <c r="X200" s="170"/>
      <c r="Y200" s="174"/>
      <c r="Z200"/>
      <c r="AA200" s="170"/>
      <c r="AB200" s="171"/>
      <c r="AC200" s="174"/>
      <c r="AD200"/>
      <c r="AE200" s="170"/>
      <c r="AF200" s="170"/>
      <c r="AG200" s="170"/>
      <c r="AH200"/>
      <c r="AI200" s="170"/>
      <c r="AJ200" s="171"/>
      <c r="AK200" s="170"/>
      <c r="AL200"/>
      <c r="AM200" s="170"/>
      <c r="AN200" s="170"/>
      <c r="AO200" s="170"/>
      <c r="AP200"/>
      <c r="AQ200" s="170"/>
      <c r="AR200" s="170"/>
      <c r="AS200" s="174"/>
      <c r="AT200"/>
      <c r="AU200" s="170"/>
      <c r="AV200" s="170"/>
      <c r="AW200" s="170"/>
    </row>
    <row r="201" spans="2:49" hidden="1" x14ac:dyDescent="0.25">
      <c r="B201"/>
      <c r="C201" s="170"/>
      <c r="D201" s="171"/>
      <c r="E201" s="170"/>
      <c r="F201"/>
      <c r="G201" s="172"/>
      <c r="H201" s="173"/>
      <c r="I201" s="172"/>
      <c r="J201"/>
      <c r="K201" s="170"/>
      <c r="L201" s="171"/>
      <c r="M201" s="170"/>
      <c r="N201"/>
      <c r="O201" s="170"/>
      <c r="P201" s="171"/>
      <c r="Q201" s="170"/>
      <c r="R201"/>
      <c r="S201" s="170"/>
      <c r="T201" s="171"/>
      <c r="U201" s="170"/>
      <c r="V201"/>
      <c r="W201" s="170"/>
      <c r="X201" s="170"/>
      <c r="Y201" s="174"/>
      <c r="Z201"/>
      <c r="AA201" s="170"/>
      <c r="AB201" s="171"/>
      <c r="AC201" s="174"/>
      <c r="AD201"/>
      <c r="AE201" s="170"/>
      <c r="AF201" s="170"/>
      <c r="AG201" s="170"/>
      <c r="AH201"/>
      <c r="AI201" s="170"/>
      <c r="AJ201" s="171"/>
      <c r="AK201" s="170"/>
      <c r="AL201"/>
      <c r="AM201" s="170"/>
      <c r="AN201" s="170"/>
      <c r="AO201" s="170"/>
      <c r="AP201"/>
      <c r="AQ201" s="170"/>
      <c r="AR201" s="170"/>
      <c r="AS201" s="174"/>
      <c r="AT201"/>
      <c r="AU201" s="170"/>
      <c r="AV201" s="170"/>
      <c r="AW201" s="170"/>
    </row>
    <row r="202" spans="2:49" hidden="1" x14ac:dyDescent="0.25">
      <c r="B202"/>
      <c r="C202" s="170"/>
      <c r="D202" s="171"/>
      <c r="E202" s="170"/>
      <c r="F202"/>
      <c r="G202" s="172"/>
      <c r="H202" s="173"/>
      <c r="I202" s="172"/>
      <c r="J202"/>
      <c r="K202" s="170"/>
      <c r="L202" s="171"/>
      <c r="M202" s="170"/>
      <c r="N202"/>
      <c r="O202" s="170"/>
      <c r="P202" s="171"/>
      <c r="Q202" s="170"/>
      <c r="R202"/>
      <c r="S202" s="170"/>
      <c r="T202" s="171"/>
      <c r="U202" s="170"/>
      <c r="V202"/>
      <c r="W202" s="170"/>
      <c r="X202" s="170"/>
      <c r="Y202" s="174"/>
      <c r="Z202"/>
      <c r="AA202" s="170"/>
      <c r="AB202" s="171"/>
      <c r="AC202" s="174"/>
      <c r="AD202"/>
      <c r="AE202" s="170"/>
      <c r="AF202" s="170"/>
      <c r="AG202" s="170"/>
      <c r="AH202"/>
      <c r="AI202" s="170"/>
      <c r="AJ202" s="171"/>
      <c r="AK202" s="170"/>
      <c r="AL202"/>
      <c r="AM202" s="170"/>
      <c r="AN202" s="170"/>
      <c r="AO202" s="170"/>
      <c r="AP202"/>
      <c r="AQ202" s="170"/>
      <c r="AR202" s="170"/>
      <c r="AS202" s="174"/>
      <c r="AT202"/>
      <c r="AU202" s="170"/>
      <c r="AV202" s="170"/>
      <c r="AW202" s="170"/>
    </row>
    <row r="203" spans="2:49" hidden="1" x14ac:dyDescent="0.25">
      <c r="B203"/>
      <c r="C203" s="170"/>
      <c r="D203" s="171"/>
      <c r="E203" s="170"/>
      <c r="F203"/>
      <c r="G203" s="172"/>
      <c r="H203" s="173"/>
      <c r="I203" s="172"/>
      <c r="J203"/>
      <c r="K203" s="170"/>
      <c r="L203" s="171"/>
      <c r="M203" s="170"/>
      <c r="N203"/>
      <c r="O203" s="170"/>
      <c r="P203" s="171"/>
      <c r="Q203" s="170"/>
      <c r="R203"/>
      <c r="S203" s="170"/>
      <c r="T203" s="171"/>
      <c r="U203" s="170"/>
      <c r="V203"/>
      <c r="W203" s="170"/>
      <c r="X203" s="170"/>
      <c r="Y203" s="174"/>
      <c r="Z203"/>
      <c r="AA203" s="170"/>
      <c r="AB203" s="171"/>
      <c r="AC203" s="174"/>
      <c r="AD203"/>
      <c r="AE203" s="170"/>
      <c r="AF203" s="170"/>
      <c r="AG203" s="170"/>
      <c r="AH203"/>
      <c r="AI203" s="170"/>
      <c r="AJ203" s="171"/>
      <c r="AK203" s="170"/>
      <c r="AL203"/>
      <c r="AM203" s="170"/>
      <c r="AN203" s="170"/>
      <c r="AO203" s="170"/>
      <c r="AP203"/>
      <c r="AQ203" s="170"/>
      <c r="AR203" s="170"/>
      <c r="AS203" s="174"/>
      <c r="AT203"/>
      <c r="AU203" s="170"/>
      <c r="AV203" s="170"/>
      <c r="AW203" s="170"/>
    </row>
    <row r="204" spans="2:49" hidden="1" x14ac:dyDescent="0.25">
      <c r="B204"/>
      <c r="C204" s="170"/>
      <c r="D204" s="171"/>
      <c r="E204" s="170"/>
      <c r="F204"/>
      <c r="G204" s="172"/>
      <c r="H204" s="173"/>
      <c r="I204" s="172"/>
      <c r="J204"/>
      <c r="K204" s="170"/>
      <c r="L204" s="171"/>
      <c r="M204" s="170"/>
      <c r="N204"/>
      <c r="O204" s="170"/>
      <c r="P204" s="171"/>
      <c r="Q204" s="170"/>
      <c r="R204"/>
      <c r="S204" s="170"/>
      <c r="T204" s="171"/>
      <c r="U204" s="170"/>
      <c r="V204"/>
      <c r="W204" s="170"/>
      <c r="X204" s="170"/>
      <c r="Y204" s="174"/>
      <c r="Z204"/>
      <c r="AA204" s="170"/>
      <c r="AB204" s="171"/>
      <c r="AC204" s="174"/>
      <c r="AD204"/>
      <c r="AE204" s="170"/>
      <c r="AF204" s="170"/>
      <c r="AG204" s="170"/>
      <c r="AH204"/>
      <c r="AI204" s="170"/>
      <c r="AJ204" s="171"/>
      <c r="AK204" s="170"/>
      <c r="AL204"/>
      <c r="AM204" s="170"/>
      <c r="AN204" s="170"/>
      <c r="AO204" s="170"/>
      <c r="AP204"/>
      <c r="AQ204" s="170"/>
      <c r="AR204" s="170"/>
      <c r="AS204" s="174"/>
      <c r="AT204"/>
      <c r="AU204" s="170"/>
      <c r="AV204" s="170"/>
      <c r="AW204" s="170"/>
    </row>
    <row r="205" spans="2:49" hidden="1" x14ac:dyDescent="0.25">
      <c r="B205"/>
      <c r="C205" s="170"/>
      <c r="D205" s="171"/>
      <c r="E205" s="170"/>
      <c r="F205"/>
      <c r="G205" s="172"/>
      <c r="H205" s="173"/>
      <c r="I205" s="172"/>
      <c r="J205"/>
      <c r="K205" s="170"/>
      <c r="L205" s="171"/>
      <c r="M205" s="170"/>
      <c r="N205"/>
      <c r="O205" s="170"/>
      <c r="P205" s="171"/>
      <c r="Q205" s="170"/>
      <c r="R205"/>
      <c r="S205" s="170"/>
      <c r="T205" s="171"/>
      <c r="U205" s="170"/>
      <c r="V205"/>
      <c r="W205" s="170"/>
      <c r="X205" s="170"/>
      <c r="Y205" s="174"/>
      <c r="Z205"/>
      <c r="AA205" s="170"/>
      <c r="AB205" s="171"/>
      <c r="AC205" s="174"/>
      <c r="AD205"/>
      <c r="AE205" s="170"/>
      <c r="AF205" s="170"/>
      <c r="AG205" s="170"/>
      <c r="AH205"/>
      <c r="AI205" s="170"/>
      <c r="AJ205" s="171"/>
      <c r="AK205" s="170"/>
      <c r="AL205"/>
      <c r="AM205" s="170"/>
      <c r="AN205" s="170"/>
      <c r="AO205" s="170"/>
      <c r="AP205"/>
      <c r="AQ205" s="170"/>
      <c r="AR205" s="170"/>
      <c r="AS205" s="174"/>
      <c r="AT205"/>
      <c r="AU205" s="170"/>
      <c r="AV205" s="170"/>
      <c r="AW205" s="170"/>
    </row>
    <row r="206" spans="2:49" hidden="1" x14ac:dyDescent="0.25">
      <c r="B206"/>
      <c r="C206" s="170"/>
      <c r="D206" s="171"/>
      <c r="E206" s="170"/>
      <c r="F206"/>
      <c r="G206" s="172"/>
      <c r="H206" s="173"/>
      <c r="I206" s="172"/>
      <c r="J206"/>
      <c r="K206" s="170"/>
      <c r="L206" s="171"/>
      <c r="M206" s="170"/>
      <c r="N206"/>
      <c r="O206" s="170"/>
      <c r="P206" s="171"/>
      <c r="Q206" s="170"/>
      <c r="R206"/>
      <c r="S206" s="170"/>
      <c r="T206" s="171"/>
      <c r="U206" s="170"/>
      <c r="V206"/>
      <c r="W206" s="170"/>
      <c r="X206" s="170"/>
      <c r="Y206" s="174"/>
      <c r="Z206"/>
      <c r="AA206" s="170"/>
      <c r="AB206" s="171"/>
      <c r="AC206" s="174"/>
      <c r="AD206"/>
      <c r="AE206" s="170"/>
      <c r="AF206" s="170"/>
      <c r="AG206" s="170"/>
      <c r="AH206"/>
      <c r="AI206" s="170"/>
      <c r="AJ206" s="171"/>
      <c r="AK206" s="170"/>
      <c r="AL206"/>
      <c r="AM206" s="170"/>
      <c r="AN206" s="170"/>
      <c r="AO206" s="170"/>
      <c r="AP206"/>
      <c r="AQ206" s="170"/>
      <c r="AR206" s="170"/>
      <c r="AS206" s="174"/>
      <c r="AT206"/>
      <c r="AU206" s="170"/>
      <c r="AV206" s="170"/>
      <c r="AW206" s="170"/>
    </row>
    <row r="207" spans="2:49" hidden="1" x14ac:dyDescent="0.25">
      <c r="B207"/>
      <c r="C207" s="170"/>
      <c r="D207" s="171"/>
      <c r="E207" s="170"/>
      <c r="F207"/>
      <c r="G207" s="172"/>
      <c r="H207" s="173"/>
      <c r="I207" s="172"/>
      <c r="J207"/>
      <c r="K207" s="170"/>
      <c r="L207" s="171"/>
      <c r="M207" s="170"/>
      <c r="N207"/>
      <c r="O207" s="170"/>
      <c r="P207" s="171"/>
      <c r="Q207" s="170"/>
      <c r="R207"/>
      <c r="S207" s="170"/>
      <c r="T207" s="171"/>
      <c r="U207" s="170"/>
      <c r="V207"/>
      <c r="W207" s="170"/>
      <c r="X207" s="170"/>
      <c r="Y207" s="174"/>
      <c r="Z207"/>
      <c r="AA207" s="170"/>
      <c r="AB207" s="171"/>
      <c r="AC207" s="174"/>
      <c r="AD207"/>
      <c r="AE207" s="170"/>
      <c r="AF207" s="170"/>
      <c r="AG207" s="170"/>
      <c r="AH207"/>
      <c r="AI207" s="170"/>
      <c r="AJ207" s="171"/>
      <c r="AK207" s="170"/>
      <c r="AL207"/>
      <c r="AM207" s="170"/>
      <c r="AN207" s="170"/>
      <c r="AO207" s="170"/>
      <c r="AP207"/>
      <c r="AQ207" s="170"/>
      <c r="AR207" s="170"/>
      <c r="AS207" s="174"/>
      <c r="AT207"/>
      <c r="AU207" s="170"/>
      <c r="AV207" s="170"/>
      <c r="AW207" s="170"/>
    </row>
    <row r="208" spans="2:49" hidden="1" x14ac:dyDescent="0.25">
      <c r="B208"/>
      <c r="C208" s="170"/>
      <c r="D208" s="171"/>
      <c r="E208" s="170"/>
      <c r="F208"/>
      <c r="G208" s="172"/>
      <c r="H208" s="173"/>
      <c r="I208" s="172"/>
      <c r="J208"/>
      <c r="K208" s="170"/>
      <c r="L208" s="171"/>
      <c r="M208" s="170"/>
      <c r="N208"/>
      <c r="O208" s="170"/>
      <c r="P208" s="171"/>
      <c r="Q208" s="170"/>
      <c r="R208"/>
      <c r="S208" s="170"/>
      <c r="T208" s="171"/>
      <c r="U208" s="170"/>
      <c r="V208"/>
      <c r="W208" s="170"/>
      <c r="X208" s="170"/>
      <c r="Y208" s="174"/>
      <c r="Z208"/>
      <c r="AA208" s="170"/>
      <c r="AB208" s="171"/>
      <c r="AC208" s="174"/>
      <c r="AD208"/>
      <c r="AE208" s="170"/>
      <c r="AF208" s="170"/>
      <c r="AG208" s="170"/>
      <c r="AH208"/>
      <c r="AI208" s="170"/>
      <c r="AJ208" s="171"/>
      <c r="AK208" s="170"/>
      <c r="AL208"/>
      <c r="AM208" s="170"/>
      <c r="AN208" s="170"/>
      <c r="AO208" s="170"/>
      <c r="AP208"/>
      <c r="AQ208" s="170"/>
      <c r="AR208" s="170"/>
      <c r="AS208" s="174"/>
      <c r="AT208"/>
      <c r="AU208" s="170"/>
      <c r="AV208" s="170"/>
      <c r="AW208" s="170"/>
    </row>
    <row r="209" spans="2:49" hidden="1" x14ac:dyDescent="0.25">
      <c r="B209"/>
      <c r="C209" s="170"/>
      <c r="D209" s="171"/>
      <c r="E209" s="170"/>
      <c r="F209"/>
      <c r="G209" s="172"/>
      <c r="H209" s="173"/>
      <c r="I209" s="172"/>
      <c r="J209"/>
      <c r="K209" s="170"/>
      <c r="L209" s="171"/>
      <c r="M209" s="170"/>
      <c r="N209"/>
      <c r="O209" s="170"/>
      <c r="P209" s="171"/>
      <c r="Q209" s="170"/>
      <c r="R209"/>
      <c r="S209" s="170"/>
      <c r="T209" s="171"/>
      <c r="U209" s="170"/>
      <c r="V209"/>
      <c r="W209" s="170"/>
      <c r="X209" s="170"/>
      <c r="Y209" s="174"/>
      <c r="Z209"/>
      <c r="AA209" s="170"/>
      <c r="AB209" s="171"/>
      <c r="AC209" s="174"/>
      <c r="AD209"/>
      <c r="AE209" s="170"/>
      <c r="AF209" s="170"/>
      <c r="AG209" s="170"/>
      <c r="AH209"/>
      <c r="AI209" s="170"/>
      <c r="AJ209" s="171"/>
      <c r="AK209" s="170"/>
      <c r="AL209"/>
      <c r="AM209" s="170"/>
      <c r="AN209" s="170"/>
      <c r="AO209" s="170"/>
      <c r="AP209"/>
      <c r="AQ209" s="170"/>
      <c r="AR209" s="170"/>
      <c r="AS209" s="174"/>
      <c r="AT209"/>
      <c r="AU209" s="170"/>
      <c r="AV209" s="170"/>
      <c r="AW209" s="170"/>
    </row>
    <row r="210" spans="2:49" hidden="1" x14ac:dyDescent="0.25">
      <c r="B210"/>
      <c r="C210" s="170"/>
      <c r="D210" s="171"/>
      <c r="E210" s="170"/>
      <c r="F210"/>
      <c r="G210" s="172"/>
      <c r="H210" s="173"/>
      <c r="I210" s="172"/>
      <c r="J210"/>
      <c r="K210" s="170"/>
      <c r="L210" s="171"/>
      <c r="M210" s="170"/>
      <c r="N210"/>
      <c r="O210" s="170"/>
      <c r="P210" s="171"/>
      <c r="Q210" s="170"/>
      <c r="R210"/>
      <c r="S210" s="170"/>
      <c r="T210" s="171"/>
      <c r="U210" s="170"/>
      <c r="V210"/>
      <c r="W210" s="170"/>
      <c r="X210" s="170"/>
      <c r="Y210" s="174"/>
      <c r="Z210"/>
      <c r="AA210" s="170"/>
      <c r="AB210" s="171"/>
      <c r="AC210" s="174"/>
      <c r="AD210"/>
      <c r="AE210" s="170"/>
      <c r="AF210" s="170"/>
      <c r="AG210" s="170"/>
      <c r="AH210"/>
      <c r="AI210" s="170"/>
      <c r="AJ210" s="171"/>
      <c r="AK210" s="170"/>
      <c r="AL210"/>
      <c r="AM210" s="170"/>
      <c r="AN210" s="170"/>
      <c r="AO210" s="170"/>
      <c r="AP210"/>
      <c r="AQ210" s="170"/>
      <c r="AR210" s="170"/>
      <c r="AS210" s="174"/>
      <c r="AT210"/>
      <c r="AU210" s="170"/>
      <c r="AV210" s="170"/>
      <c r="AW210" s="170"/>
    </row>
    <row r="211" spans="2:49" hidden="1" x14ac:dyDescent="0.25">
      <c r="B211"/>
      <c r="C211" s="170"/>
      <c r="D211" s="171"/>
      <c r="E211" s="170"/>
      <c r="F211"/>
      <c r="G211" s="172"/>
      <c r="H211" s="173"/>
      <c r="I211" s="172"/>
      <c r="J211"/>
      <c r="K211" s="170"/>
      <c r="L211" s="171"/>
      <c r="M211" s="170"/>
      <c r="N211"/>
      <c r="O211" s="170"/>
      <c r="P211" s="171"/>
      <c r="Q211" s="170"/>
      <c r="R211"/>
      <c r="S211" s="170"/>
      <c r="T211" s="171"/>
      <c r="U211" s="170"/>
      <c r="V211"/>
      <c r="W211" s="170"/>
      <c r="X211" s="170"/>
      <c r="Y211" s="174"/>
      <c r="Z211"/>
      <c r="AA211" s="170"/>
      <c r="AB211" s="171"/>
      <c r="AC211" s="174"/>
      <c r="AD211"/>
      <c r="AE211" s="170"/>
      <c r="AF211" s="170"/>
      <c r="AG211" s="170"/>
      <c r="AH211"/>
      <c r="AI211" s="170"/>
      <c r="AJ211" s="171"/>
      <c r="AK211" s="170"/>
      <c r="AL211"/>
      <c r="AM211" s="170"/>
      <c r="AN211" s="170"/>
      <c r="AO211" s="170"/>
      <c r="AP211"/>
      <c r="AQ211" s="170"/>
      <c r="AR211" s="170"/>
      <c r="AS211" s="174"/>
      <c r="AT211"/>
      <c r="AU211" s="170"/>
      <c r="AV211" s="170"/>
      <c r="AW211" s="170"/>
    </row>
    <row r="212" spans="2:49" hidden="1" x14ac:dyDescent="0.25">
      <c r="B212"/>
      <c r="C212" s="170"/>
      <c r="D212" s="171"/>
      <c r="E212" s="170"/>
      <c r="F212"/>
      <c r="G212" s="172"/>
      <c r="H212" s="173"/>
      <c r="I212" s="172"/>
      <c r="J212"/>
      <c r="K212" s="170"/>
      <c r="L212" s="171"/>
      <c r="M212" s="170"/>
      <c r="N212"/>
      <c r="O212" s="170"/>
      <c r="P212" s="171"/>
      <c r="Q212" s="170"/>
      <c r="R212"/>
      <c r="S212" s="170"/>
      <c r="T212" s="171"/>
      <c r="U212" s="170"/>
      <c r="V212"/>
      <c r="W212" s="170"/>
      <c r="X212" s="170"/>
      <c r="Y212" s="174"/>
      <c r="Z212"/>
      <c r="AA212" s="170"/>
      <c r="AB212" s="171"/>
      <c r="AC212" s="174"/>
      <c r="AD212"/>
      <c r="AE212" s="170"/>
      <c r="AF212" s="170"/>
      <c r="AG212" s="170"/>
      <c r="AH212"/>
      <c r="AI212" s="170"/>
      <c r="AJ212" s="171"/>
      <c r="AK212" s="170"/>
      <c r="AL212"/>
      <c r="AM212" s="170"/>
      <c r="AN212" s="170"/>
      <c r="AO212" s="170"/>
      <c r="AP212"/>
      <c r="AQ212" s="170"/>
      <c r="AR212" s="170"/>
      <c r="AS212" s="174"/>
      <c r="AT212"/>
      <c r="AU212" s="170"/>
      <c r="AV212" s="170"/>
      <c r="AW212" s="170"/>
    </row>
    <row r="213" spans="2:49" hidden="1" x14ac:dyDescent="0.25">
      <c r="B213"/>
      <c r="C213" s="170"/>
      <c r="D213" s="171"/>
      <c r="E213" s="170"/>
      <c r="F213"/>
      <c r="G213" s="172"/>
      <c r="H213" s="173"/>
      <c r="I213" s="172"/>
      <c r="J213"/>
      <c r="K213" s="170"/>
      <c r="L213" s="171"/>
      <c r="M213" s="170"/>
      <c r="N213"/>
      <c r="O213" s="170"/>
      <c r="P213" s="171"/>
      <c r="Q213" s="170"/>
      <c r="R213"/>
      <c r="S213" s="170"/>
      <c r="T213" s="171"/>
      <c r="U213" s="170"/>
      <c r="V213"/>
      <c r="W213" s="170"/>
      <c r="X213" s="170"/>
      <c r="Y213" s="174"/>
      <c r="Z213"/>
      <c r="AA213" s="170"/>
      <c r="AB213" s="171"/>
      <c r="AC213" s="174"/>
      <c r="AD213"/>
      <c r="AE213" s="170"/>
      <c r="AF213" s="170"/>
      <c r="AG213" s="170"/>
      <c r="AH213"/>
      <c r="AI213" s="170"/>
      <c r="AJ213" s="171"/>
      <c r="AK213" s="170"/>
      <c r="AL213"/>
      <c r="AM213" s="170"/>
      <c r="AN213" s="170"/>
      <c r="AO213" s="170"/>
      <c r="AP213"/>
      <c r="AQ213" s="170"/>
      <c r="AR213" s="170"/>
      <c r="AS213" s="174"/>
      <c r="AT213"/>
      <c r="AU213" s="170"/>
      <c r="AV213" s="170"/>
      <c r="AW213" s="170"/>
    </row>
    <row r="214" spans="2:49" hidden="1" x14ac:dyDescent="0.25">
      <c r="B214"/>
      <c r="C214" s="170"/>
      <c r="D214" s="171"/>
      <c r="E214" s="170"/>
      <c r="F214"/>
      <c r="G214" s="172"/>
      <c r="H214" s="173"/>
      <c r="I214" s="172"/>
      <c r="J214"/>
      <c r="K214" s="170"/>
      <c r="L214" s="171"/>
      <c r="M214" s="170"/>
      <c r="N214"/>
      <c r="O214" s="170"/>
      <c r="P214" s="171"/>
      <c r="Q214" s="170"/>
      <c r="R214"/>
      <c r="S214" s="170"/>
      <c r="T214" s="171"/>
      <c r="U214" s="170"/>
      <c r="V214"/>
      <c r="W214" s="170"/>
      <c r="X214" s="170"/>
      <c r="Y214" s="174"/>
      <c r="Z214"/>
      <c r="AA214" s="170"/>
      <c r="AB214" s="171"/>
      <c r="AC214" s="174"/>
      <c r="AD214"/>
      <c r="AE214" s="170"/>
      <c r="AF214" s="170"/>
      <c r="AG214" s="170"/>
      <c r="AH214"/>
      <c r="AI214" s="170"/>
      <c r="AJ214" s="171"/>
      <c r="AK214" s="170"/>
      <c r="AL214"/>
      <c r="AM214" s="170"/>
      <c r="AN214" s="170"/>
      <c r="AO214" s="170"/>
      <c r="AP214"/>
      <c r="AQ214" s="170"/>
      <c r="AR214" s="170"/>
      <c r="AS214" s="174"/>
      <c r="AT214"/>
      <c r="AU214" s="170"/>
      <c r="AV214" s="170"/>
      <c r="AW214" s="170"/>
    </row>
    <row r="215" spans="2:49" hidden="1" x14ac:dyDescent="0.25">
      <c r="B215"/>
      <c r="C215" s="170"/>
      <c r="D215" s="171"/>
      <c r="E215" s="170"/>
      <c r="F215"/>
      <c r="G215" s="172"/>
      <c r="H215" s="173"/>
      <c r="I215" s="172"/>
      <c r="J215"/>
      <c r="K215" s="170"/>
      <c r="L215" s="171"/>
      <c r="M215" s="170"/>
      <c r="N215"/>
      <c r="O215" s="170"/>
      <c r="P215" s="171"/>
      <c r="Q215" s="170"/>
      <c r="R215"/>
      <c r="S215" s="170"/>
      <c r="T215" s="171"/>
      <c r="U215" s="170"/>
      <c r="V215"/>
      <c r="W215" s="170"/>
      <c r="X215" s="170"/>
      <c r="Y215" s="174"/>
      <c r="Z215"/>
      <c r="AA215" s="170"/>
      <c r="AB215" s="171"/>
      <c r="AC215" s="174"/>
      <c r="AD215"/>
      <c r="AE215" s="170"/>
      <c r="AF215" s="170"/>
      <c r="AG215" s="170"/>
      <c r="AH215"/>
      <c r="AI215" s="170"/>
      <c r="AJ215" s="171"/>
      <c r="AK215" s="170"/>
      <c r="AL215"/>
      <c r="AM215" s="170"/>
      <c r="AN215" s="170"/>
      <c r="AO215" s="170"/>
      <c r="AP215"/>
      <c r="AQ215" s="170"/>
      <c r="AR215" s="170"/>
      <c r="AS215" s="174"/>
      <c r="AT215"/>
      <c r="AU215" s="170"/>
      <c r="AV215" s="170"/>
      <c r="AW215" s="170"/>
    </row>
    <row r="216" spans="2:49" hidden="1" x14ac:dyDescent="0.25">
      <c r="B216"/>
      <c r="C216" s="170"/>
      <c r="D216" s="171"/>
      <c r="E216" s="170"/>
      <c r="F216"/>
      <c r="G216" s="172"/>
      <c r="H216" s="173"/>
      <c r="I216" s="172"/>
      <c r="J216"/>
      <c r="K216" s="170"/>
      <c r="L216" s="171"/>
      <c r="M216" s="170"/>
      <c r="N216"/>
      <c r="O216" s="170"/>
      <c r="P216" s="171"/>
      <c r="Q216" s="170"/>
      <c r="R216"/>
      <c r="S216" s="170"/>
      <c r="T216" s="171"/>
      <c r="U216" s="170"/>
      <c r="V216"/>
      <c r="W216" s="170"/>
      <c r="X216" s="170"/>
      <c r="Y216" s="174"/>
      <c r="Z216"/>
      <c r="AA216" s="170"/>
      <c r="AB216" s="171"/>
      <c r="AC216" s="174"/>
      <c r="AD216"/>
      <c r="AE216" s="170"/>
      <c r="AF216" s="170"/>
      <c r="AG216" s="170"/>
      <c r="AH216"/>
      <c r="AI216" s="170"/>
      <c r="AJ216" s="171"/>
      <c r="AK216" s="170"/>
      <c r="AL216"/>
      <c r="AM216" s="170"/>
      <c r="AN216" s="170"/>
      <c r="AO216" s="170"/>
      <c r="AP216"/>
      <c r="AQ216" s="170"/>
      <c r="AR216" s="170"/>
      <c r="AS216" s="174"/>
      <c r="AT216"/>
      <c r="AU216" s="170"/>
      <c r="AV216" s="170"/>
      <c r="AW216" s="170"/>
    </row>
    <row r="217" spans="2:49" hidden="1" x14ac:dyDescent="0.25">
      <c r="B217"/>
      <c r="C217" s="170"/>
      <c r="D217" s="171"/>
      <c r="E217" s="170"/>
      <c r="F217"/>
      <c r="G217" s="172"/>
      <c r="H217" s="173"/>
      <c r="I217" s="172"/>
      <c r="J217"/>
      <c r="K217" s="170"/>
      <c r="L217" s="171"/>
      <c r="M217" s="170"/>
      <c r="N217"/>
      <c r="O217" s="170"/>
      <c r="P217" s="171"/>
      <c r="Q217" s="170"/>
      <c r="R217"/>
      <c r="S217" s="170"/>
      <c r="T217" s="171"/>
      <c r="U217" s="170"/>
      <c r="V217"/>
      <c r="W217" s="170"/>
      <c r="X217" s="170"/>
      <c r="Y217" s="174"/>
      <c r="Z217"/>
      <c r="AA217" s="170"/>
      <c r="AB217" s="171"/>
      <c r="AC217" s="174"/>
      <c r="AD217"/>
      <c r="AE217" s="170"/>
      <c r="AF217" s="170"/>
      <c r="AG217" s="170"/>
      <c r="AH217"/>
      <c r="AI217" s="170"/>
      <c r="AJ217" s="171"/>
      <c r="AK217" s="170"/>
      <c r="AL217"/>
      <c r="AM217" s="170"/>
      <c r="AN217" s="170"/>
      <c r="AO217" s="170"/>
      <c r="AP217"/>
      <c r="AQ217" s="170"/>
      <c r="AR217" s="170"/>
      <c r="AS217" s="174"/>
      <c r="AT217"/>
      <c r="AU217" s="170"/>
      <c r="AV217" s="170"/>
      <c r="AW217" s="170"/>
    </row>
    <row r="218" spans="2:49" hidden="1" x14ac:dyDescent="0.25">
      <c r="B218"/>
      <c r="C218" s="170"/>
      <c r="D218" s="171"/>
      <c r="E218" s="170"/>
      <c r="F218"/>
      <c r="G218" s="172"/>
      <c r="H218" s="173"/>
      <c r="I218" s="172"/>
      <c r="J218"/>
      <c r="K218" s="170"/>
      <c r="L218" s="171"/>
      <c r="M218" s="170"/>
      <c r="N218"/>
      <c r="O218" s="170"/>
      <c r="P218" s="171"/>
      <c r="Q218" s="170"/>
      <c r="R218"/>
      <c r="S218" s="170"/>
      <c r="T218" s="171"/>
      <c r="U218" s="170"/>
      <c r="V218"/>
      <c r="W218" s="170"/>
      <c r="X218" s="170"/>
      <c r="Y218" s="174"/>
      <c r="Z218"/>
      <c r="AA218" s="170"/>
      <c r="AB218" s="171"/>
      <c r="AC218" s="174"/>
      <c r="AD218"/>
      <c r="AE218" s="170"/>
      <c r="AF218" s="170"/>
      <c r="AG218" s="170"/>
      <c r="AH218"/>
      <c r="AI218" s="170"/>
      <c r="AJ218" s="171"/>
      <c r="AK218" s="170"/>
      <c r="AL218"/>
      <c r="AM218" s="170"/>
      <c r="AN218" s="170"/>
      <c r="AO218" s="170"/>
      <c r="AP218"/>
      <c r="AQ218" s="170"/>
      <c r="AR218" s="170"/>
      <c r="AS218" s="174"/>
      <c r="AT218"/>
      <c r="AU218" s="170"/>
      <c r="AV218" s="170"/>
      <c r="AW218" s="170"/>
    </row>
    <row r="219" spans="2:49" hidden="1" x14ac:dyDescent="0.25">
      <c r="B219"/>
      <c r="C219" s="170"/>
      <c r="D219" s="171"/>
      <c r="E219" s="170"/>
      <c r="F219"/>
      <c r="G219" s="172"/>
      <c r="H219" s="173"/>
      <c r="I219" s="172"/>
      <c r="J219"/>
      <c r="K219" s="170"/>
      <c r="L219" s="171"/>
      <c r="M219" s="170"/>
      <c r="N219"/>
      <c r="O219" s="170"/>
      <c r="P219" s="171"/>
      <c r="Q219" s="170"/>
      <c r="R219"/>
      <c r="S219" s="170"/>
      <c r="T219" s="171"/>
      <c r="U219" s="170"/>
      <c r="V219"/>
      <c r="W219" s="170"/>
      <c r="X219" s="170"/>
      <c r="Y219" s="174"/>
      <c r="Z219"/>
      <c r="AA219" s="170"/>
      <c r="AB219" s="171"/>
      <c r="AC219" s="174"/>
      <c r="AD219"/>
      <c r="AE219" s="170"/>
      <c r="AF219" s="170"/>
      <c r="AG219" s="170"/>
      <c r="AH219"/>
      <c r="AI219" s="170"/>
      <c r="AJ219" s="171"/>
      <c r="AK219" s="170"/>
      <c r="AL219"/>
      <c r="AM219" s="170"/>
      <c r="AN219" s="170"/>
      <c r="AO219" s="170"/>
      <c r="AP219"/>
      <c r="AQ219" s="170"/>
      <c r="AR219" s="170"/>
      <c r="AS219" s="174"/>
      <c r="AT219"/>
      <c r="AU219" s="170"/>
      <c r="AV219" s="170"/>
      <c r="AW219" s="170"/>
    </row>
    <row r="220" spans="2:49" hidden="1" x14ac:dyDescent="0.25">
      <c r="B220"/>
      <c r="C220" s="170"/>
      <c r="D220" s="171"/>
      <c r="E220" s="170"/>
      <c r="F220"/>
      <c r="G220" s="172"/>
      <c r="H220" s="173"/>
      <c r="I220" s="172"/>
      <c r="J220"/>
      <c r="K220" s="170"/>
      <c r="L220" s="171"/>
      <c r="M220" s="170"/>
      <c r="N220"/>
      <c r="O220" s="170"/>
      <c r="P220" s="171"/>
      <c r="Q220" s="170"/>
      <c r="R220"/>
      <c r="S220" s="170"/>
      <c r="T220" s="171"/>
      <c r="U220" s="170"/>
      <c r="V220"/>
      <c r="W220" s="170"/>
      <c r="X220" s="170"/>
      <c r="Y220" s="174"/>
      <c r="Z220"/>
      <c r="AA220" s="170"/>
      <c r="AB220" s="171"/>
      <c r="AC220" s="174"/>
      <c r="AD220"/>
      <c r="AE220" s="170"/>
      <c r="AF220" s="170"/>
      <c r="AG220" s="170"/>
      <c r="AH220"/>
      <c r="AI220" s="170"/>
      <c r="AJ220" s="171"/>
      <c r="AK220" s="170"/>
      <c r="AL220"/>
      <c r="AM220" s="170"/>
      <c r="AN220" s="170"/>
      <c r="AO220" s="170"/>
      <c r="AP220"/>
      <c r="AQ220" s="170"/>
      <c r="AR220" s="170"/>
      <c r="AS220" s="174"/>
      <c r="AT220"/>
      <c r="AU220" s="170"/>
      <c r="AV220" s="170"/>
      <c r="AW220" s="170"/>
    </row>
    <row r="221" spans="2:49" hidden="1" x14ac:dyDescent="0.25">
      <c r="B221"/>
      <c r="C221" s="170"/>
      <c r="D221" s="171"/>
      <c r="E221" s="170"/>
      <c r="F221"/>
      <c r="G221" s="172"/>
      <c r="H221" s="173"/>
      <c r="I221" s="172"/>
      <c r="J221"/>
      <c r="K221" s="170"/>
      <c r="L221" s="171"/>
      <c r="M221" s="170"/>
      <c r="N221"/>
      <c r="O221" s="170"/>
      <c r="P221" s="171"/>
      <c r="Q221" s="170"/>
      <c r="R221"/>
      <c r="S221" s="170"/>
      <c r="T221" s="171"/>
      <c r="U221" s="170"/>
      <c r="V221"/>
      <c r="W221" s="170"/>
      <c r="X221" s="170"/>
      <c r="Y221" s="174"/>
      <c r="Z221"/>
      <c r="AA221" s="170"/>
      <c r="AB221" s="171"/>
      <c r="AC221" s="174"/>
      <c r="AD221"/>
      <c r="AE221" s="170"/>
      <c r="AF221" s="170"/>
      <c r="AG221" s="170"/>
      <c r="AH221"/>
      <c r="AI221" s="170"/>
      <c r="AJ221" s="171"/>
      <c r="AK221" s="170"/>
      <c r="AL221"/>
      <c r="AM221" s="170"/>
      <c r="AN221" s="170"/>
      <c r="AO221" s="170"/>
      <c r="AP221"/>
      <c r="AQ221" s="170"/>
      <c r="AR221" s="170"/>
      <c r="AS221" s="174"/>
      <c r="AT221"/>
      <c r="AU221" s="170"/>
      <c r="AV221" s="170"/>
      <c r="AW221" s="170"/>
    </row>
    <row r="222" spans="2:49" hidden="1" x14ac:dyDescent="0.25">
      <c r="B222"/>
      <c r="C222" s="170"/>
      <c r="D222" s="171"/>
      <c r="E222" s="170"/>
      <c r="F222"/>
      <c r="G222" s="172"/>
      <c r="H222" s="173"/>
      <c r="I222" s="172"/>
      <c r="J222"/>
      <c r="K222" s="170"/>
      <c r="L222" s="171"/>
      <c r="M222" s="170"/>
      <c r="N222"/>
      <c r="O222" s="170"/>
      <c r="P222" s="171"/>
      <c r="Q222" s="170"/>
      <c r="R222"/>
      <c r="S222" s="170"/>
      <c r="T222" s="171"/>
      <c r="U222" s="170"/>
      <c r="V222"/>
      <c r="W222" s="170"/>
      <c r="X222" s="170"/>
      <c r="Y222" s="174"/>
      <c r="Z222"/>
      <c r="AA222" s="170"/>
      <c r="AB222" s="171"/>
      <c r="AC222" s="174"/>
      <c r="AD222"/>
      <c r="AE222" s="170"/>
      <c r="AF222" s="170"/>
      <c r="AG222" s="170"/>
      <c r="AH222"/>
      <c r="AI222" s="170"/>
      <c r="AJ222" s="171"/>
      <c r="AK222" s="170"/>
      <c r="AL222"/>
      <c r="AM222" s="170"/>
      <c r="AN222" s="170"/>
      <c r="AO222" s="170"/>
      <c r="AP222"/>
      <c r="AQ222" s="170"/>
      <c r="AR222" s="170"/>
      <c r="AS222" s="174"/>
      <c r="AT222"/>
      <c r="AU222" s="170"/>
      <c r="AV222" s="170"/>
      <c r="AW222" s="170"/>
    </row>
    <row r="223" spans="2:49" hidden="1" x14ac:dyDescent="0.25">
      <c r="B223"/>
      <c r="C223" s="170"/>
      <c r="D223" s="171"/>
      <c r="E223" s="170"/>
      <c r="F223"/>
      <c r="G223" s="172"/>
      <c r="H223" s="173"/>
      <c r="I223" s="172"/>
      <c r="J223"/>
      <c r="K223" s="170"/>
      <c r="L223" s="171"/>
      <c r="M223" s="170"/>
      <c r="N223"/>
      <c r="O223" s="170"/>
      <c r="P223" s="171"/>
      <c r="Q223" s="170"/>
      <c r="R223"/>
      <c r="S223" s="170"/>
      <c r="T223" s="171"/>
      <c r="U223" s="170"/>
      <c r="V223"/>
      <c r="W223" s="170"/>
      <c r="X223" s="170"/>
      <c r="Y223" s="174"/>
      <c r="Z223"/>
      <c r="AA223" s="170"/>
      <c r="AB223" s="171"/>
      <c r="AC223" s="174"/>
      <c r="AD223"/>
      <c r="AE223" s="170"/>
      <c r="AF223" s="170"/>
      <c r="AG223" s="170"/>
      <c r="AH223"/>
      <c r="AI223" s="170"/>
      <c r="AJ223" s="171"/>
      <c r="AK223" s="170"/>
      <c r="AL223"/>
      <c r="AM223" s="170"/>
      <c r="AN223" s="170"/>
      <c r="AO223" s="170"/>
      <c r="AP223"/>
      <c r="AQ223" s="170"/>
      <c r="AR223" s="170"/>
      <c r="AS223" s="174"/>
      <c r="AT223"/>
      <c r="AU223" s="170"/>
      <c r="AV223" s="170"/>
      <c r="AW223" s="170"/>
    </row>
    <row r="224" spans="2:49" hidden="1" x14ac:dyDescent="0.25">
      <c r="B224"/>
      <c r="C224" s="170"/>
      <c r="D224" s="171"/>
      <c r="E224" s="170"/>
      <c r="F224"/>
      <c r="G224" s="172"/>
      <c r="H224" s="173"/>
      <c r="I224" s="172"/>
      <c r="J224"/>
      <c r="K224" s="170"/>
      <c r="L224" s="171"/>
      <c r="M224" s="170"/>
      <c r="N224"/>
      <c r="O224" s="170"/>
      <c r="P224" s="171"/>
      <c r="Q224" s="170"/>
      <c r="R224"/>
      <c r="S224" s="170"/>
      <c r="T224" s="171"/>
      <c r="U224" s="170"/>
      <c r="V224"/>
      <c r="W224" s="170"/>
      <c r="X224" s="170"/>
      <c r="Y224" s="174"/>
      <c r="Z224"/>
      <c r="AA224" s="170"/>
      <c r="AB224" s="171"/>
      <c r="AC224" s="174"/>
      <c r="AD224"/>
      <c r="AE224" s="170"/>
      <c r="AF224" s="170"/>
      <c r="AG224" s="170"/>
      <c r="AH224"/>
      <c r="AI224" s="170"/>
      <c r="AJ224" s="171"/>
      <c r="AK224" s="170"/>
      <c r="AL224"/>
      <c r="AM224" s="170"/>
      <c r="AN224" s="170"/>
      <c r="AO224" s="170"/>
      <c r="AP224"/>
      <c r="AQ224" s="170"/>
      <c r="AR224" s="170"/>
      <c r="AS224" s="174"/>
      <c r="AT224"/>
      <c r="AU224" s="170"/>
      <c r="AV224" s="170"/>
      <c r="AW224" s="170"/>
    </row>
    <row r="225" spans="2:49" hidden="1" x14ac:dyDescent="0.25">
      <c r="B225"/>
      <c r="C225" s="170"/>
      <c r="D225" s="171"/>
      <c r="E225" s="170"/>
      <c r="F225"/>
      <c r="G225" s="172"/>
      <c r="H225" s="173"/>
      <c r="I225" s="172"/>
      <c r="J225"/>
      <c r="K225" s="170"/>
      <c r="L225" s="171"/>
      <c r="M225" s="170"/>
      <c r="N225"/>
      <c r="O225" s="170"/>
      <c r="P225" s="171"/>
      <c r="Q225" s="170"/>
      <c r="R225"/>
      <c r="S225" s="170"/>
      <c r="T225" s="171"/>
      <c r="U225" s="170"/>
      <c r="V225"/>
      <c r="W225" s="170"/>
      <c r="X225" s="170"/>
      <c r="Y225" s="174"/>
      <c r="Z225"/>
      <c r="AA225" s="170"/>
      <c r="AB225" s="171"/>
      <c r="AC225" s="174"/>
      <c r="AD225"/>
      <c r="AE225" s="170"/>
      <c r="AF225" s="170"/>
      <c r="AG225" s="170"/>
      <c r="AH225"/>
      <c r="AI225" s="170"/>
      <c r="AJ225" s="171"/>
      <c r="AK225" s="170"/>
      <c r="AL225"/>
      <c r="AM225" s="170"/>
      <c r="AN225" s="170"/>
      <c r="AO225" s="170"/>
      <c r="AP225"/>
      <c r="AQ225" s="170"/>
      <c r="AR225" s="170"/>
      <c r="AS225" s="174"/>
      <c r="AT225"/>
      <c r="AU225" s="170"/>
      <c r="AV225" s="170"/>
      <c r="AW225" s="170"/>
    </row>
    <row r="226" spans="2:49" hidden="1" x14ac:dyDescent="0.25">
      <c r="B226"/>
      <c r="C226" s="170"/>
      <c r="D226" s="171"/>
      <c r="E226" s="170"/>
      <c r="F226"/>
      <c r="G226" s="172"/>
      <c r="H226" s="173"/>
      <c r="I226" s="172"/>
      <c r="J226"/>
      <c r="K226" s="170"/>
      <c r="L226" s="171"/>
      <c r="M226" s="170"/>
      <c r="N226"/>
      <c r="O226" s="170"/>
      <c r="P226" s="171"/>
      <c r="Q226" s="170"/>
      <c r="R226"/>
      <c r="S226" s="170"/>
      <c r="T226" s="171"/>
      <c r="U226" s="170"/>
      <c r="V226"/>
      <c r="W226" s="170"/>
      <c r="X226" s="170"/>
      <c r="Y226" s="174"/>
      <c r="Z226"/>
      <c r="AA226" s="170"/>
      <c r="AB226" s="171"/>
      <c r="AC226" s="174"/>
      <c r="AD226"/>
      <c r="AE226" s="170"/>
      <c r="AF226" s="170"/>
      <c r="AG226" s="170"/>
      <c r="AH226"/>
      <c r="AI226" s="170"/>
      <c r="AJ226" s="171"/>
      <c r="AK226" s="170"/>
      <c r="AL226"/>
      <c r="AM226" s="170"/>
      <c r="AN226" s="170"/>
      <c r="AO226" s="170"/>
      <c r="AP226"/>
      <c r="AQ226" s="170"/>
      <c r="AR226" s="170"/>
      <c r="AS226" s="174"/>
      <c r="AT226"/>
      <c r="AU226" s="170"/>
      <c r="AV226" s="170"/>
      <c r="AW226" s="170"/>
    </row>
    <row r="227" spans="2:49" hidden="1" x14ac:dyDescent="0.25">
      <c r="B227"/>
      <c r="C227" s="170"/>
      <c r="D227" s="171"/>
      <c r="E227" s="170"/>
      <c r="F227"/>
      <c r="G227" s="172"/>
      <c r="H227" s="173"/>
      <c r="I227" s="172"/>
      <c r="J227"/>
      <c r="K227" s="170"/>
      <c r="L227" s="171"/>
      <c r="M227" s="170"/>
      <c r="N227"/>
      <c r="O227" s="170"/>
      <c r="P227" s="171"/>
      <c r="Q227" s="170"/>
      <c r="R227"/>
      <c r="S227" s="170"/>
      <c r="T227" s="171"/>
      <c r="U227" s="170"/>
      <c r="V227"/>
      <c r="W227" s="170"/>
      <c r="X227" s="170"/>
      <c r="Y227" s="174"/>
      <c r="Z227"/>
      <c r="AA227" s="170"/>
      <c r="AB227" s="171"/>
      <c r="AC227" s="174"/>
      <c r="AD227"/>
      <c r="AE227" s="170"/>
      <c r="AF227" s="170"/>
      <c r="AG227" s="170"/>
      <c r="AH227"/>
      <c r="AI227" s="170"/>
      <c r="AJ227" s="171"/>
      <c r="AK227" s="170"/>
      <c r="AL227"/>
      <c r="AM227" s="170"/>
      <c r="AN227" s="170"/>
      <c r="AO227" s="170"/>
      <c r="AP227"/>
      <c r="AQ227" s="170"/>
      <c r="AR227" s="170"/>
      <c r="AS227" s="174"/>
      <c r="AT227"/>
      <c r="AU227" s="170"/>
      <c r="AV227" s="170"/>
      <c r="AW227" s="170"/>
    </row>
    <row r="228" spans="2:49" hidden="1" x14ac:dyDescent="0.25">
      <c r="B228"/>
      <c r="C228" s="170"/>
      <c r="D228" s="171"/>
      <c r="E228" s="170"/>
      <c r="F228"/>
      <c r="G228" s="172"/>
      <c r="H228" s="173"/>
      <c r="I228" s="172"/>
      <c r="J228"/>
      <c r="K228" s="170"/>
      <c r="L228" s="171"/>
      <c r="M228" s="170"/>
      <c r="N228"/>
      <c r="O228" s="170"/>
      <c r="P228" s="171"/>
      <c r="Q228" s="170"/>
      <c r="R228"/>
      <c r="S228" s="170"/>
      <c r="T228" s="171"/>
      <c r="U228" s="170"/>
      <c r="V228"/>
      <c r="W228" s="170"/>
      <c r="X228" s="170"/>
      <c r="Y228" s="174"/>
      <c r="Z228"/>
      <c r="AA228" s="170"/>
      <c r="AB228" s="171"/>
      <c r="AC228" s="174"/>
      <c r="AD228"/>
      <c r="AE228" s="170"/>
      <c r="AF228" s="170"/>
      <c r="AG228" s="170"/>
      <c r="AH228"/>
      <c r="AI228" s="170"/>
      <c r="AJ228" s="171"/>
      <c r="AK228" s="170"/>
      <c r="AL228"/>
      <c r="AM228" s="170"/>
      <c r="AN228" s="170"/>
      <c r="AO228" s="170"/>
      <c r="AP228"/>
      <c r="AQ228" s="170"/>
      <c r="AR228" s="170"/>
      <c r="AS228" s="174"/>
      <c r="AT228"/>
      <c r="AU228" s="170"/>
      <c r="AV228" s="170"/>
      <c r="AW228" s="170"/>
    </row>
    <row r="229" spans="2:49" hidden="1" x14ac:dyDescent="0.25">
      <c r="B229"/>
      <c r="C229" s="170"/>
      <c r="D229" s="171"/>
      <c r="E229" s="170"/>
      <c r="F229"/>
      <c r="G229" s="172"/>
      <c r="H229" s="173"/>
      <c r="I229" s="172"/>
      <c r="J229"/>
      <c r="K229" s="170"/>
      <c r="L229" s="171"/>
      <c r="M229" s="170"/>
      <c r="N229"/>
      <c r="O229" s="170"/>
      <c r="P229" s="171"/>
      <c r="Q229" s="170"/>
      <c r="R229"/>
      <c r="S229" s="170"/>
      <c r="T229" s="171"/>
      <c r="U229" s="170"/>
      <c r="V229"/>
      <c r="W229" s="170"/>
      <c r="X229" s="170"/>
      <c r="Y229" s="174"/>
      <c r="Z229"/>
      <c r="AA229" s="170"/>
      <c r="AB229" s="171"/>
      <c r="AC229" s="174"/>
      <c r="AD229"/>
      <c r="AE229" s="170"/>
      <c r="AF229" s="170"/>
      <c r="AG229" s="170"/>
      <c r="AH229"/>
      <c r="AI229" s="170"/>
      <c r="AJ229" s="171"/>
      <c r="AK229" s="170"/>
      <c r="AL229"/>
      <c r="AM229" s="170"/>
      <c r="AN229" s="170"/>
      <c r="AO229" s="170"/>
      <c r="AP229"/>
      <c r="AQ229" s="170"/>
      <c r="AR229" s="170"/>
      <c r="AS229" s="174"/>
      <c r="AT229"/>
      <c r="AU229" s="170"/>
      <c r="AV229" s="170"/>
      <c r="AW229" s="170"/>
    </row>
    <row r="230" spans="2:49" hidden="1" x14ac:dyDescent="0.25">
      <c r="B230"/>
      <c r="C230" s="170"/>
      <c r="D230" s="171"/>
      <c r="E230" s="170"/>
      <c r="F230"/>
      <c r="G230" s="172"/>
      <c r="H230" s="173"/>
      <c r="I230" s="172"/>
      <c r="J230"/>
      <c r="K230" s="170"/>
      <c r="L230" s="171"/>
      <c r="M230" s="170"/>
      <c r="N230"/>
      <c r="O230" s="170"/>
      <c r="P230" s="171"/>
      <c r="Q230" s="170"/>
      <c r="R230"/>
      <c r="S230" s="170"/>
      <c r="T230" s="171"/>
      <c r="U230" s="170"/>
      <c r="V230"/>
      <c r="W230" s="170"/>
      <c r="X230" s="170"/>
      <c r="Y230" s="174"/>
      <c r="Z230"/>
      <c r="AA230" s="170"/>
      <c r="AB230" s="171"/>
      <c r="AC230" s="174"/>
      <c r="AD230"/>
      <c r="AE230" s="170"/>
      <c r="AF230" s="170"/>
      <c r="AG230" s="170"/>
      <c r="AH230"/>
      <c r="AI230" s="170"/>
      <c r="AJ230" s="171"/>
      <c r="AK230" s="170"/>
      <c r="AL230"/>
      <c r="AM230" s="170"/>
      <c r="AN230" s="170"/>
      <c r="AO230" s="170"/>
      <c r="AP230"/>
      <c r="AQ230" s="170"/>
      <c r="AR230" s="170"/>
      <c r="AS230" s="174"/>
      <c r="AT230"/>
      <c r="AU230" s="170"/>
      <c r="AV230" s="170"/>
      <c r="AW230" s="170"/>
    </row>
    <row r="231" spans="2:49" hidden="1" x14ac:dyDescent="0.25">
      <c r="B231"/>
      <c r="C231" s="170"/>
      <c r="D231" s="171"/>
      <c r="E231" s="170"/>
      <c r="F231"/>
      <c r="G231" s="172"/>
      <c r="H231" s="173"/>
      <c r="I231" s="172"/>
      <c r="J231"/>
      <c r="K231" s="170"/>
      <c r="L231" s="171"/>
      <c r="M231" s="170"/>
      <c r="N231"/>
      <c r="O231" s="170"/>
      <c r="P231" s="171"/>
      <c r="Q231" s="170"/>
      <c r="R231"/>
      <c r="S231" s="170"/>
      <c r="T231" s="171"/>
      <c r="U231" s="170"/>
      <c r="V231"/>
      <c r="W231" s="170"/>
      <c r="X231" s="170"/>
      <c r="Y231" s="174"/>
      <c r="Z231"/>
      <c r="AA231" s="170"/>
      <c r="AB231" s="171"/>
      <c r="AC231" s="174"/>
      <c r="AD231"/>
      <c r="AE231" s="170"/>
      <c r="AF231" s="170"/>
      <c r="AG231" s="170"/>
      <c r="AH231"/>
      <c r="AI231" s="170"/>
      <c r="AJ231" s="171"/>
      <c r="AK231" s="170"/>
      <c r="AL231"/>
      <c r="AM231" s="170"/>
      <c r="AN231" s="170"/>
      <c r="AO231" s="170"/>
      <c r="AP231"/>
      <c r="AQ231" s="170"/>
      <c r="AR231" s="170"/>
      <c r="AS231" s="174"/>
      <c r="AT231"/>
      <c r="AU231" s="170"/>
      <c r="AV231" s="170"/>
      <c r="AW231" s="170"/>
    </row>
    <row r="232" spans="2:49" hidden="1" x14ac:dyDescent="0.25">
      <c r="B232"/>
      <c r="C232" s="170"/>
      <c r="D232" s="171"/>
      <c r="E232" s="170"/>
      <c r="F232"/>
      <c r="G232" s="172"/>
      <c r="H232" s="173"/>
      <c r="I232" s="172"/>
      <c r="J232"/>
      <c r="K232" s="170"/>
      <c r="L232" s="171"/>
      <c r="M232" s="170"/>
      <c r="N232"/>
      <c r="O232" s="170"/>
      <c r="P232" s="171"/>
      <c r="Q232" s="170"/>
      <c r="R232"/>
      <c r="S232" s="170"/>
      <c r="T232" s="171"/>
      <c r="U232" s="170"/>
      <c r="V232"/>
      <c r="W232" s="170"/>
      <c r="X232" s="170"/>
      <c r="Y232" s="174"/>
      <c r="Z232"/>
      <c r="AA232" s="170"/>
      <c r="AB232" s="171"/>
      <c r="AC232" s="174"/>
      <c r="AD232"/>
      <c r="AE232" s="170"/>
      <c r="AF232" s="170"/>
      <c r="AG232" s="170"/>
      <c r="AH232"/>
      <c r="AI232" s="170"/>
      <c r="AJ232" s="171"/>
      <c r="AK232" s="170"/>
      <c r="AL232"/>
      <c r="AM232" s="170"/>
      <c r="AN232" s="170"/>
      <c r="AO232" s="170"/>
      <c r="AP232"/>
      <c r="AQ232" s="170"/>
      <c r="AR232" s="170"/>
      <c r="AS232" s="174"/>
      <c r="AT232"/>
      <c r="AU232" s="170"/>
      <c r="AV232" s="170"/>
      <c r="AW232" s="170"/>
    </row>
    <row r="233" spans="2:49" hidden="1" x14ac:dyDescent="0.25">
      <c r="B233"/>
      <c r="C233" s="170"/>
      <c r="D233" s="171"/>
      <c r="E233" s="170"/>
      <c r="F233"/>
      <c r="G233" s="172"/>
      <c r="H233" s="173"/>
      <c r="I233" s="172"/>
      <c r="J233"/>
      <c r="K233" s="170"/>
      <c r="L233" s="171"/>
      <c r="M233" s="170"/>
      <c r="N233"/>
      <c r="O233" s="170"/>
      <c r="P233" s="171"/>
      <c r="Q233" s="170"/>
      <c r="R233"/>
      <c r="S233" s="170"/>
      <c r="T233" s="171"/>
      <c r="U233" s="170"/>
      <c r="V233"/>
      <c r="W233" s="170"/>
      <c r="X233" s="170"/>
      <c r="Y233" s="174"/>
      <c r="Z233"/>
      <c r="AA233" s="170"/>
      <c r="AB233" s="171"/>
      <c r="AC233" s="174"/>
      <c r="AD233"/>
      <c r="AE233" s="170"/>
      <c r="AF233" s="170"/>
      <c r="AG233" s="170"/>
      <c r="AH233"/>
      <c r="AI233" s="170"/>
      <c r="AJ233" s="171"/>
      <c r="AK233" s="170"/>
      <c r="AL233"/>
      <c r="AM233" s="170"/>
      <c r="AN233" s="170"/>
      <c r="AO233" s="170"/>
      <c r="AP233"/>
      <c r="AQ233" s="170"/>
      <c r="AR233" s="170"/>
      <c r="AS233" s="174"/>
      <c r="AT233"/>
      <c r="AU233" s="170"/>
      <c r="AV233" s="170"/>
      <c r="AW233" s="170"/>
    </row>
    <row r="234" spans="2:49" hidden="1" x14ac:dyDescent="0.25">
      <c r="B234"/>
      <c r="C234" s="170"/>
      <c r="D234" s="171"/>
      <c r="E234" s="170"/>
      <c r="F234"/>
      <c r="G234" s="172"/>
      <c r="H234" s="173"/>
      <c r="I234" s="172"/>
      <c r="J234"/>
      <c r="K234" s="170"/>
      <c r="L234" s="171"/>
      <c r="M234" s="170"/>
      <c r="N234"/>
      <c r="O234" s="170"/>
      <c r="P234" s="171"/>
      <c r="Q234" s="170"/>
      <c r="R234"/>
      <c r="S234" s="170"/>
      <c r="T234" s="171"/>
      <c r="U234" s="170"/>
      <c r="V234"/>
      <c r="W234" s="170"/>
      <c r="X234" s="170"/>
      <c r="Y234" s="174"/>
      <c r="Z234"/>
      <c r="AA234" s="170"/>
      <c r="AB234" s="171"/>
      <c r="AC234" s="174"/>
      <c r="AD234"/>
      <c r="AE234" s="170"/>
      <c r="AF234" s="170"/>
      <c r="AG234" s="170"/>
      <c r="AH234"/>
      <c r="AI234" s="170"/>
      <c r="AJ234" s="171"/>
      <c r="AK234" s="170"/>
      <c r="AL234"/>
      <c r="AM234" s="170"/>
      <c r="AN234" s="170"/>
      <c r="AO234" s="170"/>
      <c r="AP234"/>
      <c r="AQ234" s="170"/>
      <c r="AR234" s="170"/>
      <c r="AS234" s="174"/>
      <c r="AT234"/>
      <c r="AU234" s="170"/>
      <c r="AV234" s="170"/>
      <c r="AW234" s="170"/>
    </row>
    <row r="235" spans="2:49" hidden="1" x14ac:dyDescent="0.25">
      <c r="B235"/>
      <c r="C235" s="170"/>
      <c r="D235" s="171"/>
      <c r="E235" s="170"/>
      <c r="F235"/>
      <c r="G235" s="172"/>
      <c r="H235" s="173"/>
      <c r="I235" s="172"/>
      <c r="J235"/>
      <c r="K235" s="170"/>
      <c r="L235" s="171"/>
      <c r="M235" s="170"/>
      <c r="N235"/>
      <c r="O235" s="170"/>
      <c r="P235" s="171"/>
      <c r="Q235" s="170"/>
      <c r="R235"/>
      <c r="S235" s="170"/>
      <c r="T235" s="171"/>
      <c r="U235" s="170"/>
      <c r="V235"/>
      <c r="W235" s="170"/>
      <c r="X235" s="170"/>
      <c r="Y235" s="174"/>
      <c r="Z235"/>
      <c r="AA235" s="170"/>
      <c r="AB235" s="171"/>
      <c r="AC235" s="174"/>
      <c r="AD235"/>
      <c r="AE235" s="170"/>
      <c r="AF235" s="170"/>
      <c r="AG235" s="170"/>
      <c r="AH235"/>
      <c r="AI235" s="170"/>
      <c r="AJ235" s="171"/>
      <c r="AK235" s="170"/>
      <c r="AL235"/>
      <c r="AM235" s="170"/>
      <c r="AN235" s="170"/>
      <c r="AO235" s="170"/>
      <c r="AP235"/>
      <c r="AQ235" s="170"/>
      <c r="AR235" s="170"/>
      <c r="AS235" s="174"/>
      <c r="AT235"/>
      <c r="AU235" s="170"/>
      <c r="AV235" s="170"/>
      <c r="AW235" s="170"/>
    </row>
    <row r="236" spans="2:49" hidden="1" x14ac:dyDescent="0.25">
      <c r="B236"/>
      <c r="C236" s="170"/>
      <c r="D236" s="171"/>
      <c r="E236" s="170"/>
      <c r="F236"/>
      <c r="G236" s="172"/>
      <c r="H236" s="173"/>
      <c r="I236" s="172"/>
      <c r="J236"/>
      <c r="K236" s="170"/>
      <c r="L236" s="171"/>
      <c r="M236" s="170"/>
      <c r="N236"/>
      <c r="O236" s="170"/>
      <c r="P236" s="171"/>
      <c r="Q236" s="170"/>
      <c r="R236"/>
      <c r="S236" s="170"/>
      <c r="T236" s="171"/>
      <c r="U236" s="170"/>
      <c r="V236"/>
      <c r="W236" s="170"/>
      <c r="X236" s="170"/>
      <c r="Y236" s="174"/>
      <c r="Z236"/>
      <c r="AA236" s="170"/>
      <c r="AB236" s="171"/>
      <c r="AC236" s="174"/>
      <c r="AD236"/>
      <c r="AE236" s="170"/>
      <c r="AF236" s="170"/>
      <c r="AG236" s="170"/>
      <c r="AH236"/>
      <c r="AI236" s="170"/>
      <c r="AJ236" s="171"/>
      <c r="AK236" s="170"/>
      <c r="AL236"/>
      <c r="AM236" s="170"/>
      <c r="AN236" s="170"/>
      <c r="AO236" s="170"/>
      <c r="AP236"/>
      <c r="AQ236" s="170"/>
      <c r="AR236" s="170"/>
      <c r="AS236" s="174"/>
      <c r="AT236"/>
      <c r="AU236" s="170"/>
      <c r="AV236" s="170"/>
      <c r="AW236" s="170"/>
    </row>
    <row r="237" spans="2:49" hidden="1" x14ac:dyDescent="0.25">
      <c r="B237"/>
      <c r="C237" s="170"/>
      <c r="D237" s="171"/>
      <c r="E237" s="170"/>
      <c r="F237"/>
      <c r="G237" s="172"/>
      <c r="H237" s="173"/>
      <c r="I237" s="172"/>
      <c r="J237"/>
      <c r="K237" s="170"/>
      <c r="L237" s="171"/>
      <c r="M237" s="170"/>
      <c r="N237"/>
      <c r="O237" s="170"/>
      <c r="P237" s="171"/>
      <c r="Q237" s="170"/>
      <c r="R237"/>
      <c r="S237" s="170"/>
      <c r="T237" s="171"/>
      <c r="U237" s="170"/>
      <c r="V237"/>
      <c r="W237" s="170"/>
      <c r="X237" s="170"/>
      <c r="Y237" s="174"/>
      <c r="Z237"/>
      <c r="AA237" s="170"/>
      <c r="AB237" s="171"/>
      <c r="AC237" s="174"/>
      <c r="AD237"/>
      <c r="AE237" s="170"/>
      <c r="AF237" s="170"/>
      <c r="AG237" s="170"/>
      <c r="AH237"/>
      <c r="AI237" s="170"/>
      <c r="AJ237" s="171"/>
      <c r="AK237" s="170"/>
      <c r="AL237"/>
      <c r="AM237" s="170"/>
      <c r="AN237" s="170"/>
      <c r="AO237" s="170"/>
      <c r="AP237"/>
      <c r="AQ237" s="170"/>
      <c r="AR237" s="170"/>
      <c r="AS237" s="174"/>
      <c r="AT237"/>
      <c r="AU237" s="170"/>
      <c r="AV237" s="170"/>
      <c r="AW237" s="170"/>
    </row>
    <row r="238" spans="2:49" hidden="1" x14ac:dyDescent="0.25">
      <c r="B238"/>
      <c r="C238" s="170"/>
      <c r="D238" s="171"/>
      <c r="E238" s="170"/>
      <c r="F238"/>
      <c r="G238" s="172"/>
      <c r="H238" s="173"/>
      <c r="I238" s="172"/>
      <c r="J238"/>
      <c r="K238" s="170"/>
      <c r="L238" s="171"/>
      <c r="M238" s="170"/>
      <c r="N238"/>
      <c r="O238" s="170"/>
      <c r="P238" s="171"/>
      <c r="Q238" s="170"/>
      <c r="R238"/>
      <c r="S238" s="170"/>
      <c r="T238" s="171"/>
      <c r="U238" s="170"/>
      <c r="V238"/>
      <c r="W238" s="170"/>
      <c r="X238" s="170"/>
      <c r="Y238" s="174"/>
      <c r="Z238"/>
      <c r="AA238" s="170"/>
      <c r="AB238" s="171"/>
      <c r="AC238" s="174"/>
      <c r="AD238"/>
      <c r="AE238" s="170"/>
      <c r="AF238" s="170"/>
      <c r="AG238" s="170"/>
      <c r="AH238"/>
      <c r="AI238" s="170"/>
      <c r="AJ238" s="171"/>
      <c r="AK238" s="170"/>
      <c r="AL238"/>
      <c r="AM238" s="170"/>
      <c r="AN238" s="170"/>
      <c r="AO238" s="170"/>
      <c r="AP238"/>
      <c r="AQ238" s="170"/>
      <c r="AR238" s="170"/>
      <c r="AS238" s="174"/>
      <c r="AT238"/>
      <c r="AU238" s="170"/>
      <c r="AV238" s="170"/>
      <c r="AW238" s="170"/>
    </row>
    <row r="239" spans="2:49" hidden="1" x14ac:dyDescent="0.25">
      <c r="B239"/>
      <c r="C239" s="170"/>
      <c r="D239" s="171"/>
      <c r="E239" s="170"/>
      <c r="F239"/>
      <c r="G239" s="172"/>
      <c r="H239" s="173"/>
      <c r="I239" s="172"/>
      <c r="J239"/>
      <c r="K239" s="170"/>
      <c r="L239" s="171"/>
      <c r="M239" s="170"/>
      <c r="N239"/>
      <c r="O239" s="170"/>
      <c r="P239" s="171"/>
      <c r="Q239" s="170"/>
      <c r="R239"/>
      <c r="S239" s="170"/>
      <c r="T239" s="171"/>
      <c r="U239" s="170"/>
      <c r="V239"/>
      <c r="W239" s="170"/>
      <c r="X239" s="170"/>
      <c r="Y239" s="174"/>
      <c r="Z239"/>
      <c r="AA239" s="170"/>
      <c r="AB239" s="171"/>
      <c r="AC239" s="174"/>
      <c r="AD239"/>
      <c r="AE239" s="170"/>
      <c r="AF239" s="170"/>
      <c r="AG239" s="170"/>
      <c r="AH239"/>
      <c r="AI239" s="170"/>
      <c r="AJ239" s="171"/>
      <c r="AK239" s="170"/>
      <c r="AL239"/>
      <c r="AM239" s="170"/>
      <c r="AN239" s="170"/>
      <c r="AO239" s="170"/>
      <c r="AP239"/>
      <c r="AQ239" s="170"/>
      <c r="AR239" s="170"/>
      <c r="AS239" s="174"/>
      <c r="AT239"/>
      <c r="AU239" s="170"/>
      <c r="AV239" s="170"/>
      <c r="AW239" s="170"/>
    </row>
    <row r="240" spans="2:49" hidden="1" x14ac:dyDescent="0.25">
      <c r="B240"/>
      <c r="C240" s="170"/>
      <c r="D240" s="171"/>
      <c r="E240" s="170"/>
      <c r="F240"/>
      <c r="G240" s="172"/>
      <c r="H240" s="173"/>
      <c r="I240" s="172"/>
      <c r="J240"/>
      <c r="K240" s="170"/>
      <c r="L240" s="171"/>
      <c r="M240" s="170"/>
      <c r="N240"/>
      <c r="O240" s="170"/>
      <c r="P240" s="171"/>
      <c r="Q240" s="170"/>
      <c r="R240"/>
      <c r="S240" s="170"/>
      <c r="T240" s="171"/>
      <c r="U240" s="170"/>
      <c r="V240"/>
      <c r="W240" s="170"/>
      <c r="X240" s="170"/>
      <c r="Y240" s="174"/>
      <c r="Z240"/>
      <c r="AA240" s="170"/>
      <c r="AB240" s="171"/>
      <c r="AC240" s="174"/>
      <c r="AD240"/>
      <c r="AE240" s="170"/>
      <c r="AF240" s="170"/>
      <c r="AG240" s="170"/>
      <c r="AH240"/>
      <c r="AI240" s="170"/>
      <c r="AJ240" s="171"/>
      <c r="AK240" s="170"/>
      <c r="AL240"/>
      <c r="AM240" s="170"/>
      <c r="AN240" s="170"/>
      <c r="AO240" s="170"/>
      <c r="AP240"/>
      <c r="AQ240" s="170"/>
      <c r="AR240" s="170"/>
      <c r="AS240" s="174"/>
      <c r="AT240"/>
      <c r="AU240" s="170"/>
      <c r="AV240" s="170"/>
      <c r="AW240" s="170"/>
    </row>
    <row r="241" spans="2:49" hidden="1" x14ac:dyDescent="0.25">
      <c r="B241"/>
      <c r="C241" s="170"/>
      <c r="D241" s="171"/>
      <c r="E241" s="170"/>
      <c r="F241"/>
      <c r="G241" s="172"/>
      <c r="H241" s="173"/>
      <c r="I241" s="172"/>
      <c r="J241"/>
      <c r="K241" s="170"/>
      <c r="L241" s="171"/>
      <c r="M241" s="170"/>
      <c r="N241"/>
      <c r="O241" s="170"/>
      <c r="P241" s="171"/>
      <c r="Q241" s="170"/>
      <c r="R241"/>
      <c r="S241" s="170"/>
      <c r="T241" s="171"/>
      <c r="U241" s="170"/>
      <c r="V241"/>
      <c r="W241" s="170"/>
      <c r="X241" s="170"/>
      <c r="Y241" s="174"/>
      <c r="Z241"/>
      <c r="AA241" s="170"/>
      <c r="AB241" s="171"/>
      <c r="AC241" s="174"/>
      <c r="AD241"/>
      <c r="AE241" s="170"/>
      <c r="AF241" s="170"/>
      <c r="AG241" s="170"/>
      <c r="AH241"/>
      <c r="AI241" s="170"/>
      <c r="AJ241" s="171"/>
      <c r="AK241" s="170"/>
      <c r="AL241"/>
      <c r="AM241" s="170"/>
      <c r="AN241" s="170"/>
      <c r="AO241" s="170"/>
      <c r="AP241"/>
      <c r="AQ241" s="170"/>
      <c r="AR241" s="170"/>
      <c r="AS241" s="174"/>
      <c r="AT241"/>
      <c r="AU241" s="170"/>
      <c r="AV241" s="170"/>
      <c r="AW241" s="170"/>
    </row>
    <row r="242" spans="2:49" hidden="1" x14ac:dyDescent="0.25">
      <c r="B242"/>
      <c r="C242" s="170"/>
      <c r="D242" s="171"/>
      <c r="E242" s="170"/>
      <c r="F242"/>
      <c r="G242" s="172"/>
      <c r="H242" s="173"/>
      <c r="I242" s="172"/>
      <c r="J242"/>
      <c r="K242" s="170"/>
      <c r="L242" s="171"/>
      <c r="M242" s="170"/>
      <c r="N242"/>
      <c r="O242" s="170"/>
      <c r="P242" s="171"/>
      <c r="Q242" s="170"/>
      <c r="R242"/>
      <c r="S242" s="170"/>
      <c r="T242" s="171"/>
      <c r="U242" s="170"/>
      <c r="V242"/>
      <c r="W242" s="170"/>
      <c r="X242" s="170"/>
      <c r="Y242" s="174"/>
      <c r="Z242"/>
      <c r="AA242" s="170"/>
      <c r="AB242" s="171"/>
      <c r="AC242" s="174"/>
      <c r="AD242"/>
      <c r="AE242" s="170"/>
      <c r="AF242" s="170"/>
      <c r="AG242" s="170"/>
      <c r="AH242"/>
      <c r="AI242" s="170"/>
      <c r="AJ242" s="171"/>
      <c r="AK242" s="170"/>
      <c r="AL242"/>
      <c r="AM242" s="170"/>
      <c r="AN242" s="170"/>
      <c r="AO242" s="170"/>
      <c r="AP242"/>
      <c r="AQ242" s="170"/>
      <c r="AR242" s="170"/>
      <c r="AS242" s="174"/>
      <c r="AT242"/>
      <c r="AU242" s="170"/>
      <c r="AV242" s="170"/>
      <c r="AW242" s="170"/>
    </row>
    <row r="243" spans="2:49" hidden="1" x14ac:dyDescent="0.25">
      <c r="B243"/>
      <c r="C243" s="170"/>
      <c r="D243" s="171"/>
      <c r="E243" s="170"/>
      <c r="F243"/>
      <c r="G243" s="172"/>
      <c r="H243" s="173"/>
      <c r="I243" s="172"/>
      <c r="J243"/>
      <c r="K243" s="170"/>
      <c r="L243" s="171"/>
      <c r="M243" s="170"/>
      <c r="N243"/>
      <c r="O243" s="170"/>
      <c r="P243" s="171"/>
      <c r="Q243" s="170"/>
      <c r="R243"/>
      <c r="S243" s="170"/>
      <c r="T243" s="171"/>
      <c r="U243" s="170"/>
      <c r="V243"/>
      <c r="W243" s="170"/>
      <c r="X243" s="170"/>
      <c r="Y243" s="174"/>
      <c r="Z243"/>
      <c r="AA243" s="170"/>
      <c r="AB243" s="171"/>
      <c r="AC243" s="174"/>
      <c r="AD243"/>
      <c r="AE243" s="170"/>
      <c r="AF243" s="170"/>
      <c r="AG243" s="170"/>
      <c r="AH243"/>
      <c r="AI243" s="170"/>
      <c r="AJ243" s="171"/>
      <c r="AK243" s="170"/>
      <c r="AL243"/>
      <c r="AM243" s="170"/>
      <c r="AN243" s="170"/>
      <c r="AO243" s="170"/>
      <c r="AP243"/>
      <c r="AQ243" s="170"/>
      <c r="AR243" s="170"/>
      <c r="AS243" s="174"/>
      <c r="AT243"/>
      <c r="AU243" s="170"/>
      <c r="AV243" s="170"/>
      <c r="AW243" s="170"/>
    </row>
    <row r="244" spans="2:49" hidden="1" x14ac:dyDescent="0.25">
      <c r="B244"/>
      <c r="C244" s="170"/>
      <c r="D244" s="171"/>
      <c r="E244" s="170"/>
      <c r="F244"/>
      <c r="G244" s="172"/>
      <c r="H244" s="173"/>
      <c r="I244" s="172"/>
      <c r="J244"/>
      <c r="K244" s="170"/>
      <c r="L244" s="171"/>
      <c r="M244" s="170"/>
      <c r="N244"/>
      <c r="O244" s="170"/>
      <c r="P244" s="171"/>
      <c r="Q244" s="170"/>
      <c r="R244"/>
      <c r="S244" s="170"/>
      <c r="T244" s="171"/>
      <c r="U244" s="170"/>
      <c r="V244"/>
      <c r="W244" s="170"/>
      <c r="X244" s="170"/>
      <c r="Y244" s="174"/>
      <c r="Z244"/>
      <c r="AA244" s="170"/>
      <c r="AB244" s="171"/>
      <c r="AC244" s="174"/>
      <c r="AD244"/>
      <c r="AE244" s="170"/>
      <c r="AF244" s="170"/>
      <c r="AG244" s="170"/>
      <c r="AH244"/>
      <c r="AI244" s="170"/>
      <c r="AJ244" s="171"/>
      <c r="AK244" s="170"/>
      <c r="AL244"/>
      <c r="AM244" s="170"/>
      <c r="AN244" s="170"/>
      <c r="AO244" s="170"/>
      <c r="AP244"/>
      <c r="AQ244" s="170"/>
      <c r="AR244" s="170"/>
      <c r="AS244" s="174"/>
      <c r="AT244"/>
      <c r="AU244" s="170"/>
      <c r="AV244" s="170"/>
      <c r="AW244" s="170"/>
    </row>
    <row r="245" spans="2:49" hidden="1" x14ac:dyDescent="0.25">
      <c r="B245"/>
      <c r="C245" s="170"/>
      <c r="D245" s="171"/>
      <c r="E245" s="170"/>
      <c r="F245"/>
      <c r="G245" s="172"/>
      <c r="H245" s="173"/>
      <c r="I245" s="172"/>
      <c r="J245"/>
      <c r="K245" s="170"/>
      <c r="L245" s="171"/>
      <c r="M245" s="170"/>
      <c r="N245"/>
      <c r="O245" s="170"/>
      <c r="P245" s="171"/>
      <c r="Q245" s="170"/>
      <c r="R245"/>
      <c r="S245" s="170"/>
      <c r="T245" s="171"/>
      <c r="U245" s="170"/>
      <c r="V245"/>
      <c r="W245" s="170"/>
      <c r="X245" s="170"/>
      <c r="Y245" s="174"/>
      <c r="Z245"/>
      <c r="AA245" s="170"/>
      <c r="AB245" s="171"/>
      <c r="AC245" s="174"/>
      <c r="AD245"/>
      <c r="AE245" s="170"/>
      <c r="AF245" s="170"/>
      <c r="AG245" s="170"/>
      <c r="AH245"/>
      <c r="AI245" s="170"/>
      <c r="AJ245" s="171"/>
      <c r="AK245" s="170"/>
      <c r="AL245"/>
      <c r="AM245" s="170"/>
      <c r="AN245" s="170"/>
      <c r="AO245" s="170"/>
      <c r="AP245"/>
      <c r="AQ245" s="170"/>
      <c r="AR245" s="170"/>
      <c r="AS245" s="174"/>
      <c r="AT245"/>
      <c r="AU245" s="170"/>
      <c r="AV245" s="170"/>
      <c r="AW245" s="170"/>
    </row>
    <row r="246" spans="2:49" hidden="1" x14ac:dyDescent="0.25">
      <c r="B246"/>
      <c r="C246" s="170"/>
      <c r="D246" s="171"/>
      <c r="E246" s="170"/>
      <c r="F246"/>
      <c r="G246" s="172"/>
      <c r="H246" s="173"/>
      <c r="I246" s="172"/>
      <c r="J246"/>
      <c r="K246" s="170"/>
      <c r="L246" s="171"/>
      <c r="M246" s="170"/>
      <c r="N246"/>
      <c r="O246" s="170"/>
      <c r="P246" s="171"/>
      <c r="Q246" s="170"/>
      <c r="R246"/>
      <c r="S246" s="170"/>
      <c r="T246" s="171"/>
      <c r="U246" s="170"/>
      <c r="V246"/>
      <c r="W246" s="170"/>
      <c r="X246" s="170"/>
      <c r="Y246" s="174"/>
      <c r="Z246"/>
      <c r="AA246" s="170"/>
      <c r="AB246" s="171"/>
      <c r="AC246" s="174"/>
      <c r="AD246"/>
      <c r="AE246" s="170"/>
      <c r="AF246" s="170"/>
      <c r="AG246" s="170"/>
      <c r="AH246"/>
      <c r="AI246" s="170"/>
      <c r="AJ246" s="171"/>
      <c r="AK246" s="170"/>
      <c r="AL246"/>
      <c r="AM246" s="170"/>
      <c r="AN246" s="170"/>
      <c r="AO246" s="170"/>
      <c r="AP246"/>
      <c r="AQ246" s="170"/>
      <c r="AR246" s="170"/>
      <c r="AS246" s="174"/>
      <c r="AT246"/>
      <c r="AU246" s="170"/>
      <c r="AV246" s="170"/>
      <c r="AW246" s="170"/>
    </row>
    <row r="247" spans="2:49" hidden="1" x14ac:dyDescent="0.25">
      <c r="B247"/>
      <c r="C247" s="170"/>
      <c r="D247" s="171"/>
      <c r="E247" s="170"/>
      <c r="F247"/>
      <c r="G247" s="172"/>
      <c r="H247" s="173"/>
      <c r="I247" s="172"/>
      <c r="J247"/>
      <c r="K247" s="170"/>
      <c r="L247" s="171"/>
      <c r="M247" s="170"/>
      <c r="N247"/>
      <c r="O247" s="170"/>
      <c r="P247" s="171"/>
      <c r="Q247" s="170"/>
      <c r="R247"/>
      <c r="S247" s="170"/>
      <c r="T247" s="171"/>
      <c r="U247" s="170"/>
      <c r="V247"/>
      <c r="W247" s="170"/>
      <c r="X247" s="170"/>
      <c r="Y247" s="174"/>
      <c r="Z247"/>
      <c r="AA247" s="170"/>
      <c r="AB247" s="171"/>
      <c r="AC247" s="174"/>
      <c r="AD247"/>
      <c r="AE247" s="170"/>
      <c r="AF247" s="170"/>
      <c r="AG247" s="170"/>
      <c r="AH247"/>
      <c r="AI247" s="170"/>
      <c r="AJ247" s="171"/>
      <c r="AK247" s="170"/>
      <c r="AL247"/>
      <c r="AM247" s="170"/>
      <c r="AN247" s="170"/>
      <c r="AO247" s="170"/>
      <c r="AP247"/>
      <c r="AQ247" s="170"/>
      <c r="AR247" s="170"/>
      <c r="AS247" s="174"/>
      <c r="AT247"/>
      <c r="AU247" s="170"/>
      <c r="AV247" s="170"/>
      <c r="AW247" s="170"/>
    </row>
    <row r="248" spans="2:49" hidden="1" x14ac:dyDescent="0.25">
      <c r="B248"/>
      <c r="C248" s="170"/>
      <c r="D248" s="171"/>
      <c r="E248" s="170"/>
      <c r="F248"/>
      <c r="G248" s="172"/>
      <c r="H248" s="173"/>
      <c r="I248" s="172"/>
      <c r="J248"/>
      <c r="K248" s="170"/>
      <c r="L248" s="171"/>
      <c r="M248" s="170"/>
      <c r="N248"/>
      <c r="O248" s="170"/>
      <c r="P248" s="171"/>
      <c r="Q248" s="170"/>
      <c r="R248"/>
      <c r="S248" s="170"/>
      <c r="T248" s="171"/>
      <c r="U248" s="170"/>
      <c r="V248"/>
      <c r="W248" s="170"/>
      <c r="X248" s="170"/>
      <c r="Y248" s="174"/>
      <c r="Z248"/>
      <c r="AA248" s="170"/>
      <c r="AB248" s="171"/>
      <c r="AC248" s="174"/>
      <c r="AD248"/>
      <c r="AE248" s="170"/>
      <c r="AF248" s="170"/>
      <c r="AG248" s="170"/>
      <c r="AH248"/>
      <c r="AI248" s="170"/>
      <c r="AJ248" s="171"/>
      <c r="AK248" s="170"/>
      <c r="AL248"/>
      <c r="AM248" s="170"/>
      <c r="AN248" s="170"/>
      <c r="AO248" s="170"/>
      <c r="AP248"/>
      <c r="AQ248" s="170"/>
      <c r="AR248" s="170"/>
      <c r="AS248" s="174"/>
      <c r="AT248"/>
      <c r="AU248" s="170"/>
      <c r="AV248" s="170"/>
      <c r="AW248" s="170"/>
    </row>
    <row r="249" spans="2:49" hidden="1" x14ac:dyDescent="0.25">
      <c r="B249"/>
      <c r="C249" s="170"/>
      <c r="D249" s="171"/>
      <c r="E249" s="170"/>
      <c r="F249"/>
      <c r="G249" s="172"/>
      <c r="H249" s="173"/>
      <c r="I249" s="172"/>
      <c r="J249"/>
      <c r="K249" s="170"/>
      <c r="L249" s="171"/>
      <c r="M249" s="170"/>
      <c r="N249"/>
      <c r="O249" s="170"/>
      <c r="P249" s="171"/>
      <c r="Q249" s="170"/>
      <c r="R249"/>
      <c r="S249" s="170"/>
      <c r="T249" s="171"/>
      <c r="U249" s="170"/>
      <c r="V249"/>
      <c r="W249" s="170"/>
      <c r="X249" s="170"/>
      <c r="Y249" s="174"/>
      <c r="Z249"/>
      <c r="AA249" s="170"/>
      <c r="AB249" s="171"/>
      <c r="AC249" s="174"/>
      <c r="AD249"/>
      <c r="AE249" s="170"/>
      <c r="AF249" s="170"/>
      <c r="AG249" s="170"/>
      <c r="AH249"/>
      <c r="AI249" s="170"/>
      <c r="AJ249" s="171"/>
      <c r="AK249" s="170"/>
      <c r="AL249"/>
      <c r="AM249" s="170"/>
      <c r="AN249" s="170"/>
      <c r="AO249" s="170"/>
      <c r="AP249"/>
      <c r="AQ249" s="170"/>
      <c r="AR249" s="170"/>
      <c r="AS249" s="174"/>
      <c r="AT249"/>
      <c r="AU249" s="170"/>
      <c r="AV249" s="170"/>
      <c r="AW249" s="170"/>
    </row>
    <row r="250" spans="2:49" hidden="1" x14ac:dyDescent="0.25">
      <c r="B250"/>
      <c r="C250" s="170"/>
      <c r="D250" s="171"/>
      <c r="E250" s="170"/>
      <c r="F250"/>
      <c r="G250" s="172"/>
      <c r="H250" s="173"/>
      <c r="I250" s="172"/>
      <c r="J250"/>
      <c r="K250" s="170"/>
      <c r="L250" s="171"/>
      <c r="M250" s="170"/>
      <c r="N250"/>
      <c r="O250" s="170"/>
      <c r="P250" s="171"/>
      <c r="Q250" s="170"/>
      <c r="R250"/>
      <c r="S250" s="170"/>
      <c r="T250" s="171"/>
      <c r="U250" s="170"/>
      <c r="V250"/>
      <c r="W250" s="170"/>
      <c r="X250" s="170"/>
      <c r="Y250" s="174"/>
      <c r="Z250"/>
      <c r="AA250" s="170"/>
      <c r="AB250" s="171"/>
      <c r="AC250" s="174"/>
      <c r="AD250"/>
      <c r="AE250" s="170"/>
      <c r="AF250" s="170"/>
      <c r="AG250" s="170"/>
      <c r="AH250"/>
      <c r="AI250" s="170"/>
      <c r="AJ250" s="171"/>
      <c r="AK250" s="170"/>
      <c r="AL250"/>
      <c r="AM250" s="170"/>
      <c r="AN250" s="170"/>
      <c r="AO250" s="170"/>
      <c r="AP250"/>
      <c r="AQ250" s="170"/>
      <c r="AR250" s="170"/>
      <c r="AS250" s="174"/>
      <c r="AT250"/>
      <c r="AU250" s="170"/>
      <c r="AV250" s="170"/>
      <c r="AW250" s="170"/>
    </row>
    <row r="251" spans="2:49" hidden="1" x14ac:dyDescent="0.25">
      <c r="B251"/>
      <c r="C251" s="170"/>
      <c r="D251" s="171"/>
      <c r="E251" s="170"/>
      <c r="F251"/>
      <c r="G251" s="172"/>
      <c r="H251" s="173"/>
      <c r="I251" s="172"/>
      <c r="J251"/>
      <c r="K251" s="170"/>
      <c r="L251" s="171"/>
      <c r="M251" s="170"/>
      <c r="N251"/>
      <c r="O251" s="170"/>
      <c r="P251" s="171"/>
      <c r="Q251" s="170"/>
      <c r="R251"/>
      <c r="S251" s="170"/>
      <c r="T251" s="171"/>
      <c r="U251" s="170"/>
      <c r="V251"/>
      <c r="W251" s="170"/>
      <c r="X251" s="170"/>
      <c r="Y251" s="174"/>
      <c r="Z251"/>
      <c r="AA251" s="170"/>
      <c r="AB251" s="171"/>
      <c r="AC251" s="174"/>
      <c r="AD251"/>
      <c r="AE251" s="170"/>
      <c r="AF251" s="170"/>
      <c r="AG251" s="170"/>
      <c r="AH251"/>
      <c r="AI251" s="170"/>
      <c r="AJ251" s="171"/>
      <c r="AK251" s="170"/>
      <c r="AL251"/>
      <c r="AM251" s="170"/>
      <c r="AN251" s="170"/>
      <c r="AO251" s="170"/>
      <c r="AP251"/>
      <c r="AQ251" s="170"/>
      <c r="AR251" s="170"/>
      <c r="AS251" s="174"/>
      <c r="AT251"/>
      <c r="AU251" s="170"/>
      <c r="AV251" s="170"/>
      <c r="AW251" s="170"/>
    </row>
    <row r="252" spans="2:49" hidden="1" x14ac:dyDescent="0.25">
      <c r="B252"/>
      <c r="C252" s="170"/>
      <c r="D252" s="171"/>
      <c r="E252" s="170"/>
      <c r="F252"/>
      <c r="G252" s="172"/>
      <c r="H252" s="173"/>
      <c r="I252" s="172"/>
      <c r="J252"/>
      <c r="K252" s="170"/>
      <c r="L252" s="171"/>
      <c r="M252" s="170"/>
      <c r="N252"/>
      <c r="O252" s="170"/>
      <c r="P252" s="171"/>
      <c r="Q252" s="170"/>
      <c r="R252"/>
      <c r="S252" s="170"/>
      <c r="T252" s="171"/>
      <c r="U252" s="170"/>
      <c r="V252"/>
      <c r="W252" s="170"/>
      <c r="X252" s="170"/>
      <c r="Y252" s="174"/>
      <c r="Z252"/>
      <c r="AA252" s="170"/>
      <c r="AB252" s="171"/>
      <c r="AC252" s="174"/>
      <c r="AD252"/>
      <c r="AE252" s="170"/>
      <c r="AF252" s="170"/>
      <c r="AG252" s="170"/>
      <c r="AH252"/>
      <c r="AI252" s="170"/>
      <c r="AJ252" s="171"/>
      <c r="AK252" s="170"/>
      <c r="AL252"/>
      <c r="AM252" s="170"/>
      <c r="AN252" s="170"/>
      <c r="AO252" s="170"/>
      <c r="AP252"/>
      <c r="AQ252" s="170"/>
      <c r="AR252" s="170"/>
      <c r="AS252" s="174"/>
      <c r="AT252"/>
      <c r="AU252" s="170"/>
      <c r="AV252" s="170"/>
      <c r="AW252" s="170"/>
    </row>
    <row r="253" spans="2:49" hidden="1" x14ac:dyDescent="0.25">
      <c r="B253"/>
      <c r="C253" s="170"/>
      <c r="D253" s="171"/>
      <c r="E253" s="170"/>
      <c r="F253"/>
      <c r="G253" s="172"/>
      <c r="H253" s="173"/>
      <c r="I253" s="172"/>
      <c r="J253"/>
      <c r="K253" s="170"/>
      <c r="L253" s="171"/>
      <c r="M253" s="170"/>
      <c r="N253"/>
      <c r="O253" s="170"/>
      <c r="P253" s="171"/>
      <c r="Q253" s="170"/>
      <c r="R253"/>
      <c r="S253" s="170"/>
      <c r="T253" s="171"/>
      <c r="U253" s="170"/>
      <c r="V253"/>
      <c r="W253" s="170"/>
      <c r="X253" s="170"/>
      <c r="Y253" s="174"/>
      <c r="Z253"/>
      <c r="AA253" s="170"/>
      <c r="AB253" s="171"/>
      <c r="AC253" s="174"/>
      <c r="AD253"/>
      <c r="AE253" s="170"/>
      <c r="AF253" s="170"/>
      <c r="AG253" s="170"/>
      <c r="AH253"/>
      <c r="AI253" s="170"/>
      <c r="AJ253" s="171"/>
      <c r="AK253" s="170"/>
      <c r="AL253"/>
      <c r="AM253" s="170"/>
      <c r="AN253" s="170"/>
      <c r="AO253" s="170"/>
      <c r="AP253"/>
      <c r="AQ253" s="170"/>
      <c r="AR253" s="170"/>
      <c r="AS253" s="174"/>
      <c r="AT253"/>
      <c r="AU253" s="170"/>
      <c r="AV253" s="170"/>
      <c r="AW253" s="170"/>
    </row>
    <row r="254" spans="2:49" hidden="1" x14ac:dyDescent="0.25">
      <c r="B254"/>
      <c r="C254" s="170"/>
      <c r="D254" s="171"/>
      <c r="E254" s="170"/>
      <c r="F254"/>
      <c r="G254" s="172"/>
      <c r="H254" s="173"/>
      <c r="I254" s="172"/>
      <c r="J254"/>
      <c r="K254" s="170"/>
      <c r="L254" s="171"/>
      <c r="M254" s="170"/>
      <c r="N254"/>
      <c r="O254" s="170"/>
      <c r="P254" s="171"/>
      <c r="Q254" s="170"/>
      <c r="R254"/>
      <c r="S254" s="170"/>
      <c r="T254" s="171"/>
      <c r="U254" s="170"/>
      <c r="V254"/>
      <c r="W254" s="170"/>
      <c r="X254" s="170"/>
      <c r="Y254" s="174"/>
      <c r="Z254"/>
      <c r="AA254" s="170"/>
      <c r="AB254" s="171"/>
      <c r="AC254" s="174"/>
      <c r="AD254"/>
      <c r="AE254" s="170"/>
      <c r="AF254" s="170"/>
      <c r="AG254" s="170"/>
      <c r="AH254"/>
      <c r="AI254" s="170"/>
      <c r="AJ254" s="171"/>
      <c r="AK254" s="170"/>
      <c r="AL254"/>
      <c r="AM254" s="170"/>
      <c r="AN254" s="170"/>
      <c r="AO254" s="170"/>
      <c r="AP254"/>
      <c r="AQ254" s="170"/>
      <c r="AR254" s="170"/>
      <c r="AS254" s="174"/>
      <c r="AT254"/>
      <c r="AU254" s="170"/>
      <c r="AV254" s="170"/>
      <c r="AW254" s="170"/>
    </row>
    <row r="255" spans="2:49" hidden="1" x14ac:dyDescent="0.25">
      <c r="B255"/>
      <c r="C255" s="170"/>
      <c r="D255" s="171"/>
      <c r="E255" s="170"/>
      <c r="F255"/>
      <c r="G255" s="172"/>
      <c r="H255" s="173"/>
      <c r="I255" s="172"/>
      <c r="J255"/>
      <c r="K255" s="170"/>
      <c r="L255" s="171"/>
      <c r="M255" s="170"/>
      <c r="N255"/>
      <c r="O255" s="170"/>
      <c r="P255" s="171"/>
      <c r="Q255" s="170"/>
      <c r="R255"/>
      <c r="S255" s="170"/>
      <c r="T255" s="171"/>
      <c r="U255" s="170"/>
      <c r="V255"/>
      <c r="W255" s="170"/>
      <c r="X255" s="170"/>
      <c r="Y255" s="174"/>
      <c r="Z255"/>
      <c r="AA255" s="170"/>
      <c r="AB255" s="171"/>
      <c r="AC255" s="174"/>
      <c r="AD255"/>
      <c r="AE255" s="170"/>
      <c r="AF255" s="170"/>
      <c r="AG255" s="170"/>
      <c r="AH255"/>
      <c r="AI255" s="170"/>
      <c r="AJ255" s="171"/>
      <c r="AK255" s="170"/>
      <c r="AL255"/>
      <c r="AM255" s="170"/>
      <c r="AN255" s="170"/>
      <c r="AO255" s="170"/>
      <c r="AP255"/>
      <c r="AQ255" s="170"/>
      <c r="AR255" s="170"/>
      <c r="AS255" s="174"/>
      <c r="AT255"/>
      <c r="AU255" s="170"/>
      <c r="AV255" s="170"/>
      <c r="AW255" s="170"/>
    </row>
    <row r="256" spans="2:49" hidden="1" x14ac:dyDescent="0.25">
      <c r="B256"/>
      <c r="C256" s="170"/>
      <c r="D256" s="171"/>
      <c r="E256" s="170"/>
      <c r="F256"/>
      <c r="G256" s="172"/>
      <c r="H256" s="173"/>
      <c r="I256" s="172"/>
      <c r="J256"/>
      <c r="K256" s="170"/>
      <c r="L256" s="171"/>
      <c r="M256" s="170"/>
      <c r="N256"/>
      <c r="O256" s="170"/>
      <c r="P256" s="171"/>
      <c r="Q256" s="170"/>
      <c r="R256"/>
      <c r="S256" s="170"/>
      <c r="T256" s="171"/>
      <c r="U256" s="170"/>
      <c r="V256"/>
      <c r="W256" s="170"/>
      <c r="X256" s="170"/>
      <c r="Y256" s="174"/>
      <c r="Z256"/>
      <c r="AA256" s="170"/>
      <c r="AB256" s="171"/>
      <c r="AC256" s="174"/>
      <c r="AD256"/>
      <c r="AE256" s="170"/>
      <c r="AF256" s="170"/>
      <c r="AG256" s="170"/>
      <c r="AH256"/>
      <c r="AI256" s="170"/>
      <c r="AJ256" s="171"/>
      <c r="AK256" s="170"/>
      <c r="AL256"/>
      <c r="AM256" s="170"/>
      <c r="AN256" s="170"/>
      <c r="AO256" s="170"/>
      <c r="AP256"/>
      <c r="AQ256" s="170"/>
      <c r="AR256" s="170"/>
      <c r="AS256" s="174"/>
      <c r="AT256"/>
      <c r="AU256" s="170"/>
      <c r="AV256" s="170"/>
      <c r="AW256" s="170"/>
    </row>
    <row r="257" spans="2:49" hidden="1" x14ac:dyDescent="0.25">
      <c r="B257"/>
      <c r="C257" s="170"/>
      <c r="D257" s="171"/>
      <c r="E257" s="170"/>
      <c r="F257"/>
      <c r="G257" s="172"/>
      <c r="H257" s="173"/>
      <c r="I257" s="172"/>
      <c r="J257"/>
      <c r="K257" s="170"/>
      <c r="L257" s="171"/>
      <c r="M257" s="170"/>
      <c r="N257"/>
      <c r="O257" s="170"/>
      <c r="P257" s="171"/>
      <c r="Q257" s="170"/>
      <c r="R257"/>
      <c r="S257" s="170"/>
      <c r="T257" s="171"/>
      <c r="U257" s="170"/>
      <c r="V257"/>
      <c r="W257" s="170"/>
      <c r="X257" s="170"/>
      <c r="Y257" s="174"/>
      <c r="Z257"/>
      <c r="AA257" s="170"/>
      <c r="AB257" s="171"/>
      <c r="AC257" s="174"/>
      <c r="AD257"/>
      <c r="AE257" s="170"/>
      <c r="AF257" s="170"/>
      <c r="AG257" s="170"/>
      <c r="AH257"/>
      <c r="AI257" s="170"/>
      <c r="AJ257" s="171"/>
      <c r="AK257" s="170"/>
      <c r="AL257"/>
      <c r="AM257" s="170"/>
      <c r="AN257" s="170"/>
      <c r="AO257" s="170"/>
      <c r="AP257"/>
      <c r="AQ257" s="170"/>
      <c r="AR257" s="170"/>
      <c r="AS257" s="174"/>
      <c r="AT257"/>
      <c r="AU257" s="170"/>
      <c r="AV257" s="170"/>
      <c r="AW257" s="170"/>
    </row>
    <row r="258" spans="2:49" hidden="1" x14ac:dyDescent="0.25">
      <c r="B258"/>
      <c r="C258" s="170"/>
      <c r="D258" s="171"/>
      <c r="E258" s="170"/>
      <c r="F258"/>
      <c r="G258" s="172"/>
      <c r="H258" s="173"/>
      <c r="I258" s="172"/>
      <c r="J258"/>
      <c r="K258" s="170"/>
      <c r="L258" s="171"/>
      <c r="M258" s="170"/>
      <c r="N258"/>
      <c r="O258" s="170"/>
      <c r="P258" s="171"/>
      <c r="Q258" s="170"/>
      <c r="R258"/>
      <c r="S258" s="170"/>
      <c r="T258" s="171"/>
      <c r="U258" s="170"/>
      <c r="V258"/>
      <c r="W258" s="170"/>
      <c r="X258" s="170"/>
      <c r="Y258" s="174"/>
      <c r="Z258"/>
      <c r="AA258" s="170"/>
      <c r="AB258" s="171"/>
      <c r="AC258" s="174"/>
      <c r="AD258"/>
      <c r="AE258" s="170"/>
      <c r="AF258" s="170"/>
      <c r="AG258" s="170"/>
      <c r="AH258"/>
      <c r="AI258" s="170"/>
      <c r="AJ258" s="171"/>
      <c r="AK258" s="170"/>
      <c r="AL258"/>
      <c r="AM258" s="170"/>
      <c r="AN258" s="170"/>
      <c r="AO258" s="170"/>
      <c r="AP258"/>
      <c r="AQ258" s="170"/>
      <c r="AR258" s="170"/>
      <c r="AS258" s="174"/>
      <c r="AT258"/>
      <c r="AU258" s="170"/>
      <c r="AV258" s="170"/>
      <c r="AW258" s="170"/>
    </row>
    <row r="259" spans="2:49" hidden="1" x14ac:dyDescent="0.25">
      <c r="B259"/>
      <c r="C259" s="170"/>
      <c r="D259" s="171"/>
      <c r="E259" s="170"/>
      <c r="F259"/>
      <c r="G259" s="172"/>
      <c r="H259" s="173"/>
      <c r="I259" s="172"/>
      <c r="J259"/>
      <c r="K259" s="170"/>
      <c r="L259" s="171"/>
      <c r="M259" s="170"/>
      <c r="N259"/>
      <c r="O259" s="170"/>
      <c r="P259" s="171"/>
      <c r="Q259" s="170"/>
      <c r="R259"/>
      <c r="S259" s="170"/>
      <c r="T259" s="171"/>
      <c r="U259" s="170"/>
      <c r="V259"/>
      <c r="W259" s="170"/>
      <c r="X259" s="170"/>
      <c r="Y259" s="174"/>
      <c r="Z259"/>
      <c r="AA259" s="170"/>
      <c r="AB259" s="171"/>
      <c r="AC259" s="174"/>
      <c r="AD259"/>
      <c r="AE259" s="170"/>
      <c r="AF259" s="170"/>
      <c r="AG259" s="170"/>
      <c r="AH259"/>
      <c r="AI259" s="170"/>
      <c r="AJ259" s="171"/>
      <c r="AK259" s="170"/>
      <c r="AL259"/>
      <c r="AM259" s="170"/>
      <c r="AN259" s="170"/>
      <c r="AO259" s="170"/>
      <c r="AP259"/>
      <c r="AQ259" s="170"/>
      <c r="AR259" s="170"/>
      <c r="AS259" s="174"/>
      <c r="AT259"/>
      <c r="AU259" s="170"/>
      <c r="AV259" s="170"/>
      <c r="AW259" s="170"/>
    </row>
    <row r="260" spans="2:49" hidden="1" x14ac:dyDescent="0.25">
      <c r="B260"/>
      <c r="C260" s="170"/>
      <c r="D260" s="171"/>
      <c r="E260" s="170"/>
      <c r="F260"/>
      <c r="G260" s="172"/>
      <c r="H260" s="173"/>
      <c r="I260" s="172"/>
      <c r="J260"/>
      <c r="K260" s="170"/>
      <c r="L260" s="171"/>
      <c r="M260" s="170"/>
      <c r="N260"/>
      <c r="O260" s="170"/>
      <c r="P260" s="171"/>
      <c r="Q260" s="170"/>
      <c r="R260"/>
      <c r="S260" s="170"/>
      <c r="T260" s="171"/>
      <c r="U260" s="170"/>
      <c r="V260"/>
      <c r="W260" s="170"/>
      <c r="X260" s="170"/>
      <c r="Y260" s="174"/>
      <c r="Z260"/>
      <c r="AA260" s="170"/>
      <c r="AB260" s="171"/>
      <c r="AC260" s="174"/>
      <c r="AD260"/>
      <c r="AE260" s="170"/>
      <c r="AF260" s="170"/>
      <c r="AG260" s="170"/>
      <c r="AH260"/>
      <c r="AI260" s="170"/>
      <c r="AJ260" s="171"/>
      <c r="AK260" s="170"/>
      <c r="AL260"/>
      <c r="AM260" s="170"/>
      <c r="AN260" s="170"/>
      <c r="AO260" s="170"/>
      <c r="AP260"/>
      <c r="AQ260" s="170"/>
      <c r="AR260" s="170"/>
      <c r="AS260" s="174"/>
      <c r="AT260"/>
      <c r="AU260" s="170"/>
      <c r="AV260" s="170"/>
      <c r="AW260" s="170"/>
    </row>
    <row r="261" spans="2:49" hidden="1" x14ac:dyDescent="0.25">
      <c r="B261"/>
      <c r="C261" s="170"/>
      <c r="D261" s="171"/>
      <c r="E261" s="170"/>
      <c r="F261"/>
      <c r="G261" s="172"/>
      <c r="H261" s="173"/>
      <c r="I261" s="172"/>
      <c r="J261"/>
      <c r="K261" s="170"/>
      <c r="L261" s="171"/>
      <c r="M261" s="170"/>
      <c r="N261"/>
      <c r="O261" s="170"/>
      <c r="P261" s="171"/>
      <c r="Q261" s="170"/>
      <c r="R261"/>
      <c r="S261" s="170"/>
      <c r="T261" s="171"/>
      <c r="U261" s="170"/>
      <c r="V261"/>
      <c r="W261" s="170"/>
      <c r="X261" s="170"/>
      <c r="Y261" s="174"/>
      <c r="Z261"/>
      <c r="AA261" s="170"/>
      <c r="AB261" s="171"/>
      <c r="AC261" s="174"/>
      <c r="AD261"/>
      <c r="AE261" s="170"/>
      <c r="AF261" s="170"/>
      <c r="AG261" s="170"/>
      <c r="AH261"/>
      <c r="AI261" s="170"/>
      <c r="AJ261" s="171"/>
      <c r="AK261" s="170"/>
      <c r="AL261"/>
      <c r="AM261" s="170"/>
      <c r="AN261" s="170"/>
      <c r="AO261" s="170"/>
      <c r="AP261"/>
      <c r="AQ261" s="170"/>
      <c r="AR261" s="170"/>
      <c r="AS261" s="174"/>
      <c r="AT261"/>
      <c r="AU261" s="170"/>
      <c r="AV261" s="170"/>
      <c r="AW261" s="170"/>
    </row>
    <row r="262" spans="2:49" hidden="1" x14ac:dyDescent="0.25">
      <c r="B262"/>
      <c r="C262" s="170"/>
      <c r="D262" s="171"/>
      <c r="E262" s="170"/>
      <c r="F262"/>
      <c r="G262" s="172"/>
      <c r="H262" s="173"/>
      <c r="I262" s="172"/>
      <c r="J262"/>
      <c r="K262" s="170"/>
      <c r="L262" s="171"/>
      <c r="M262" s="170"/>
      <c r="N262"/>
      <c r="O262" s="170"/>
      <c r="P262" s="171"/>
      <c r="Q262" s="170"/>
      <c r="R262"/>
      <c r="S262" s="170"/>
      <c r="T262" s="171"/>
      <c r="U262" s="170"/>
      <c r="V262"/>
      <c r="W262" s="170"/>
      <c r="X262" s="170"/>
      <c r="Y262" s="174"/>
      <c r="Z262"/>
      <c r="AA262" s="170"/>
      <c r="AB262" s="171"/>
      <c r="AC262" s="174"/>
      <c r="AD262"/>
      <c r="AE262" s="170"/>
      <c r="AF262" s="170"/>
      <c r="AG262" s="170"/>
      <c r="AH262"/>
      <c r="AI262" s="170"/>
      <c r="AJ262" s="171"/>
      <c r="AK262" s="170"/>
      <c r="AL262"/>
      <c r="AM262" s="170"/>
      <c r="AN262" s="170"/>
      <c r="AO262" s="170"/>
      <c r="AP262"/>
      <c r="AQ262" s="170"/>
      <c r="AR262" s="170"/>
      <c r="AS262" s="174"/>
      <c r="AT262"/>
      <c r="AU262" s="170"/>
      <c r="AV262" s="170"/>
      <c r="AW262" s="170"/>
    </row>
    <row r="263" spans="2:49" hidden="1" x14ac:dyDescent="0.25">
      <c r="B263"/>
      <c r="C263" s="170"/>
      <c r="D263" s="171"/>
      <c r="E263" s="170"/>
      <c r="F263"/>
      <c r="G263" s="172"/>
      <c r="H263" s="173"/>
      <c r="I263" s="172"/>
      <c r="J263"/>
      <c r="K263" s="170"/>
      <c r="L263" s="171"/>
      <c r="M263" s="170"/>
      <c r="N263"/>
      <c r="O263" s="170"/>
      <c r="P263" s="171"/>
      <c r="Q263" s="170"/>
      <c r="R263"/>
      <c r="S263" s="170"/>
      <c r="T263" s="171"/>
      <c r="U263" s="170"/>
      <c r="V263"/>
      <c r="W263" s="170"/>
      <c r="X263" s="170"/>
      <c r="Y263" s="174"/>
      <c r="Z263"/>
      <c r="AA263" s="170"/>
      <c r="AB263" s="171"/>
      <c r="AC263" s="174"/>
      <c r="AD263"/>
      <c r="AE263" s="170"/>
      <c r="AF263" s="170"/>
      <c r="AG263" s="170"/>
      <c r="AH263"/>
      <c r="AI263" s="170"/>
      <c r="AJ263" s="171"/>
      <c r="AK263" s="170"/>
      <c r="AL263"/>
      <c r="AM263" s="170"/>
      <c r="AN263" s="170"/>
      <c r="AO263" s="170"/>
      <c r="AP263"/>
      <c r="AQ263" s="170"/>
      <c r="AR263" s="170"/>
      <c r="AS263" s="174"/>
      <c r="AT263"/>
      <c r="AU263" s="170"/>
      <c r="AV263" s="170"/>
      <c r="AW263" s="170"/>
    </row>
    <row r="264" spans="2:49" hidden="1" x14ac:dyDescent="0.25">
      <c r="B264"/>
      <c r="C264" s="170"/>
      <c r="D264" s="171"/>
      <c r="E264" s="170"/>
      <c r="F264"/>
      <c r="G264" s="172"/>
      <c r="H264" s="173"/>
      <c r="I264" s="172"/>
      <c r="J264"/>
      <c r="K264" s="170"/>
      <c r="L264" s="171"/>
      <c r="M264" s="170"/>
      <c r="N264"/>
      <c r="O264" s="170"/>
      <c r="P264" s="171"/>
      <c r="Q264" s="170"/>
      <c r="R264"/>
      <c r="S264" s="170"/>
      <c r="T264" s="171"/>
      <c r="U264" s="170"/>
      <c r="V264"/>
      <c r="W264" s="170"/>
      <c r="X264" s="170"/>
      <c r="Y264" s="174"/>
      <c r="Z264"/>
      <c r="AA264" s="170"/>
      <c r="AB264" s="171"/>
      <c r="AC264" s="174"/>
      <c r="AD264"/>
      <c r="AE264" s="170"/>
      <c r="AF264" s="170"/>
      <c r="AG264" s="170"/>
      <c r="AH264"/>
      <c r="AI264" s="170"/>
      <c r="AJ264" s="171"/>
      <c r="AK264" s="170"/>
      <c r="AL264"/>
      <c r="AM264" s="170"/>
      <c r="AN264" s="170"/>
      <c r="AO264" s="170"/>
      <c r="AP264"/>
      <c r="AQ264" s="170"/>
      <c r="AR264" s="170"/>
      <c r="AS264" s="174"/>
      <c r="AT264"/>
      <c r="AU264" s="170"/>
      <c r="AV264" s="170"/>
      <c r="AW264" s="170"/>
    </row>
    <row r="265" spans="2:49" hidden="1" x14ac:dyDescent="0.25">
      <c r="B265"/>
      <c r="C265" s="170"/>
      <c r="D265" s="171"/>
      <c r="E265" s="170"/>
      <c r="F265"/>
      <c r="G265" s="172"/>
      <c r="H265" s="173"/>
      <c r="I265" s="172"/>
      <c r="J265"/>
      <c r="K265" s="170"/>
      <c r="L265" s="171"/>
      <c r="M265" s="170"/>
      <c r="N265"/>
      <c r="O265" s="170"/>
      <c r="P265" s="171"/>
      <c r="Q265" s="170"/>
      <c r="R265"/>
      <c r="S265" s="170"/>
      <c r="T265" s="171"/>
      <c r="U265" s="170"/>
      <c r="V265"/>
      <c r="W265" s="170"/>
      <c r="X265" s="170"/>
      <c r="Y265" s="174"/>
      <c r="Z265"/>
      <c r="AA265" s="170"/>
      <c r="AB265" s="171"/>
      <c r="AC265" s="174"/>
      <c r="AD265"/>
      <c r="AE265" s="170"/>
      <c r="AF265" s="170"/>
      <c r="AG265" s="170"/>
      <c r="AH265"/>
      <c r="AI265" s="170"/>
      <c r="AJ265" s="171"/>
      <c r="AK265" s="170"/>
      <c r="AL265"/>
      <c r="AM265" s="170"/>
      <c r="AN265" s="170"/>
      <c r="AO265" s="170"/>
      <c r="AP265"/>
      <c r="AQ265" s="170"/>
      <c r="AR265" s="170"/>
      <c r="AS265" s="174"/>
      <c r="AT265"/>
      <c r="AU265" s="170"/>
      <c r="AV265" s="170"/>
      <c r="AW265" s="170"/>
    </row>
    <row r="266" spans="2:49" hidden="1" x14ac:dyDescent="0.25">
      <c r="B266"/>
      <c r="C266" s="170"/>
      <c r="D266" s="171"/>
      <c r="E266" s="170"/>
      <c r="F266"/>
      <c r="G266" s="172"/>
      <c r="H266" s="173"/>
      <c r="I266" s="172"/>
      <c r="J266"/>
      <c r="K266" s="170"/>
      <c r="L266" s="171"/>
      <c r="M266" s="170"/>
      <c r="N266"/>
      <c r="O266" s="170"/>
      <c r="P266" s="171"/>
      <c r="Q266" s="170"/>
      <c r="R266"/>
      <c r="S266" s="170"/>
      <c r="T266" s="171"/>
      <c r="U266" s="170"/>
      <c r="V266"/>
      <c r="W266" s="170"/>
      <c r="X266" s="170"/>
      <c r="Y266" s="174"/>
      <c r="Z266"/>
      <c r="AA266" s="170"/>
      <c r="AB266" s="171"/>
      <c r="AC266" s="174"/>
      <c r="AD266"/>
      <c r="AE266" s="170"/>
      <c r="AF266" s="170"/>
      <c r="AG266" s="170"/>
      <c r="AH266"/>
      <c r="AI266" s="170"/>
      <c r="AJ266" s="171"/>
      <c r="AK266" s="170"/>
      <c r="AL266"/>
      <c r="AM266" s="170"/>
      <c r="AN266" s="170"/>
      <c r="AO266" s="170"/>
      <c r="AP266"/>
      <c r="AQ266" s="170"/>
      <c r="AR266" s="170"/>
      <c r="AS266" s="174"/>
      <c r="AT266"/>
      <c r="AU266" s="170"/>
      <c r="AV266" s="170"/>
      <c r="AW266" s="170"/>
    </row>
    <row r="267" spans="2:49" hidden="1" x14ac:dyDescent="0.25">
      <c r="B267"/>
      <c r="C267" s="170"/>
      <c r="D267" s="171"/>
      <c r="E267" s="170"/>
      <c r="F267"/>
      <c r="G267" s="172"/>
      <c r="H267" s="173"/>
      <c r="I267" s="172"/>
      <c r="J267"/>
      <c r="K267" s="170"/>
      <c r="L267" s="171"/>
      <c r="M267" s="170"/>
      <c r="N267"/>
      <c r="O267" s="170"/>
      <c r="P267" s="171"/>
      <c r="Q267" s="170"/>
      <c r="R267"/>
      <c r="S267" s="170"/>
      <c r="T267" s="171"/>
      <c r="U267" s="170"/>
      <c r="V267"/>
      <c r="W267" s="170"/>
      <c r="X267" s="170"/>
      <c r="Y267" s="174"/>
      <c r="Z267"/>
      <c r="AA267" s="170"/>
      <c r="AB267" s="171"/>
      <c r="AC267" s="174"/>
      <c r="AD267"/>
      <c r="AE267" s="170"/>
      <c r="AF267" s="170"/>
      <c r="AG267" s="170"/>
      <c r="AH267"/>
      <c r="AI267" s="170"/>
      <c r="AJ267" s="171"/>
      <c r="AK267" s="170"/>
      <c r="AL267"/>
      <c r="AM267" s="170"/>
      <c r="AN267" s="170"/>
      <c r="AO267" s="170"/>
      <c r="AP267"/>
      <c r="AQ267" s="170"/>
      <c r="AR267" s="170"/>
      <c r="AS267" s="174"/>
      <c r="AT267"/>
      <c r="AU267" s="170"/>
      <c r="AV267" s="170"/>
      <c r="AW267" s="170"/>
    </row>
    <row r="268" spans="2:49" hidden="1" x14ac:dyDescent="0.25">
      <c r="B268"/>
      <c r="C268" s="170"/>
      <c r="D268" s="171"/>
      <c r="E268" s="170"/>
      <c r="F268"/>
      <c r="G268" s="172"/>
      <c r="H268" s="173"/>
      <c r="I268" s="172"/>
      <c r="J268"/>
      <c r="K268" s="170"/>
      <c r="L268" s="171"/>
      <c r="M268" s="170"/>
      <c r="N268"/>
      <c r="O268" s="170"/>
      <c r="P268" s="171"/>
      <c r="Q268" s="170"/>
      <c r="R268"/>
      <c r="S268" s="170"/>
      <c r="T268" s="171"/>
      <c r="U268" s="170"/>
      <c r="V268"/>
      <c r="W268" s="170"/>
      <c r="X268" s="170"/>
      <c r="Y268" s="174"/>
      <c r="Z268"/>
      <c r="AA268" s="170"/>
      <c r="AB268" s="171"/>
      <c r="AC268" s="174"/>
      <c r="AD268"/>
      <c r="AE268" s="170"/>
      <c r="AF268" s="170"/>
      <c r="AG268" s="170"/>
      <c r="AH268"/>
      <c r="AI268" s="170"/>
      <c r="AJ268" s="171"/>
      <c r="AK268" s="170"/>
      <c r="AL268"/>
      <c r="AM268" s="170"/>
      <c r="AN268" s="170"/>
      <c r="AO268" s="170"/>
      <c r="AP268"/>
      <c r="AQ268" s="170"/>
      <c r="AR268" s="170"/>
      <c r="AS268" s="174"/>
      <c r="AT268"/>
      <c r="AU268" s="170"/>
      <c r="AV268" s="170"/>
      <c r="AW268" s="170"/>
    </row>
    <row r="269" spans="2:49" hidden="1" x14ac:dyDescent="0.25">
      <c r="B269"/>
      <c r="C269" s="170"/>
      <c r="D269" s="171"/>
      <c r="E269" s="170"/>
      <c r="F269"/>
      <c r="G269" s="172"/>
      <c r="H269" s="173"/>
      <c r="I269" s="172"/>
      <c r="J269"/>
      <c r="K269" s="170"/>
      <c r="L269" s="171"/>
      <c r="M269" s="170"/>
      <c r="N269"/>
      <c r="O269" s="170"/>
      <c r="P269" s="171"/>
      <c r="Q269" s="170"/>
      <c r="R269"/>
      <c r="S269" s="170"/>
      <c r="T269" s="171"/>
      <c r="U269" s="170"/>
      <c r="V269"/>
      <c r="W269" s="170"/>
      <c r="X269" s="170"/>
      <c r="Y269" s="174"/>
      <c r="Z269"/>
      <c r="AA269" s="170"/>
      <c r="AB269" s="171"/>
      <c r="AC269" s="174"/>
      <c r="AD269"/>
      <c r="AE269" s="170"/>
      <c r="AF269" s="170"/>
      <c r="AG269" s="170"/>
      <c r="AH269"/>
      <c r="AI269" s="170"/>
      <c r="AJ269" s="171"/>
      <c r="AK269" s="170"/>
      <c r="AL269"/>
      <c r="AM269" s="170"/>
      <c r="AN269" s="170"/>
      <c r="AO269" s="170"/>
      <c r="AP269"/>
      <c r="AQ269" s="170"/>
      <c r="AR269" s="170"/>
      <c r="AS269" s="174"/>
      <c r="AT269"/>
      <c r="AU269" s="170"/>
      <c r="AV269" s="170"/>
      <c r="AW269" s="170"/>
    </row>
    <row r="270" spans="2:49" hidden="1" x14ac:dyDescent="0.25">
      <c r="B270"/>
      <c r="C270" s="170"/>
      <c r="D270" s="171"/>
      <c r="E270" s="170"/>
      <c r="F270"/>
      <c r="G270" s="172"/>
      <c r="H270" s="173"/>
      <c r="I270" s="172"/>
      <c r="J270"/>
      <c r="K270" s="170"/>
      <c r="L270" s="171"/>
      <c r="M270" s="170"/>
      <c r="N270"/>
      <c r="O270" s="170"/>
      <c r="P270" s="171"/>
      <c r="Q270" s="170"/>
      <c r="R270"/>
      <c r="S270" s="170"/>
      <c r="T270" s="171"/>
      <c r="U270" s="170"/>
      <c r="V270"/>
      <c r="W270" s="170"/>
      <c r="X270" s="170"/>
      <c r="Y270" s="174"/>
      <c r="Z270"/>
      <c r="AA270" s="170"/>
      <c r="AB270" s="171"/>
      <c r="AC270" s="174"/>
      <c r="AD270"/>
      <c r="AE270" s="170"/>
      <c r="AF270" s="170"/>
      <c r="AG270" s="170"/>
      <c r="AH270"/>
      <c r="AI270" s="170"/>
      <c r="AJ270" s="171"/>
      <c r="AK270" s="170"/>
      <c r="AL270"/>
      <c r="AM270" s="170"/>
      <c r="AN270" s="170"/>
      <c r="AO270" s="170"/>
      <c r="AP270"/>
      <c r="AQ270" s="170"/>
      <c r="AR270" s="170"/>
      <c r="AS270" s="174"/>
      <c r="AT270"/>
      <c r="AU270" s="170"/>
      <c r="AV270" s="170"/>
      <c r="AW270" s="170"/>
    </row>
    <row r="271" spans="2:49" hidden="1" x14ac:dyDescent="0.25">
      <c r="B271"/>
      <c r="C271" s="170"/>
      <c r="D271" s="171"/>
      <c r="E271" s="170"/>
      <c r="F271"/>
      <c r="G271" s="172"/>
      <c r="H271" s="173"/>
      <c r="I271" s="172"/>
      <c r="J271"/>
      <c r="K271" s="170"/>
      <c r="L271" s="171"/>
      <c r="M271" s="170"/>
      <c r="N271"/>
      <c r="O271" s="170"/>
      <c r="P271" s="171"/>
      <c r="Q271" s="170"/>
      <c r="R271"/>
      <c r="S271" s="170"/>
      <c r="T271" s="171"/>
      <c r="U271" s="170"/>
      <c r="V271"/>
      <c r="W271" s="170"/>
      <c r="X271" s="170"/>
      <c r="Y271" s="174"/>
      <c r="Z271"/>
      <c r="AA271" s="170"/>
      <c r="AB271" s="171"/>
      <c r="AC271" s="174"/>
      <c r="AD271"/>
      <c r="AE271" s="170"/>
      <c r="AF271" s="170"/>
      <c r="AG271" s="170"/>
      <c r="AH271"/>
      <c r="AI271" s="170"/>
      <c r="AJ271" s="171"/>
      <c r="AK271" s="170"/>
      <c r="AL271"/>
      <c r="AM271" s="170"/>
      <c r="AN271" s="170"/>
      <c r="AO271" s="170"/>
      <c r="AP271"/>
      <c r="AQ271" s="170"/>
      <c r="AR271" s="170"/>
      <c r="AS271" s="174"/>
      <c r="AT271"/>
      <c r="AU271" s="170"/>
      <c r="AV271" s="170"/>
      <c r="AW271" s="170"/>
    </row>
    <row r="272" spans="2:49" hidden="1" x14ac:dyDescent="0.25">
      <c r="B272"/>
      <c r="C272" s="170"/>
      <c r="D272" s="171"/>
      <c r="E272" s="170"/>
      <c r="F272"/>
      <c r="G272" s="172"/>
      <c r="H272" s="173"/>
      <c r="I272" s="172"/>
      <c r="J272"/>
      <c r="K272" s="170"/>
      <c r="L272" s="171"/>
      <c r="M272" s="170"/>
      <c r="N272"/>
      <c r="O272" s="170"/>
      <c r="P272" s="171"/>
      <c r="Q272" s="170"/>
      <c r="R272"/>
      <c r="S272" s="170"/>
      <c r="T272" s="171"/>
      <c r="U272" s="170"/>
      <c r="V272"/>
      <c r="W272" s="170"/>
      <c r="X272" s="170"/>
      <c r="Y272" s="174"/>
      <c r="Z272"/>
      <c r="AA272" s="170"/>
      <c r="AB272" s="171"/>
      <c r="AC272" s="174"/>
      <c r="AD272"/>
      <c r="AE272" s="170"/>
      <c r="AF272" s="170"/>
      <c r="AG272" s="170"/>
      <c r="AH272"/>
      <c r="AI272" s="170"/>
      <c r="AJ272" s="171"/>
      <c r="AK272" s="170"/>
      <c r="AL272"/>
      <c r="AM272" s="170"/>
      <c r="AN272" s="170"/>
      <c r="AO272" s="170"/>
      <c r="AP272"/>
      <c r="AQ272" s="170"/>
      <c r="AR272" s="170"/>
      <c r="AS272" s="174"/>
      <c r="AT272"/>
      <c r="AU272" s="170"/>
      <c r="AV272" s="170"/>
      <c r="AW272" s="170"/>
    </row>
    <row r="273" spans="2:49" hidden="1" x14ac:dyDescent="0.25">
      <c r="B273"/>
      <c r="C273" s="170"/>
      <c r="D273" s="171"/>
      <c r="E273" s="170"/>
      <c r="F273"/>
      <c r="G273" s="172"/>
      <c r="H273" s="173"/>
      <c r="I273" s="172"/>
      <c r="J273"/>
      <c r="K273" s="170"/>
      <c r="L273" s="171"/>
      <c r="M273" s="170"/>
      <c r="N273"/>
      <c r="O273" s="170"/>
      <c r="P273" s="171"/>
      <c r="Q273" s="170"/>
      <c r="R273"/>
      <c r="S273" s="170"/>
      <c r="T273" s="171"/>
      <c r="U273" s="170"/>
      <c r="V273"/>
      <c r="W273" s="170"/>
      <c r="X273" s="170"/>
      <c r="Y273" s="174"/>
      <c r="Z273"/>
      <c r="AA273" s="170"/>
      <c r="AB273" s="171"/>
      <c r="AC273" s="174"/>
      <c r="AD273"/>
      <c r="AE273" s="170"/>
      <c r="AF273" s="170"/>
      <c r="AG273" s="170"/>
      <c r="AH273"/>
      <c r="AI273" s="170"/>
      <c r="AJ273" s="171"/>
      <c r="AK273" s="170"/>
      <c r="AL273"/>
      <c r="AM273" s="170"/>
      <c r="AN273" s="170"/>
      <c r="AO273" s="170"/>
      <c r="AP273"/>
      <c r="AQ273" s="170"/>
      <c r="AR273" s="170"/>
      <c r="AS273" s="174"/>
      <c r="AT273"/>
      <c r="AU273" s="170"/>
      <c r="AV273" s="170"/>
      <c r="AW273" s="170"/>
    </row>
    <row r="274" spans="2:49" hidden="1" x14ac:dyDescent="0.25">
      <c r="B274"/>
      <c r="C274" s="170"/>
      <c r="D274" s="171"/>
      <c r="E274" s="170"/>
      <c r="F274"/>
      <c r="G274" s="172"/>
      <c r="H274" s="173"/>
      <c r="I274" s="172"/>
      <c r="J274"/>
      <c r="K274" s="170"/>
      <c r="L274" s="171"/>
      <c r="M274" s="170"/>
      <c r="N274"/>
      <c r="O274" s="170"/>
      <c r="P274" s="171"/>
      <c r="Q274" s="170"/>
      <c r="R274"/>
      <c r="S274" s="170"/>
      <c r="T274" s="171"/>
      <c r="U274" s="170"/>
      <c r="V274"/>
      <c r="W274" s="170"/>
      <c r="X274" s="170"/>
      <c r="Y274" s="174"/>
      <c r="Z274"/>
      <c r="AA274" s="170"/>
      <c r="AB274" s="171"/>
      <c r="AC274" s="174"/>
      <c r="AD274"/>
      <c r="AE274" s="170"/>
      <c r="AF274" s="170"/>
      <c r="AG274" s="170"/>
      <c r="AH274"/>
      <c r="AI274" s="170"/>
      <c r="AJ274" s="171"/>
      <c r="AK274" s="170"/>
      <c r="AL274"/>
      <c r="AM274" s="170"/>
      <c r="AN274" s="170"/>
      <c r="AO274" s="170"/>
      <c r="AP274"/>
      <c r="AQ274" s="170"/>
      <c r="AR274" s="170"/>
      <c r="AS274" s="174"/>
      <c r="AT274"/>
      <c r="AU274" s="170"/>
      <c r="AV274" s="170"/>
      <c r="AW274" s="170"/>
    </row>
    <row r="275" spans="2:49" hidden="1" x14ac:dyDescent="0.25">
      <c r="B275"/>
      <c r="C275" s="170"/>
      <c r="D275" s="171"/>
      <c r="E275" s="170"/>
      <c r="F275"/>
      <c r="G275" s="172"/>
      <c r="H275" s="173"/>
      <c r="I275" s="172"/>
      <c r="J275"/>
      <c r="K275" s="170"/>
      <c r="L275" s="171"/>
      <c r="M275" s="170"/>
      <c r="N275"/>
      <c r="O275" s="170"/>
      <c r="P275" s="171"/>
      <c r="Q275" s="170"/>
      <c r="R275"/>
      <c r="S275" s="170"/>
      <c r="T275" s="171"/>
      <c r="U275" s="170"/>
      <c r="V275"/>
      <c r="W275" s="170"/>
      <c r="X275" s="170"/>
      <c r="Y275" s="174"/>
      <c r="Z275"/>
      <c r="AA275" s="170"/>
      <c r="AB275" s="171"/>
      <c r="AC275" s="174"/>
      <c r="AD275"/>
      <c r="AE275" s="170"/>
      <c r="AF275" s="170"/>
      <c r="AG275" s="170"/>
      <c r="AH275"/>
      <c r="AI275" s="170"/>
      <c r="AJ275" s="171"/>
      <c r="AK275" s="170"/>
      <c r="AL275"/>
      <c r="AM275" s="170"/>
      <c r="AN275" s="170"/>
      <c r="AO275" s="170"/>
      <c r="AP275"/>
      <c r="AQ275" s="170"/>
      <c r="AR275" s="170"/>
      <c r="AS275" s="174"/>
      <c r="AT275"/>
      <c r="AU275" s="170"/>
      <c r="AV275" s="170"/>
      <c r="AW275" s="170"/>
    </row>
    <row r="276" spans="2:49" hidden="1" x14ac:dyDescent="0.25">
      <c r="B276"/>
      <c r="C276" s="170"/>
      <c r="D276" s="171"/>
      <c r="E276" s="170"/>
      <c r="F276"/>
      <c r="G276" s="172"/>
      <c r="H276" s="173"/>
      <c r="I276" s="172"/>
      <c r="J276"/>
      <c r="K276" s="170"/>
      <c r="L276" s="171"/>
      <c r="M276" s="170"/>
      <c r="N276"/>
      <c r="O276" s="170"/>
      <c r="P276" s="171"/>
      <c r="Q276" s="170"/>
      <c r="R276"/>
      <c r="S276" s="170"/>
      <c r="T276" s="171"/>
      <c r="U276" s="170"/>
      <c r="V276"/>
      <c r="W276" s="170"/>
      <c r="X276" s="170"/>
      <c r="Y276" s="174"/>
      <c r="Z276"/>
      <c r="AA276" s="170"/>
      <c r="AB276" s="171"/>
      <c r="AC276" s="174"/>
      <c r="AD276"/>
      <c r="AE276" s="170"/>
      <c r="AF276" s="170"/>
      <c r="AG276" s="170"/>
      <c r="AH276"/>
      <c r="AI276" s="170"/>
      <c r="AJ276" s="171"/>
      <c r="AK276" s="170"/>
      <c r="AL276"/>
      <c r="AM276" s="170"/>
      <c r="AN276" s="170"/>
      <c r="AO276" s="170"/>
      <c r="AP276"/>
      <c r="AQ276" s="170"/>
      <c r="AR276" s="170"/>
      <c r="AS276" s="174"/>
      <c r="AT276"/>
      <c r="AU276" s="170"/>
      <c r="AV276" s="170"/>
      <c r="AW276" s="170"/>
    </row>
    <row r="277" spans="2:49" hidden="1" x14ac:dyDescent="0.25">
      <c r="B277"/>
      <c r="C277" s="170"/>
      <c r="D277" s="171"/>
      <c r="E277" s="170"/>
      <c r="F277"/>
      <c r="G277" s="172"/>
      <c r="H277" s="173"/>
      <c r="I277" s="172"/>
      <c r="J277"/>
      <c r="K277" s="170"/>
      <c r="L277" s="171"/>
      <c r="M277" s="170"/>
      <c r="N277"/>
      <c r="O277" s="170"/>
      <c r="P277" s="171"/>
      <c r="Q277" s="170"/>
      <c r="R277"/>
      <c r="S277" s="170"/>
      <c r="T277" s="171"/>
      <c r="U277" s="170"/>
      <c r="V277"/>
      <c r="W277" s="170"/>
      <c r="X277" s="170"/>
      <c r="Y277" s="174"/>
      <c r="Z277"/>
      <c r="AA277" s="170"/>
      <c r="AB277" s="171"/>
      <c r="AC277" s="174"/>
      <c r="AD277"/>
      <c r="AE277" s="170"/>
      <c r="AF277" s="170"/>
      <c r="AG277" s="170"/>
      <c r="AH277"/>
      <c r="AI277" s="170"/>
      <c r="AJ277" s="171"/>
      <c r="AK277" s="170"/>
      <c r="AL277"/>
      <c r="AM277" s="170"/>
      <c r="AN277" s="170"/>
      <c r="AO277" s="170"/>
      <c r="AP277"/>
      <c r="AQ277" s="170"/>
      <c r="AR277" s="170"/>
      <c r="AS277" s="174"/>
      <c r="AT277"/>
      <c r="AU277" s="170"/>
      <c r="AV277" s="170"/>
      <c r="AW277" s="170"/>
    </row>
    <row r="278" spans="2:49" hidden="1" x14ac:dyDescent="0.25">
      <c r="B278"/>
      <c r="C278" s="170"/>
      <c r="D278" s="171"/>
      <c r="E278" s="170"/>
      <c r="F278"/>
      <c r="G278" s="172"/>
      <c r="H278" s="173"/>
      <c r="I278" s="172"/>
      <c r="J278"/>
      <c r="K278" s="170"/>
      <c r="L278" s="171"/>
      <c r="M278" s="170"/>
      <c r="N278"/>
      <c r="O278" s="170"/>
      <c r="P278" s="171"/>
      <c r="Q278" s="170"/>
      <c r="R278"/>
      <c r="S278" s="170"/>
      <c r="T278" s="171"/>
      <c r="U278" s="170"/>
      <c r="V278"/>
      <c r="W278" s="170"/>
      <c r="X278" s="170"/>
      <c r="Y278" s="174"/>
      <c r="Z278"/>
      <c r="AA278" s="170"/>
      <c r="AB278" s="171"/>
      <c r="AC278" s="174"/>
      <c r="AD278"/>
      <c r="AE278" s="170"/>
      <c r="AF278" s="170"/>
      <c r="AG278" s="170"/>
      <c r="AH278"/>
      <c r="AI278" s="170"/>
      <c r="AJ278" s="171"/>
      <c r="AK278" s="170"/>
      <c r="AL278"/>
      <c r="AM278" s="170"/>
      <c r="AN278" s="170"/>
      <c r="AO278" s="170"/>
      <c r="AP278"/>
      <c r="AQ278" s="170"/>
      <c r="AR278" s="170"/>
      <c r="AS278" s="174"/>
      <c r="AT278"/>
      <c r="AU278" s="170"/>
      <c r="AV278" s="170"/>
      <c r="AW278" s="170"/>
    </row>
    <row r="279" spans="2:49" hidden="1" x14ac:dyDescent="0.25">
      <c r="B279"/>
      <c r="C279" s="170"/>
      <c r="D279" s="171"/>
      <c r="E279" s="170"/>
      <c r="F279"/>
      <c r="G279" s="172"/>
      <c r="H279" s="173"/>
      <c r="I279" s="172"/>
      <c r="J279"/>
      <c r="K279" s="170"/>
      <c r="L279" s="171"/>
      <c r="M279" s="170"/>
      <c r="N279"/>
      <c r="O279" s="170"/>
      <c r="P279" s="171"/>
      <c r="Q279" s="170"/>
      <c r="R279"/>
      <c r="S279" s="170"/>
      <c r="T279" s="171"/>
      <c r="U279" s="170"/>
      <c r="V279"/>
      <c r="W279" s="170"/>
      <c r="X279" s="170"/>
      <c r="Y279" s="174"/>
      <c r="Z279"/>
      <c r="AA279" s="170"/>
      <c r="AB279" s="171"/>
      <c r="AC279" s="174"/>
      <c r="AD279"/>
      <c r="AE279" s="170"/>
      <c r="AF279" s="170"/>
      <c r="AG279" s="170"/>
      <c r="AH279"/>
      <c r="AI279" s="170"/>
      <c r="AJ279" s="171"/>
      <c r="AK279" s="170"/>
      <c r="AL279"/>
      <c r="AM279" s="170"/>
      <c r="AN279" s="170"/>
      <c r="AO279" s="170"/>
      <c r="AP279"/>
      <c r="AQ279" s="170"/>
      <c r="AR279" s="170"/>
      <c r="AS279" s="174"/>
      <c r="AT279"/>
      <c r="AU279" s="170"/>
      <c r="AV279" s="170"/>
      <c r="AW279" s="170"/>
    </row>
    <row r="280" spans="2:49" hidden="1" x14ac:dyDescent="0.25">
      <c r="B280"/>
      <c r="C280" s="170"/>
      <c r="D280" s="171"/>
      <c r="E280" s="170"/>
      <c r="F280"/>
      <c r="G280" s="172"/>
      <c r="H280" s="173"/>
      <c r="I280" s="172"/>
      <c r="J280"/>
      <c r="K280" s="170"/>
      <c r="L280" s="171"/>
      <c r="M280" s="170"/>
      <c r="N280"/>
      <c r="O280" s="170"/>
      <c r="P280" s="171"/>
      <c r="Q280" s="170"/>
      <c r="R280"/>
      <c r="S280" s="170"/>
      <c r="T280" s="171"/>
      <c r="U280" s="170"/>
      <c r="V280"/>
      <c r="W280" s="170"/>
      <c r="X280" s="170"/>
      <c r="Y280" s="174"/>
      <c r="Z280"/>
      <c r="AA280" s="170"/>
      <c r="AB280" s="171"/>
      <c r="AC280" s="174"/>
      <c r="AD280"/>
      <c r="AE280" s="170"/>
      <c r="AF280" s="170"/>
      <c r="AG280" s="170"/>
      <c r="AH280"/>
      <c r="AI280" s="170"/>
      <c r="AJ280" s="171"/>
      <c r="AK280" s="170"/>
      <c r="AL280"/>
      <c r="AM280" s="170"/>
      <c r="AN280" s="170"/>
      <c r="AO280" s="170"/>
      <c r="AP280"/>
      <c r="AQ280" s="170"/>
      <c r="AR280" s="170"/>
      <c r="AS280" s="174"/>
      <c r="AT280"/>
      <c r="AU280" s="170"/>
      <c r="AV280" s="170"/>
      <c r="AW280" s="170"/>
    </row>
    <row r="281" spans="2:49" hidden="1" x14ac:dyDescent="0.25">
      <c r="B281"/>
      <c r="C281" s="170"/>
      <c r="D281" s="171"/>
      <c r="E281" s="170"/>
      <c r="F281"/>
      <c r="G281" s="172"/>
      <c r="H281" s="173"/>
      <c r="I281" s="172"/>
      <c r="J281"/>
      <c r="K281" s="170"/>
      <c r="L281" s="171"/>
      <c r="M281" s="170"/>
      <c r="N281"/>
      <c r="O281" s="170"/>
      <c r="P281" s="171"/>
      <c r="Q281" s="170"/>
      <c r="R281"/>
      <c r="S281" s="170"/>
      <c r="T281" s="171"/>
      <c r="U281" s="170"/>
      <c r="V281"/>
      <c r="W281" s="170"/>
      <c r="X281" s="170"/>
      <c r="Y281" s="174"/>
      <c r="Z281"/>
      <c r="AA281" s="170"/>
      <c r="AB281" s="171"/>
      <c r="AC281" s="174"/>
      <c r="AD281"/>
      <c r="AE281" s="170"/>
      <c r="AF281" s="170"/>
      <c r="AG281" s="170"/>
      <c r="AH281"/>
      <c r="AI281" s="170"/>
      <c r="AJ281" s="171"/>
      <c r="AK281" s="170"/>
      <c r="AL281"/>
      <c r="AM281" s="170"/>
      <c r="AN281" s="170"/>
      <c r="AO281" s="170"/>
      <c r="AP281"/>
      <c r="AQ281" s="170"/>
      <c r="AR281" s="170"/>
      <c r="AS281" s="174"/>
      <c r="AT281"/>
      <c r="AU281" s="170"/>
      <c r="AV281" s="170"/>
      <c r="AW281" s="170"/>
    </row>
    <row r="282" spans="2:49" hidden="1" x14ac:dyDescent="0.25">
      <c r="B282"/>
      <c r="C282" s="170"/>
      <c r="D282" s="171"/>
      <c r="E282" s="170"/>
      <c r="F282"/>
      <c r="G282" s="172"/>
      <c r="H282" s="173"/>
      <c r="I282" s="172"/>
      <c r="J282"/>
      <c r="K282" s="170"/>
      <c r="L282" s="171"/>
      <c r="M282" s="170"/>
      <c r="N282"/>
      <c r="O282" s="170"/>
      <c r="P282" s="171"/>
      <c r="Q282" s="170"/>
      <c r="R282"/>
      <c r="S282" s="170"/>
      <c r="T282" s="171"/>
      <c r="U282" s="170"/>
      <c r="V282"/>
      <c r="W282" s="170"/>
      <c r="X282" s="170"/>
      <c r="Y282" s="174"/>
      <c r="Z282"/>
      <c r="AA282" s="170"/>
      <c r="AB282" s="171"/>
      <c r="AC282" s="174"/>
      <c r="AD282"/>
      <c r="AE282" s="170"/>
      <c r="AF282" s="170"/>
      <c r="AG282" s="170"/>
      <c r="AH282"/>
      <c r="AI282" s="170"/>
      <c r="AJ282" s="171"/>
      <c r="AK282" s="170"/>
      <c r="AL282"/>
      <c r="AM282" s="170"/>
      <c r="AN282" s="170"/>
      <c r="AO282" s="170"/>
      <c r="AP282"/>
      <c r="AQ282" s="170"/>
      <c r="AR282" s="170"/>
      <c r="AS282" s="174"/>
      <c r="AT282"/>
      <c r="AU282" s="170"/>
      <c r="AV282" s="170"/>
      <c r="AW282" s="170"/>
    </row>
    <row r="283" spans="2:49" hidden="1" x14ac:dyDescent="0.25">
      <c r="B283"/>
      <c r="C283" s="170"/>
      <c r="D283" s="171"/>
      <c r="E283" s="170"/>
      <c r="F283"/>
      <c r="G283" s="172"/>
      <c r="H283" s="173"/>
      <c r="I283" s="172"/>
      <c r="J283"/>
      <c r="K283" s="170"/>
      <c r="L283" s="171"/>
      <c r="M283" s="170"/>
      <c r="N283"/>
      <c r="O283" s="170"/>
      <c r="P283" s="171"/>
      <c r="Q283" s="170"/>
      <c r="R283"/>
      <c r="S283" s="170"/>
      <c r="T283" s="171"/>
      <c r="U283" s="170"/>
      <c r="V283"/>
      <c r="W283" s="170"/>
      <c r="X283" s="170"/>
      <c r="Y283" s="174"/>
      <c r="Z283"/>
      <c r="AA283" s="170"/>
      <c r="AB283" s="171"/>
      <c r="AC283" s="174"/>
      <c r="AD283"/>
      <c r="AE283" s="170"/>
      <c r="AF283" s="170"/>
      <c r="AG283" s="170"/>
      <c r="AH283"/>
      <c r="AI283" s="170"/>
      <c r="AJ283" s="171"/>
      <c r="AK283" s="170"/>
      <c r="AL283"/>
      <c r="AM283" s="170"/>
      <c r="AN283" s="170"/>
      <c r="AO283" s="170"/>
      <c r="AP283"/>
      <c r="AQ283" s="170"/>
      <c r="AR283" s="170"/>
      <c r="AS283" s="174"/>
      <c r="AT283"/>
      <c r="AU283" s="170"/>
      <c r="AV283" s="170"/>
      <c r="AW283" s="170"/>
    </row>
    <row r="284" spans="2:49" hidden="1" x14ac:dyDescent="0.25">
      <c r="B284"/>
      <c r="C284" s="170"/>
      <c r="D284" s="171"/>
      <c r="E284" s="170"/>
      <c r="F284"/>
      <c r="G284" s="172"/>
      <c r="H284" s="173"/>
      <c r="I284" s="172"/>
      <c r="J284"/>
      <c r="K284" s="170"/>
      <c r="L284" s="171"/>
      <c r="M284" s="170"/>
      <c r="N284"/>
      <c r="O284" s="170"/>
      <c r="P284" s="171"/>
      <c r="Q284" s="170"/>
      <c r="R284"/>
      <c r="S284" s="170"/>
      <c r="T284" s="171"/>
      <c r="U284" s="170"/>
      <c r="V284"/>
      <c r="W284" s="170"/>
      <c r="X284" s="170"/>
      <c r="Y284" s="174"/>
      <c r="Z284"/>
      <c r="AA284" s="170"/>
      <c r="AB284" s="171"/>
      <c r="AC284" s="174"/>
      <c r="AD284"/>
      <c r="AE284" s="170"/>
      <c r="AF284" s="170"/>
      <c r="AG284" s="170"/>
      <c r="AH284"/>
      <c r="AI284" s="170"/>
      <c r="AJ284" s="171"/>
      <c r="AK284" s="170"/>
      <c r="AL284"/>
      <c r="AM284" s="170"/>
      <c r="AN284" s="170"/>
      <c r="AO284" s="170"/>
      <c r="AP284"/>
      <c r="AQ284" s="170"/>
      <c r="AR284" s="170"/>
      <c r="AS284" s="174"/>
      <c r="AT284"/>
      <c r="AU284" s="170"/>
      <c r="AV284" s="170"/>
      <c r="AW284" s="170"/>
    </row>
    <row r="285" spans="2:49" hidden="1" x14ac:dyDescent="0.25">
      <c r="B285"/>
      <c r="C285" s="170"/>
      <c r="D285" s="171"/>
      <c r="E285" s="170"/>
      <c r="F285"/>
      <c r="G285" s="172"/>
      <c r="H285" s="173"/>
      <c r="I285" s="172"/>
      <c r="J285"/>
      <c r="K285" s="170"/>
      <c r="L285" s="171"/>
      <c r="M285" s="170"/>
      <c r="N285"/>
      <c r="O285" s="170"/>
      <c r="P285" s="171"/>
      <c r="Q285" s="170"/>
      <c r="R285"/>
      <c r="S285" s="170"/>
      <c r="T285" s="171"/>
      <c r="U285" s="170"/>
      <c r="V285"/>
      <c r="W285" s="170"/>
      <c r="X285" s="170"/>
      <c r="Y285" s="174"/>
      <c r="Z285"/>
      <c r="AA285" s="170"/>
      <c r="AB285" s="171"/>
      <c r="AC285" s="174"/>
      <c r="AD285"/>
      <c r="AE285" s="170"/>
      <c r="AF285" s="170"/>
      <c r="AG285" s="170"/>
      <c r="AH285"/>
      <c r="AI285" s="170"/>
      <c r="AJ285" s="171"/>
      <c r="AK285" s="170"/>
      <c r="AL285"/>
      <c r="AM285" s="170"/>
      <c r="AN285" s="170"/>
      <c r="AO285" s="170"/>
      <c r="AP285"/>
      <c r="AQ285" s="170"/>
      <c r="AR285" s="170"/>
      <c r="AS285" s="174"/>
      <c r="AT285"/>
      <c r="AU285" s="170"/>
      <c r="AV285" s="170"/>
      <c r="AW285" s="170"/>
    </row>
    <row r="286" spans="2:49" hidden="1" x14ac:dyDescent="0.25">
      <c r="B286"/>
      <c r="C286" s="170"/>
      <c r="D286" s="171"/>
      <c r="E286" s="170"/>
      <c r="F286"/>
      <c r="G286" s="172"/>
      <c r="H286" s="173"/>
      <c r="I286" s="172"/>
      <c r="J286"/>
      <c r="K286" s="170"/>
      <c r="L286" s="171"/>
      <c r="M286" s="170"/>
      <c r="N286"/>
      <c r="O286" s="170"/>
      <c r="P286" s="171"/>
      <c r="Q286" s="170"/>
      <c r="R286"/>
      <c r="S286" s="170"/>
      <c r="T286" s="171"/>
      <c r="U286" s="170"/>
      <c r="V286"/>
      <c r="W286" s="170"/>
      <c r="X286" s="170"/>
      <c r="Y286" s="174"/>
      <c r="Z286"/>
      <c r="AA286" s="170"/>
      <c r="AB286" s="171"/>
      <c r="AC286" s="174"/>
      <c r="AD286"/>
      <c r="AE286" s="170"/>
      <c r="AF286" s="170"/>
      <c r="AG286" s="170"/>
      <c r="AH286"/>
      <c r="AI286" s="170"/>
      <c r="AJ286" s="171"/>
      <c r="AK286" s="170"/>
      <c r="AL286"/>
      <c r="AM286" s="170"/>
      <c r="AN286" s="170"/>
      <c r="AO286" s="170"/>
      <c r="AP286"/>
      <c r="AQ286" s="170"/>
      <c r="AR286" s="170"/>
      <c r="AS286" s="174"/>
      <c r="AT286"/>
      <c r="AU286" s="170"/>
      <c r="AV286" s="170"/>
      <c r="AW286" s="170"/>
    </row>
    <row r="287" spans="2:49" hidden="1" x14ac:dyDescent="0.25">
      <c r="B287"/>
      <c r="C287" s="170"/>
      <c r="D287" s="171"/>
      <c r="E287" s="170"/>
      <c r="F287"/>
      <c r="G287" s="172"/>
      <c r="H287" s="173"/>
      <c r="I287" s="172"/>
      <c r="J287"/>
      <c r="K287" s="170"/>
      <c r="L287" s="171"/>
      <c r="M287" s="170"/>
      <c r="N287"/>
      <c r="O287" s="170"/>
      <c r="P287" s="171"/>
      <c r="Q287" s="170"/>
      <c r="R287"/>
      <c r="S287" s="170"/>
      <c r="T287" s="171"/>
      <c r="U287" s="170"/>
      <c r="V287"/>
      <c r="W287" s="170"/>
      <c r="X287" s="170"/>
      <c r="Y287" s="174"/>
      <c r="Z287"/>
      <c r="AA287" s="170"/>
      <c r="AB287" s="171"/>
      <c r="AC287" s="174"/>
      <c r="AD287"/>
      <c r="AE287" s="170"/>
      <c r="AF287" s="170"/>
      <c r="AG287" s="170"/>
      <c r="AH287"/>
      <c r="AI287" s="170"/>
      <c r="AJ287" s="171"/>
      <c r="AK287" s="170"/>
      <c r="AL287"/>
      <c r="AM287" s="170"/>
      <c r="AN287" s="170"/>
      <c r="AO287" s="170"/>
      <c r="AP287"/>
      <c r="AQ287" s="170"/>
      <c r="AR287" s="170"/>
      <c r="AS287" s="174"/>
      <c r="AT287"/>
      <c r="AU287" s="170"/>
      <c r="AV287" s="170"/>
      <c r="AW287" s="170"/>
    </row>
    <row r="288" spans="2:49" hidden="1" x14ac:dyDescent="0.25">
      <c r="B288"/>
      <c r="C288" s="170"/>
      <c r="D288" s="171"/>
      <c r="E288" s="170"/>
      <c r="F288"/>
      <c r="G288" s="172"/>
      <c r="H288" s="173"/>
      <c r="I288" s="172"/>
      <c r="J288"/>
      <c r="K288" s="170"/>
      <c r="L288" s="171"/>
      <c r="M288" s="170"/>
      <c r="N288"/>
      <c r="O288" s="170"/>
      <c r="P288" s="171"/>
      <c r="Q288" s="170"/>
      <c r="R288"/>
      <c r="S288" s="170"/>
      <c r="T288" s="171"/>
      <c r="U288" s="170"/>
      <c r="V288"/>
      <c r="W288" s="170"/>
      <c r="X288" s="170"/>
      <c r="Y288" s="174"/>
      <c r="Z288"/>
      <c r="AA288" s="170"/>
      <c r="AB288" s="171"/>
      <c r="AC288" s="174"/>
      <c r="AD288"/>
      <c r="AE288" s="170"/>
      <c r="AF288" s="170"/>
      <c r="AG288" s="170"/>
      <c r="AH288"/>
      <c r="AI288" s="170"/>
      <c r="AJ288" s="171"/>
      <c r="AK288" s="170"/>
      <c r="AL288"/>
      <c r="AM288" s="170"/>
      <c r="AN288" s="170"/>
      <c r="AO288" s="170"/>
      <c r="AP288"/>
      <c r="AQ288" s="170"/>
      <c r="AR288" s="170"/>
      <c r="AS288" s="174"/>
      <c r="AT288"/>
      <c r="AU288" s="170"/>
      <c r="AV288" s="170"/>
      <c r="AW288" s="170"/>
    </row>
    <row r="289" spans="2:49" hidden="1" x14ac:dyDescent="0.25">
      <c r="B289"/>
      <c r="C289" s="170"/>
      <c r="D289" s="171"/>
      <c r="E289" s="170"/>
      <c r="F289"/>
      <c r="G289" s="172"/>
      <c r="H289" s="173"/>
      <c r="I289" s="172"/>
      <c r="J289"/>
      <c r="K289" s="170"/>
      <c r="L289" s="171"/>
      <c r="M289" s="170"/>
      <c r="N289"/>
      <c r="O289" s="170"/>
      <c r="P289" s="171"/>
      <c r="Q289" s="170"/>
      <c r="R289"/>
      <c r="S289" s="170"/>
      <c r="T289" s="171"/>
      <c r="U289" s="170"/>
      <c r="V289"/>
      <c r="W289" s="170"/>
      <c r="X289" s="170"/>
      <c r="Y289" s="174"/>
      <c r="Z289"/>
      <c r="AA289" s="170"/>
      <c r="AB289" s="171"/>
      <c r="AC289" s="174"/>
      <c r="AD289"/>
      <c r="AE289" s="170"/>
      <c r="AF289" s="170"/>
      <c r="AG289" s="170"/>
      <c r="AH289"/>
      <c r="AI289" s="170"/>
      <c r="AJ289" s="171"/>
      <c r="AK289" s="170"/>
      <c r="AL289"/>
      <c r="AM289" s="170"/>
      <c r="AN289" s="170"/>
      <c r="AO289" s="170"/>
      <c r="AP289"/>
      <c r="AQ289" s="170"/>
      <c r="AR289" s="170"/>
      <c r="AS289" s="174"/>
      <c r="AT289"/>
      <c r="AU289" s="170"/>
      <c r="AV289" s="170"/>
      <c r="AW289" s="170"/>
    </row>
    <row r="290" spans="2:49" hidden="1" x14ac:dyDescent="0.25">
      <c r="B290"/>
      <c r="C290" s="170"/>
      <c r="D290" s="171"/>
      <c r="E290" s="170"/>
      <c r="F290"/>
      <c r="G290" s="172"/>
      <c r="H290" s="173"/>
      <c r="I290" s="172"/>
      <c r="J290"/>
      <c r="K290" s="170"/>
      <c r="L290" s="171"/>
      <c r="M290" s="170"/>
      <c r="N290"/>
      <c r="O290" s="170"/>
      <c r="P290" s="171"/>
      <c r="Q290" s="170"/>
      <c r="R290"/>
      <c r="S290" s="170"/>
      <c r="T290" s="171"/>
      <c r="U290" s="170"/>
      <c r="V290"/>
      <c r="W290" s="170"/>
      <c r="X290" s="170"/>
      <c r="Y290" s="174"/>
      <c r="Z290"/>
      <c r="AA290" s="170"/>
      <c r="AB290" s="171"/>
      <c r="AC290" s="174"/>
      <c r="AD290"/>
      <c r="AE290" s="170"/>
      <c r="AF290" s="170"/>
      <c r="AG290" s="170"/>
      <c r="AH290"/>
      <c r="AI290" s="170"/>
      <c r="AJ290" s="171"/>
      <c r="AK290" s="170"/>
      <c r="AL290"/>
      <c r="AM290" s="170"/>
      <c r="AN290" s="170"/>
      <c r="AO290" s="170"/>
      <c r="AP290"/>
      <c r="AQ290" s="170"/>
      <c r="AR290" s="170"/>
      <c r="AS290" s="174"/>
      <c r="AT290"/>
      <c r="AU290" s="170"/>
      <c r="AV290" s="170"/>
      <c r="AW290" s="170"/>
    </row>
    <row r="291" spans="2:49" hidden="1" x14ac:dyDescent="0.25">
      <c r="B291"/>
      <c r="C291" s="170"/>
      <c r="D291" s="171"/>
      <c r="E291" s="170"/>
      <c r="F291"/>
      <c r="G291" s="172"/>
      <c r="H291" s="173"/>
      <c r="I291" s="172"/>
      <c r="J291"/>
      <c r="K291" s="170"/>
      <c r="L291" s="171"/>
      <c r="M291" s="170"/>
      <c r="N291"/>
      <c r="O291" s="170"/>
      <c r="P291" s="171"/>
      <c r="Q291" s="170"/>
      <c r="R291"/>
      <c r="S291" s="170"/>
      <c r="T291" s="171"/>
      <c r="U291" s="170"/>
      <c r="V291"/>
      <c r="W291" s="170"/>
      <c r="X291" s="170"/>
      <c r="Y291" s="174"/>
      <c r="Z291"/>
      <c r="AA291" s="170"/>
      <c r="AB291" s="171"/>
      <c r="AC291" s="174"/>
      <c r="AD291"/>
      <c r="AE291" s="170"/>
      <c r="AF291" s="170"/>
      <c r="AG291" s="170"/>
      <c r="AH291"/>
      <c r="AI291" s="170"/>
      <c r="AJ291" s="171"/>
      <c r="AK291" s="170"/>
      <c r="AL291"/>
      <c r="AM291" s="170"/>
      <c r="AN291" s="170"/>
      <c r="AO291" s="170"/>
      <c r="AP291"/>
      <c r="AQ291" s="170"/>
      <c r="AR291" s="170"/>
      <c r="AS291" s="174"/>
      <c r="AT291"/>
      <c r="AU291" s="170"/>
      <c r="AV291" s="170"/>
      <c r="AW291" s="170"/>
    </row>
    <row r="292" spans="2:49" hidden="1" x14ac:dyDescent="0.25">
      <c r="B292"/>
      <c r="C292" s="170"/>
      <c r="D292" s="171"/>
      <c r="E292" s="170"/>
      <c r="F292"/>
      <c r="G292" s="172"/>
      <c r="H292" s="173"/>
      <c r="I292" s="172"/>
      <c r="J292"/>
      <c r="K292" s="170"/>
      <c r="L292" s="171"/>
      <c r="M292" s="170"/>
      <c r="N292"/>
      <c r="O292" s="170"/>
      <c r="P292" s="171"/>
      <c r="Q292" s="170"/>
      <c r="R292"/>
      <c r="S292" s="170"/>
      <c r="T292" s="171"/>
      <c r="U292" s="170"/>
      <c r="V292"/>
      <c r="W292" s="170"/>
      <c r="X292" s="170"/>
      <c r="Y292" s="174"/>
      <c r="Z292"/>
      <c r="AA292" s="170"/>
      <c r="AB292" s="171"/>
      <c r="AC292" s="174"/>
      <c r="AD292"/>
      <c r="AE292" s="170"/>
      <c r="AF292" s="170"/>
      <c r="AG292" s="170"/>
      <c r="AH292"/>
      <c r="AI292" s="170"/>
      <c r="AJ292" s="171"/>
      <c r="AK292" s="170"/>
      <c r="AL292"/>
      <c r="AM292" s="170"/>
      <c r="AN292" s="170"/>
      <c r="AO292" s="170"/>
      <c r="AP292"/>
      <c r="AQ292" s="170"/>
      <c r="AR292" s="170"/>
      <c r="AS292" s="174"/>
      <c r="AT292"/>
      <c r="AU292" s="170"/>
      <c r="AV292" s="170"/>
      <c r="AW292" s="170"/>
    </row>
    <row r="293" spans="2:49" hidden="1" x14ac:dyDescent="0.25">
      <c r="B293"/>
      <c r="C293" s="170"/>
      <c r="D293" s="171"/>
      <c r="E293" s="170"/>
      <c r="F293"/>
      <c r="G293" s="172"/>
      <c r="H293" s="173"/>
      <c r="I293" s="172"/>
      <c r="J293"/>
      <c r="K293" s="170"/>
      <c r="L293" s="171"/>
      <c r="M293" s="170"/>
      <c r="N293"/>
      <c r="O293" s="170"/>
      <c r="P293" s="171"/>
      <c r="Q293" s="170"/>
      <c r="R293"/>
      <c r="S293" s="170"/>
      <c r="T293" s="171"/>
      <c r="U293" s="170"/>
      <c r="V293"/>
      <c r="W293" s="170"/>
      <c r="X293" s="170"/>
      <c r="Y293" s="174"/>
      <c r="Z293"/>
      <c r="AA293" s="170"/>
      <c r="AB293" s="171"/>
      <c r="AC293" s="174"/>
      <c r="AD293"/>
      <c r="AE293" s="170"/>
      <c r="AF293" s="170"/>
      <c r="AG293" s="170"/>
      <c r="AH293"/>
      <c r="AI293" s="170"/>
      <c r="AJ293" s="171"/>
      <c r="AK293" s="170"/>
      <c r="AL293"/>
      <c r="AM293" s="170"/>
      <c r="AN293" s="170"/>
      <c r="AO293" s="170"/>
      <c r="AP293"/>
      <c r="AQ293" s="170"/>
      <c r="AR293" s="170"/>
      <c r="AS293" s="174"/>
      <c r="AT293"/>
      <c r="AU293" s="170"/>
      <c r="AV293" s="170"/>
      <c r="AW293" s="170"/>
    </row>
    <row r="294" spans="2:49" hidden="1" x14ac:dyDescent="0.25">
      <c r="B294"/>
      <c r="C294" s="170"/>
      <c r="D294" s="171"/>
      <c r="E294" s="170"/>
      <c r="F294"/>
      <c r="G294" s="172"/>
      <c r="H294" s="173"/>
      <c r="I294" s="172"/>
      <c r="J294"/>
      <c r="K294" s="170"/>
      <c r="L294" s="171"/>
      <c r="M294" s="170"/>
      <c r="N294"/>
      <c r="O294" s="170"/>
      <c r="P294" s="171"/>
      <c r="Q294" s="170"/>
      <c r="R294"/>
      <c r="S294" s="170"/>
      <c r="T294" s="171"/>
      <c r="U294" s="170"/>
      <c r="V294"/>
      <c r="W294" s="170"/>
      <c r="X294" s="170"/>
      <c r="Y294" s="174"/>
      <c r="Z294"/>
      <c r="AA294" s="170"/>
      <c r="AB294" s="171"/>
      <c r="AC294" s="174"/>
      <c r="AD294"/>
      <c r="AE294" s="170"/>
      <c r="AF294" s="170"/>
      <c r="AG294" s="170"/>
      <c r="AH294"/>
      <c r="AI294" s="170"/>
      <c r="AJ294" s="171"/>
      <c r="AK294" s="170"/>
      <c r="AL294"/>
      <c r="AM294" s="170"/>
      <c r="AN294" s="170"/>
      <c r="AO294" s="170"/>
      <c r="AP294"/>
      <c r="AQ294" s="170"/>
      <c r="AR294" s="170"/>
      <c r="AS294" s="174"/>
      <c r="AT294"/>
      <c r="AU294" s="170"/>
      <c r="AV294" s="170"/>
      <c r="AW294" s="170"/>
    </row>
    <row r="295" spans="2:49" hidden="1" x14ac:dyDescent="0.25">
      <c r="B295"/>
      <c r="C295" s="170"/>
      <c r="D295" s="171"/>
      <c r="E295" s="170"/>
      <c r="F295"/>
      <c r="G295" s="172"/>
      <c r="H295" s="173"/>
      <c r="I295" s="172"/>
      <c r="J295"/>
      <c r="K295" s="170"/>
      <c r="L295" s="171"/>
      <c r="M295" s="170"/>
      <c r="N295"/>
      <c r="O295" s="170"/>
      <c r="P295" s="171"/>
      <c r="Q295" s="170"/>
      <c r="R295"/>
      <c r="S295" s="170"/>
      <c r="T295" s="171"/>
      <c r="U295" s="170"/>
      <c r="V295"/>
      <c r="W295" s="170"/>
      <c r="X295" s="170"/>
      <c r="Y295" s="174"/>
      <c r="Z295"/>
      <c r="AA295" s="170"/>
      <c r="AB295" s="171"/>
      <c r="AC295" s="174"/>
      <c r="AD295"/>
      <c r="AE295" s="170"/>
      <c r="AF295" s="170"/>
      <c r="AG295" s="170"/>
      <c r="AH295"/>
      <c r="AI295" s="170"/>
      <c r="AJ295" s="171"/>
      <c r="AK295" s="170"/>
      <c r="AL295"/>
      <c r="AM295" s="170"/>
      <c r="AN295" s="170"/>
      <c r="AO295" s="170"/>
      <c r="AP295"/>
      <c r="AQ295" s="170"/>
      <c r="AR295" s="170"/>
      <c r="AS295" s="174"/>
      <c r="AT295"/>
      <c r="AU295" s="170"/>
      <c r="AV295" s="170"/>
      <c r="AW295" s="170"/>
    </row>
    <row r="296" spans="2:49" hidden="1" x14ac:dyDescent="0.25">
      <c r="B296"/>
      <c r="C296" s="170"/>
      <c r="D296" s="171"/>
      <c r="E296" s="170"/>
      <c r="F296"/>
      <c r="G296" s="172"/>
      <c r="H296" s="173"/>
      <c r="I296" s="172"/>
      <c r="J296"/>
      <c r="K296" s="170"/>
      <c r="L296" s="171"/>
      <c r="M296" s="170"/>
      <c r="N296"/>
      <c r="O296" s="170"/>
      <c r="P296" s="171"/>
      <c r="Q296" s="170"/>
      <c r="R296"/>
      <c r="S296" s="170"/>
      <c r="T296" s="171"/>
      <c r="U296" s="170"/>
      <c r="V296"/>
      <c r="W296" s="170"/>
      <c r="X296" s="170"/>
      <c r="Y296" s="174"/>
      <c r="Z296"/>
      <c r="AA296" s="170"/>
      <c r="AB296" s="171"/>
      <c r="AC296" s="174"/>
      <c r="AD296"/>
      <c r="AE296" s="170"/>
      <c r="AF296" s="170"/>
      <c r="AG296" s="170"/>
      <c r="AH296"/>
      <c r="AI296" s="170"/>
      <c r="AJ296" s="171"/>
      <c r="AK296" s="170"/>
      <c r="AL296"/>
      <c r="AM296" s="170"/>
      <c r="AN296" s="170"/>
      <c r="AO296" s="170"/>
      <c r="AP296"/>
      <c r="AQ296" s="170"/>
      <c r="AR296" s="170"/>
      <c r="AS296" s="174"/>
      <c r="AT296"/>
      <c r="AU296" s="170"/>
      <c r="AV296" s="170"/>
      <c r="AW296" s="170"/>
    </row>
    <row r="297" spans="2:49" hidden="1" x14ac:dyDescent="0.25">
      <c r="B297"/>
      <c r="C297" s="170"/>
      <c r="D297" s="171"/>
      <c r="E297" s="170"/>
      <c r="F297"/>
      <c r="G297" s="172"/>
      <c r="H297" s="173"/>
      <c r="I297" s="172"/>
      <c r="J297"/>
      <c r="K297" s="170"/>
      <c r="L297" s="171"/>
      <c r="M297" s="170"/>
      <c r="N297"/>
      <c r="O297" s="170"/>
      <c r="P297" s="171"/>
      <c r="Q297" s="170"/>
      <c r="R297"/>
      <c r="S297" s="170"/>
      <c r="T297" s="171"/>
      <c r="U297" s="170"/>
      <c r="V297"/>
      <c r="W297" s="170"/>
      <c r="X297" s="170"/>
      <c r="Y297" s="174"/>
      <c r="Z297"/>
      <c r="AA297" s="170"/>
      <c r="AB297" s="171"/>
      <c r="AC297" s="174"/>
      <c r="AD297"/>
      <c r="AE297" s="170"/>
      <c r="AF297" s="170"/>
      <c r="AG297" s="170"/>
      <c r="AH297"/>
      <c r="AI297" s="170"/>
      <c r="AJ297" s="171"/>
      <c r="AK297" s="170"/>
      <c r="AL297"/>
      <c r="AM297" s="170"/>
      <c r="AN297" s="170"/>
      <c r="AO297" s="170"/>
      <c r="AP297"/>
      <c r="AQ297" s="170"/>
      <c r="AR297" s="170"/>
      <c r="AS297" s="174"/>
      <c r="AT297"/>
      <c r="AU297" s="170"/>
      <c r="AV297" s="170"/>
      <c r="AW297" s="170"/>
    </row>
    <row r="298" spans="2:49" hidden="1" x14ac:dyDescent="0.25">
      <c r="B298"/>
      <c r="C298" s="170"/>
      <c r="D298" s="171"/>
      <c r="E298" s="170"/>
      <c r="F298"/>
      <c r="G298" s="172"/>
      <c r="H298" s="173"/>
      <c r="I298" s="172"/>
      <c r="J298"/>
      <c r="K298" s="170"/>
      <c r="L298" s="171"/>
      <c r="M298" s="170"/>
      <c r="N298"/>
      <c r="O298" s="170"/>
      <c r="P298" s="171"/>
      <c r="Q298" s="170"/>
      <c r="R298"/>
      <c r="S298" s="170"/>
      <c r="T298" s="171"/>
      <c r="U298" s="170"/>
      <c r="V298"/>
      <c r="W298" s="170"/>
      <c r="X298" s="170"/>
      <c r="Y298" s="174"/>
      <c r="Z298"/>
      <c r="AA298" s="170"/>
      <c r="AB298" s="171"/>
      <c r="AC298" s="174"/>
      <c r="AD298"/>
      <c r="AE298" s="170"/>
      <c r="AF298" s="170"/>
      <c r="AG298" s="170"/>
      <c r="AH298"/>
      <c r="AI298" s="170"/>
      <c r="AJ298" s="171"/>
      <c r="AK298" s="170"/>
      <c r="AL298"/>
      <c r="AM298" s="170"/>
      <c r="AN298" s="170"/>
      <c r="AO298" s="170"/>
      <c r="AP298"/>
      <c r="AQ298" s="170"/>
      <c r="AR298" s="170"/>
      <c r="AS298" s="174"/>
      <c r="AT298"/>
      <c r="AU298" s="170"/>
      <c r="AV298" s="170"/>
      <c r="AW298" s="170"/>
    </row>
    <row r="299" spans="2:49" hidden="1" x14ac:dyDescent="0.25">
      <c r="B299"/>
      <c r="C299" s="170"/>
      <c r="D299" s="171"/>
      <c r="E299" s="170"/>
      <c r="F299"/>
      <c r="G299" s="172"/>
      <c r="H299" s="173"/>
      <c r="I299" s="172"/>
      <c r="J299"/>
      <c r="K299" s="170"/>
      <c r="L299" s="171"/>
      <c r="M299" s="170"/>
      <c r="N299"/>
      <c r="O299" s="170"/>
      <c r="P299" s="171"/>
      <c r="Q299" s="170"/>
      <c r="R299"/>
      <c r="S299" s="170"/>
      <c r="T299" s="171"/>
      <c r="U299" s="170"/>
      <c r="V299"/>
      <c r="W299" s="170"/>
      <c r="X299" s="170"/>
      <c r="Y299" s="174"/>
      <c r="Z299"/>
      <c r="AA299" s="170"/>
      <c r="AB299" s="171"/>
      <c r="AC299" s="174"/>
      <c r="AD299"/>
      <c r="AE299" s="170"/>
      <c r="AF299" s="170"/>
      <c r="AG299" s="170"/>
      <c r="AH299"/>
      <c r="AI299" s="170"/>
      <c r="AJ299" s="171"/>
      <c r="AK299" s="170"/>
      <c r="AL299"/>
      <c r="AM299" s="170"/>
      <c r="AN299" s="170"/>
      <c r="AO299" s="170"/>
      <c r="AP299"/>
      <c r="AQ299" s="170"/>
      <c r="AR299" s="170"/>
      <c r="AS299" s="174"/>
      <c r="AT299"/>
      <c r="AU299" s="170"/>
      <c r="AV299" s="170"/>
      <c r="AW299" s="170"/>
    </row>
    <row r="300" spans="2:49" hidden="1" x14ac:dyDescent="0.25">
      <c r="B300"/>
      <c r="C300" s="170"/>
      <c r="D300" s="171"/>
      <c r="E300" s="170"/>
      <c r="F300"/>
      <c r="G300" s="172"/>
      <c r="H300" s="173"/>
      <c r="I300" s="172"/>
      <c r="J300"/>
      <c r="K300" s="170"/>
      <c r="L300" s="171"/>
      <c r="M300" s="170"/>
      <c r="N300"/>
      <c r="O300" s="170"/>
      <c r="P300" s="171"/>
      <c r="Q300" s="170"/>
      <c r="R300"/>
      <c r="S300" s="170"/>
      <c r="T300" s="171"/>
      <c r="U300" s="170"/>
      <c r="V300"/>
      <c r="W300" s="170"/>
      <c r="X300" s="170"/>
      <c r="Y300" s="174"/>
      <c r="Z300"/>
      <c r="AA300" s="170"/>
      <c r="AB300" s="171"/>
      <c r="AC300" s="174"/>
      <c r="AD300"/>
      <c r="AE300" s="170"/>
      <c r="AF300" s="170"/>
      <c r="AG300" s="170"/>
      <c r="AH300"/>
      <c r="AI300" s="170"/>
      <c r="AJ300" s="171"/>
      <c r="AK300" s="170"/>
      <c r="AL300"/>
      <c r="AM300" s="170"/>
      <c r="AN300" s="170"/>
      <c r="AO300" s="170"/>
      <c r="AP300"/>
      <c r="AQ300" s="170"/>
      <c r="AR300" s="170"/>
      <c r="AS300" s="174"/>
      <c r="AT300"/>
      <c r="AU300" s="170"/>
      <c r="AV300" s="170"/>
      <c r="AW300" s="170"/>
    </row>
    <row r="301" spans="2:49" hidden="1" x14ac:dyDescent="0.25">
      <c r="B301"/>
      <c r="C301" s="170"/>
      <c r="D301" s="171"/>
      <c r="E301" s="170"/>
      <c r="F301"/>
      <c r="G301" s="172"/>
      <c r="H301" s="173"/>
      <c r="I301" s="172"/>
      <c r="J301"/>
      <c r="K301" s="170"/>
      <c r="L301" s="171"/>
      <c r="M301" s="170"/>
      <c r="N301"/>
      <c r="O301" s="170"/>
      <c r="P301" s="171"/>
      <c r="Q301" s="170"/>
      <c r="R301"/>
      <c r="S301" s="170"/>
      <c r="T301" s="171"/>
      <c r="U301" s="170"/>
      <c r="V301"/>
      <c r="W301" s="170"/>
      <c r="X301" s="170"/>
      <c r="Y301" s="174"/>
      <c r="Z301"/>
      <c r="AA301" s="170"/>
      <c r="AB301" s="171"/>
      <c r="AC301" s="174"/>
      <c r="AD301"/>
      <c r="AE301" s="170"/>
      <c r="AF301" s="170"/>
      <c r="AG301" s="170"/>
      <c r="AH301"/>
      <c r="AI301" s="170"/>
      <c r="AJ301" s="171"/>
      <c r="AK301" s="170"/>
      <c r="AL301"/>
      <c r="AM301" s="170"/>
      <c r="AN301" s="170"/>
      <c r="AO301" s="170"/>
      <c r="AP301"/>
      <c r="AQ301" s="170"/>
      <c r="AR301" s="170"/>
      <c r="AS301" s="174"/>
      <c r="AT301"/>
      <c r="AU301" s="170"/>
      <c r="AV301" s="170"/>
      <c r="AW301" s="170"/>
    </row>
    <row r="302" spans="2:49" hidden="1" x14ac:dyDescent="0.25">
      <c r="B302"/>
      <c r="C302" s="170"/>
      <c r="D302" s="171"/>
      <c r="E302" s="170"/>
      <c r="F302"/>
      <c r="G302" s="172"/>
      <c r="H302" s="173"/>
      <c r="I302" s="172"/>
      <c r="J302"/>
      <c r="K302" s="170"/>
      <c r="L302" s="171"/>
      <c r="M302" s="170"/>
      <c r="N302"/>
      <c r="O302" s="170"/>
      <c r="P302" s="171"/>
      <c r="Q302" s="170"/>
      <c r="R302"/>
      <c r="S302" s="170"/>
      <c r="T302" s="171"/>
      <c r="U302" s="170"/>
      <c r="V302"/>
      <c r="W302" s="170"/>
      <c r="X302" s="170"/>
      <c r="Y302" s="174"/>
      <c r="Z302"/>
      <c r="AA302" s="170"/>
      <c r="AB302" s="171"/>
      <c r="AC302" s="174"/>
      <c r="AD302"/>
      <c r="AE302" s="170"/>
      <c r="AF302" s="170"/>
      <c r="AG302" s="170"/>
      <c r="AH302"/>
      <c r="AI302" s="170"/>
      <c r="AJ302" s="171"/>
      <c r="AK302" s="170"/>
      <c r="AL302"/>
      <c r="AM302" s="170"/>
      <c r="AN302" s="170"/>
      <c r="AO302" s="170"/>
      <c r="AP302"/>
      <c r="AQ302" s="170"/>
      <c r="AR302" s="170"/>
      <c r="AS302" s="174"/>
      <c r="AT302"/>
      <c r="AU302" s="170"/>
      <c r="AV302" s="170"/>
      <c r="AW302" s="170"/>
    </row>
    <row r="303" spans="2:49" hidden="1" x14ac:dyDescent="0.25">
      <c r="B303"/>
      <c r="C303" s="170"/>
      <c r="D303" s="171"/>
      <c r="E303" s="170"/>
      <c r="F303"/>
      <c r="G303" s="172"/>
      <c r="H303" s="173"/>
      <c r="I303" s="172"/>
      <c r="J303"/>
      <c r="K303" s="170"/>
      <c r="L303" s="171"/>
      <c r="M303" s="170"/>
      <c r="N303"/>
      <c r="O303" s="170"/>
      <c r="P303" s="171"/>
      <c r="Q303" s="170"/>
      <c r="R303"/>
      <c r="S303" s="170"/>
      <c r="T303" s="171"/>
      <c r="U303" s="170"/>
      <c r="V303"/>
      <c r="W303" s="170"/>
      <c r="X303" s="170"/>
      <c r="Y303" s="174"/>
      <c r="Z303"/>
      <c r="AA303" s="170"/>
      <c r="AB303" s="171"/>
      <c r="AC303" s="174"/>
      <c r="AD303"/>
      <c r="AE303" s="170"/>
      <c r="AF303" s="170"/>
      <c r="AG303" s="170"/>
      <c r="AH303"/>
      <c r="AI303" s="170"/>
      <c r="AJ303" s="171"/>
      <c r="AK303" s="170"/>
      <c r="AL303"/>
      <c r="AM303" s="170"/>
      <c r="AN303" s="170"/>
      <c r="AO303" s="170"/>
      <c r="AP303"/>
      <c r="AQ303" s="170"/>
      <c r="AR303" s="170"/>
      <c r="AS303" s="174"/>
      <c r="AT303"/>
      <c r="AU303" s="170"/>
      <c r="AV303" s="170"/>
      <c r="AW303" s="170"/>
    </row>
    <row r="304" spans="2:49" hidden="1" x14ac:dyDescent="0.25">
      <c r="B304"/>
      <c r="C304" s="170"/>
      <c r="D304" s="171"/>
      <c r="E304" s="170"/>
      <c r="F304"/>
      <c r="G304" s="172"/>
      <c r="H304" s="173"/>
      <c r="I304" s="172"/>
      <c r="J304"/>
      <c r="K304" s="170"/>
      <c r="L304" s="171"/>
      <c r="M304" s="170"/>
      <c r="N304"/>
      <c r="O304" s="170"/>
      <c r="P304" s="171"/>
      <c r="Q304" s="170"/>
      <c r="R304"/>
      <c r="S304" s="170"/>
      <c r="T304" s="171"/>
      <c r="U304" s="170"/>
      <c r="V304"/>
      <c r="W304" s="170"/>
      <c r="X304" s="170"/>
      <c r="Y304" s="174"/>
      <c r="Z304"/>
      <c r="AA304" s="170"/>
      <c r="AB304" s="171"/>
      <c r="AC304" s="174"/>
      <c r="AD304"/>
      <c r="AE304" s="170"/>
      <c r="AF304" s="170"/>
      <c r="AG304" s="170"/>
      <c r="AH304"/>
      <c r="AI304" s="170"/>
      <c r="AJ304" s="171"/>
      <c r="AK304" s="170"/>
      <c r="AL304"/>
      <c r="AM304" s="170"/>
      <c r="AN304" s="170"/>
      <c r="AO304" s="170"/>
      <c r="AP304"/>
      <c r="AQ304" s="170"/>
      <c r="AR304" s="170"/>
      <c r="AS304" s="174"/>
      <c r="AT304"/>
      <c r="AU304" s="170"/>
      <c r="AV304" s="170"/>
      <c r="AW304" s="170"/>
    </row>
    <row r="305" spans="2:49" hidden="1" x14ac:dyDescent="0.25">
      <c r="B305"/>
      <c r="C305" s="170"/>
      <c r="D305" s="171"/>
      <c r="E305" s="170"/>
      <c r="F305"/>
      <c r="G305" s="172"/>
      <c r="H305" s="173"/>
      <c r="I305" s="172"/>
      <c r="J305"/>
      <c r="K305" s="170"/>
      <c r="L305" s="171"/>
      <c r="M305" s="170"/>
      <c r="N305"/>
      <c r="O305" s="170"/>
      <c r="P305" s="171"/>
      <c r="Q305" s="170"/>
      <c r="R305"/>
      <c r="S305" s="170"/>
      <c r="T305" s="171"/>
      <c r="U305" s="170"/>
      <c r="V305"/>
      <c r="W305" s="170"/>
      <c r="X305" s="170"/>
      <c r="Y305" s="174"/>
      <c r="Z305"/>
      <c r="AA305" s="170"/>
      <c r="AB305" s="171"/>
      <c r="AC305" s="174"/>
      <c r="AD305"/>
      <c r="AE305" s="170"/>
      <c r="AF305" s="170"/>
      <c r="AG305" s="170"/>
      <c r="AH305"/>
      <c r="AI305" s="170"/>
      <c r="AJ305" s="171"/>
      <c r="AK305" s="170"/>
      <c r="AL305"/>
      <c r="AM305" s="170"/>
      <c r="AN305" s="170"/>
      <c r="AO305" s="170"/>
      <c r="AP305"/>
      <c r="AQ305" s="170"/>
      <c r="AR305" s="170"/>
      <c r="AS305" s="174"/>
      <c r="AT305"/>
      <c r="AU305" s="170"/>
      <c r="AV305" s="170"/>
      <c r="AW305" s="170"/>
    </row>
    <row r="306" spans="2:49" hidden="1" x14ac:dyDescent="0.25">
      <c r="B306"/>
      <c r="C306" s="170"/>
      <c r="D306" s="171"/>
      <c r="E306" s="170"/>
      <c r="F306"/>
      <c r="G306" s="172"/>
      <c r="H306" s="173"/>
      <c r="I306" s="172"/>
      <c r="J306"/>
      <c r="K306" s="170"/>
      <c r="L306" s="171"/>
      <c r="M306" s="170"/>
      <c r="N306"/>
      <c r="O306" s="170"/>
      <c r="P306" s="171"/>
      <c r="Q306" s="170"/>
      <c r="R306"/>
      <c r="S306" s="170"/>
      <c r="T306" s="171"/>
      <c r="U306" s="170"/>
      <c r="V306"/>
      <c r="W306" s="170"/>
      <c r="X306" s="170"/>
      <c r="Y306" s="174"/>
      <c r="Z306"/>
      <c r="AA306" s="170"/>
      <c r="AB306" s="171"/>
      <c r="AC306" s="174"/>
      <c r="AD306"/>
      <c r="AE306" s="170"/>
      <c r="AF306" s="170"/>
      <c r="AG306" s="170"/>
      <c r="AH306"/>
      <c r="AI306" s="170"/>
      <c r="AJ306" s="171"/>
      <c r="AK306" s="170"/>
      <c r="AL306"/>
      <c r="AM306" s="170"/>
      <c r="AN306" s="170"/>
      <c r="AO306" s="170"/>
      <c r="AP306"/>
      <c r="AQ306" s="170"/>
      <c r="AR306" s="170"/>
      <c r="AS306" s="174"/>
      <c r="AT306"/>
      <c r="AU306" s="170"/>
      <c r="AV306" s="170"/>
      <c r="AW306" s="170"/>
    </row>
    <row r="307" spans="2:49" hidden="1" x14ac:dyDescent="0.25">
      <c r="B307"/>
      <c r="C307" s="170"/>
      <c r="D307" s="171"/>
      <c r="E307" s="170"/>
      <c r="F307"/>
      <c r="G307" s="172"/>
      <c r="H307" s="173"/>
      <c r="I307" s="172"/>
      <c r="J307"/>
      <c r="K307" s="170"/>
      <c r="L307" s="171"/>
      <c r="M307" s="170"/>
      <c r="N307"/>
      <c r="O307" s="170"/>
      <c r="P307" s="171"/>
      <c r="Q307" s="170"/>
      <c r="R307"/>
      <c r="S307" s="170"/>
      <c r="T307" s="171"/>
      <c r="U307" s="170"/>
      <c r="V307"/>
      <c r="W307" s="170"/>
      <c r="X307" s="170"/>
      <c r="Y307" s="174"/>
      <c r="Z307"/>
      <c r="AA307" s="170"/>
      <c r="AB307" s="171"/>
      <c r="AC307" s="174"/>
      <c r="AD307"/>
      <c r="AE307" s="170"/>
      <c r="AF307" s="170"/>
      <c r="AG307" s="170"/>
      <c r="AH307"/>
      <c r="AI307" s="170"/>
      <c r="AJ307" s="171"/>
      <c r="AK307" s="170"/>
      <c r="AL307"/>
      <c r="AM307" s="170"/>
      <c r="AN307" s="170"/>
      <c r="AO307" s="170"/>
      <c r="AP307"/>
      <c r="AQ307" s="170"/>
      <c r="AR307" s="170"/>
      <c r="AS307" s="174"/>
      <c r="AT307"/>
      <c r="AU307" s="170"/>
      <c r="AV307" s="170"/>
      <c r="AW307" s="170"/>
    </row>
    <row r="308" spans="2:49" hidden="1" x14ac:dyDescent="0.25">
      <c r="B308"/>
      <c r="C308" s="170"/>
      <c r="D308" s="171"/>
      <c r="E308" s="170"/>
      <c r="F308"/>
      <c r="G308" s="172"/>
      <c r="H308" s="173"/>
      <c r="I308" s="172"/>
      <c r="J308"/>
      <c r="K308" s="170"/>
      <c r="L308" s="171"/>
      <c r="M308" s="170"/>
      <c r="N308"/>
      <c r="O308" s="170"/>
      <c r="P308" s="171"/>
      <c r="Q308" s="170"/>
      <c r="R308"/>
      <c r="S308" s="170"/>
      <c r="T308" s="171"/>
      <c r="U308" s="170"/>
      <c r="V308"/>
      <c r="W308" s="170"/>
      <c r="X308" s="170"/>
      <c r="Y308" s="174"/>
      <c r="Z308"/>
      <c r="AA308" s="170"/>
      <c r="AB308" s="171"/>
      <c r="AC308" s="174"/>
      <c r="AD308"/>
      <c r="AE308" s="170"/>
      <c r="AF308" s="170"/>
      <c r="AG308" s="170"/>
      <c r="AH308"/>
      <c r="AI308" s="170"/>
      <c r="AJ308" s="171"/>
      <c r="AK308" s="170"/>
      <c r="AL308"/>
      <c r="AM308" s="170"/>
      <c r="AN308" s="170"/>
      <c r="AO308" s="170"/>
      <c r="AP308"/>
      <c r="AQ308" s="170"/>
      <c r="AR308" s="170"/>
      <c r="AS308" s="174"/>
      <c r="AT308"/>
      <c r="AU308" s="170"/>
      <c r="AV308" s="170"/>
      <c r="AW308" s="170"/>
    </row>
    <row r="309" spans="2:49" hidden="1" x14ac:dyDescent="0.25">
      <c r="B309"/>
      <c r="C309" s="170"/>
      <c r="D309" s="171"/>
      <c r="E309" s="170"/>
      <c r="F309"/>
      <c r="G309" s="172"/>
      <c r="H309" s="173"/>
      <c r="I309" s="172"/>
      <c r="J309"/>
      <c r="K309" s="170"/>
      <c r="L309" s="171"/>
      <c r="M309" s="170"/>
      <c r="N309"/>
      <c r="O309" s="170"/>
      <c r="P309" s="171"/>
      <c r="Q309" s="170"/>
      <c r="R309"/>
      <c r="S309" s="170"/>
      <c r="T309" s="171"/>
      <c r="U309" s="170"/>
      <c r="V309"/>
      <c r="W309" s="170"/>
      <c r="X309" s="170"/>
      <c r="Y309" s="174"/>
      <c r="Z309"/>
      <c r="AA309" s="170"/>
      <c r="AB309" s="171"/>
      <c r="AC309" s="174"/>
      <c r="AD309"/>
      <c r="AE309" s="170"/>
      <c r="AF309" s="170"/>
      <c r="AG309" s="170"/>
      <c r="AH309"/>
      <c r="AI309" s="170"/>
      <c r="AJ309" s="171"/>
      <c r="AK309" s="170"/>
      <c r="AL309"/>
      <c r="AM309" s="170"/>
      <c r="AN309" s="170"/>
      <c r="AO309" s="170"/>
      <c r="AP309"/>
      <c r="AQ309" s="170"/>
      <c r="AR309" s="170"/>
      <c r="AS309" s="174"/>
      <c r="AT309"/>
      <c r="AU309" s="170"/>
      <c r="AV309" s="170"/>
      <c r="AW309" s="170"/>
    </row>
    <row r="310" spans="2:49" hidden="1" x14ac:dyDescent="0.25">
      <c r="B310"/>
      <c r="C310" s="170"/>
      <c r="D310" s="171"/>
      <c r="E310" s="170"/>
      <c r="F310"/>
      <c r="G310" s="172"/>
      <c r="H310" s="173"/>
      <c r="I310" s="172"/>
      <c r="J310"/>
      <c r="K310" s="170"/>
      <c r="L310" s="171"/>
      <c r="M310" s="170"/>
      <c r="N310"/>
      <c r="O310" s="170"/>
      <c r="P310" s="171"/>
      <c r="Q310" s="170"/>
      <c r="R310"/>
      <c r="S310" s="170"/>
      <c r="T310" s="171"/>
      <c r="U310" s="170"/>
      <c r="V310"/>
      <c r="W310" s="170"/>
      <c r="X310" s="170"/>
      <c r="Y310" s="174"/>
      <c r="Z310"/>
      <c r="AA310" s="170"/>
      <c r="AB310" s="171"/>
      <c r="AC310" s="174"/>
      <c r="AD310"/>
      <c r="AE310" s="170"/>
      <c r="AF310" s="170"/>
      <c r="AG310" s="170"/>
      <c r="AH310"/>
      <c r="AI310" s="170"/>
      <c r="AJ310" s="171"/>
      <c r="AK310" s="170"/>
      <c r="AL310"/>
      <c r="AM310" s="170"/>
      <c r="AN310" s="170"/>
      <c r="AO310" s="170"/>
      <c r="AP310"/>
      <c r="AQ310" s="170"/>
      <c r="AR310" s="170"/>
      <c r="AS310" s="174"/>
      <c r="AT310"/>
      <c r="AU310" s="170"/>
      <c r="AV310" s="170"/>
      <c r="AW310" s="170"/>
    </row>
    <row r="311" spans="2:49" hidden="1" x14ac:dyDescent="0.25">
      <c r="B311"/>
      <c r="C311" s="170"/>
      <c r="D311" s="171"/>
      <c r="E311" s="170"/>
      <c r="F311"/>
      <c r="G311" s="172"/>
      <c r="H311" s="173"/>
      <c r="I311" s="172"/>
      <c r="J311"/>
      <c r="K311" s="170"/>
      <c r="L311" s="171"/>
      <c r="M311" s="170"/>
      <c r="N311"/>
      <c r="O311" s="170"/>
      <c r="P311" s="171"/>
      <c r="Q311" s="170"/>
      <c r="R311"/>
      <c r="S311" s="170"/>
      <c r="T311" s="171"/>
      <c r="U311" s="170"/>
      <c r="V311"/>
      <c r="W311" s="170"/>
      <c r="X311" s="170"/>
      <c r="Y311" s="174"/>
      <c r="Z311"/>
      <c r="AA311" s="170"/>
      <c r="AB311" s="171"/>
      <c r="AC311" s="174"/>
      <c r="AD311"/>
      <c r="AE311" s="170"/>
      <c r="AF311" s="170"/>
      <c r="AG311" s="170"/>
      <c r="AH311"/>
      <c r="AI311" s="170"/>
      <c r="AJ311" s="171"/>
      <c r="AK311" s="170"/>
      <c r="AL311"/>
      <c r="AM311" s="170"/>
      <c r="AN311" s="170"/>
      <c r="AO311" s="170"/>
      <c r="AP311"/>
      <c r="AQ311" s="170"/>
      <c r="AR311" s="170"/>
      <c r="AS311" s="174"/>
      <c r="AT311"/>
      <c r="AU311" s="170"/>
      <c r="AV311" s="170"/>
      <c r="AW311" s="170"/>
    </row>
    <row r="312" spans="2:49" hidden="1" x14ac:dyDescent="0.25">
      <c r="B312"/>
      <c r="C312" s="170"/>
      <c r="D312" s="171"/>
      <c r="E312" s="170"/>
      <c r="F312"/>
      <c r="G312" s="172"/>
      <c r="H312" s="173"/>
      <c r="I312" s="172"/>
      <c r="J312"/>
      <c r="K312" s="170"/>
      <c r="L312" s="171"/>
      <c r="M312" s="170"/>
      <c r="N312"/>
      <c r="O312" s="170"/>
      <c r="P312" s="171"/>
      <c r="Q312" s="170"/>
      <c r="R312"/>
      <c r="S312" s="170"/>
      <c r="T312" s="171"/>
      <c r="U312" s="170"/>
      <c r="V312"/>
      <c r="W312" s="170"/>
      <c r="X312" s="170"/>
      <c r="Y312" s="174"/>
      <c r="Z312"/>
      <c r="AA312" s="170"/>
      <c r="AB312" s="171"/>
      <c r="AC312" s="174"/>
      <c r="AD312"/>
      <c r="AE312" s="170"/>
      <c r="AF312" s="170"/>
      <c r="AG312" s="170"/>
      <c r="AH312"/>
      <c r="AI312" s="170"/>
      <c r="AJ312" s="171"/>
      <c r="AK312" s="170"/>
      <c r="AL312"/>
      <c r="AM312" s="170"/>
      <c r="AN312" s="170"/>
      <c r="AO312" s="170"/>
      <c r="AP312"/>
      <c r="AQ312" s="170"/>
      <c r="AR312" s="170"/>
      <c r="AS312" s="174"/>
      <c r="AT312"/>
      <c r="AU312" s="170"/>
      <c r="AV312" s="170"/>
      <c r="AW312" s="170"/>
    </row>
    <row r="313" spans="2:49" hidden="1" x14ac:dyDescent="0.25">
      <c r="B313"/>
      <c r="C313" s="170"/>
      <c r="D313" s="171"/>
      <c r="E313" s="170"/>
      <c r="F313"/>
      <c r="G313" s="172"/>
      <c r="H313" s="173"/>
      <c r="I313" s="172"/>
      <c r="J313"/>
      <c r="K313" s="170"/>
      <c r="L313" s="171"/>
      <c r="M313" s="170"/>
      <c r="N313"/>
      <c r="O313" s="170"/>
      <c r="P313" s="171"/>
      <c r="Q313" s="170"/>
      <c r="R313"/>
      <c r="S313" s="170"/>
      <c r="T313" s="171"/>
      <c r="U313" s="170"/>
      <c r="V313"/>
      <c r="W313" s="170"/>
      <c r="X313" s="170"/>
      <c r="Y313" s="174"/>
      <c r="Z313"/>
      <c r="AA313" s="170"/>
      <c r="AB313" s="171"/>
      <c r="AC313" s="174"/>
      <c r="AD313"/>
      <c r="AE313" s="170"/>
      <c r="AF313" s="170"/>
      <c r="AG313" s="170"/>
      <c r="AH313"/>
      <c r="AI313" s="170"/>
      <c r="AJ313" s="171"/>
      <c r="AK313" s="170"/>
      <c r="AL313"/>
      <c r="AM313" s="170"/>
      <c r="AN313" s="170"/>
      <c r="AO313" s="170"/>
      <c r="AP313"/>
      <c r="AQ313" s="170"/>
      <c r="AR313" s="170"/>
      <c r="AS313" s="174"/>
      <c r="AT313"/>
      <c r="AU313" s="170"/>
      <c r="AV313" s="170"/>
      <c r="AW313" s="170"/>
    </row>
    <row r="314" spans="2:49" hidden="1" x14ac:dyDescent="0.25">
      <c r="B314"/>
      <c r="C314" s="170"/>
      <c r="D314" s="171"/>
      <c r="E314" s="170"/>
      <c r="F314"/>
      <c r="G314" s="172"/>
      <c r="H314" s="173"/>
      <c r="I314" s="172"/>
      <c r="J314"/>
      <c r="K314" s="170"/>
      <c r="L314" s="171"/>
      <c r="M314" s="170"/>
      <c r="N314"/>
      <c r="O314" s="170"/>
      <c r="P314" s="171"/>
      <c r="Q314" s="170"/>
      <c r="R314"/>
      <c r="S314" s="170"/>
      <c r="T314" s="171"/>
      <c r="U314" s="170"/>
      <c r="V314"/>
      <c r="W314" s="170"/>
      <c r="X314" s="170"/>
      <c r="Y314" s="174"/>
      <c r="Z314"/>
      <c r="AA314" s="170"/>
      <c r="AB314" s="171"/>
      <c r="AC314" s="174"/>
      <c r="AD314"/>
      <c r="AE314" s="170"/>
      <c r="AF314" s="170"/>
      <c r="AG314" s="170"/>
      <c r="AH314"/>
      <c r="AI314" s="170"/>
      <c r="AJ314" s="171"/>
      <c r="AK314" s="170"/>
      <c r="AL314"/>
      <c r="AM314" s="170"/>
      <c r="AN314" s="170"/>
      <c r="AO314" s="170"/>
      <c r="AP314"/>
      <c r="AQ314" s="170"/>
      <c r="AR314" s="170"/>
      <c r="AS314" s="174"/>
      <c r="AT314"/>
      <c r="AU314" s="170"/>
      <c r="AV314" s="170"/>
      <c r="AW314" s="170"/>
    </row>
    <row r="315" spans="2:49" hidden="1" x14ac:dyDescent="0.25">
      <c r="B315"/>
      <c r="C315" s="170"/>
      <c r="D315" s="171"/>
      <c r="E315" s="170"/>
      <c r="F315"/>
      <c r="G315" s="172"/>
      <c r="H315" s="173"/>
      <c r="I315" s="172"/>
      <c r="J315"/>
      <c r="K315" s="170"/>
      <c r="L315" s="171"/>
      <c r="M315" s="170"/>
      <c r="N315"/>
      <c r="O315" s="170"/>
      <c r="P315" s="171"/>
      <c r="Q315" s="170"/>
      <c r="R315"/>
      <c r="S315" s="170"/>
      <c r="T315" s="171"/>
      <c r="U315" s="170"/>
      <c r="V315"/>
      <c r="W315" s="170"/>
      <c r="X315" s="170"/>
      <c r="Y315" s="174"/>
      <c r="Z315"/>
      <c r="AA315" s="170"/>
      <c r="AB315" s="171"/>
      <c r="AC315" s="174"/>
      <c r="AD315"/>
      <c r="AE315" s="170"/>
      <c r="AF315" s="170"/>
      <c r="AG315" s="170"/>
      <c r="AH315"/>
      <c r="AI315" s="170"/>
      <c r="AJ315" s="171"/>
      <c r="AK315" s="170"/>
      <c r="AL315"/>
      <c r="AM315" s="170"/>
      <c r="AN315" s="170"/>
      <c r="AO315" s="170"/>
      <c r="AP315"/>
      <c r="AQ315" s="170"/>
      <c r="AR315" s="170"/>
      <c r="AS315" s="174"/>
      <c r="AT315"/>
      <c r="AU315" s="170"/>
      <c r="AV315" s="170"/>
      <c r="AW315" s="170"/>
    </row>
    <row r="316" spans="2:49" hidden="1" x14ac:dyDescent="0.25">
      <c r="B316"/>
      <c r="C316" s="170"/>
      <c r="D316" s="171"/>
      <c r="E316" s="170"/>
      <c r="F316"/>
      <c r="G316" s="172"/>
      <c r="H316" s="173"/>
      <c r="I316" s="172"/>
      <c r="J316"/>
      <c r="K316" s="170"/>
      <c r="L316" s="171"/>
      <c r="M316" s="170"/>
      <c r="N316"/>
      <c r="O316" s="170"/>
      <c r="P316" s="171"/>
      <c r="Q316" s="170"/>
      <c r="R316"/>
      <c r="S316" s="170"/>
      <c r="T316" s="171"/>
      <c r="U316" s="170"/>
      <c r="V316"/>
      <c r="W316" s="170"/>
      <c r="X316" s="170"/>
      <c r="Y316" s="174"/>
      <c r="Z316"/>
      <c r="AA316" s="170"/>
      <c r="AB316" s="171"/>
      <c r="AC316" s="174"/>
      <c r="AD316"/>
      <c r="AE316" s="170"/>
      <c r="AF316" s="170"/>
      <c r="AG316" s="170"/>
      <c r="AH316"/>
      <c r="AI316" s="170"/>
      <c r="AJ316" s="171"/>
      <c r="AK316" s="170"/>
      <c r="AL316"/>
      <c r="AM316" s="170"/>
      <c r="AN316" s="170"/>
      <c r="AO316" s="170"/>
      <c r="AP316"/>
      <c r="AQ316" s="170"/>
      <c r="AR316" s="170"/>
      <c r="AS316" s="174"/>
      <c r="AT316"/>
      <c r="AU316" s="170"/>
      <c r="AV316" s="170"/>
      <c r="AW316" s="170"/>
    </row>
    <row r="317" spans="2:49" hidden="1" x14ac:dyDescent="0.25">
      <c r="B317"/>
      <c r="C317" s="170"/>
      <c r="D317" s="171"/>
      <c r="E317" s="170"/>
      <c r="F317"/>
      <c r="G317" s="172"/>
      <c r="H317" s="173"/>
      <c r="I317" s="172"/>
      <c r="J317"/>
      <c r="K317" s="170"/>
      <c r="L317" s="171"/>
      <c r="M317" s="170"/>
      <c r="N317"/>
      <c r="O317" s="170"/>
      <c r="P317" s="171"/>
      <c r="Q317" s="170"/>
      <c r="R317"/>
      <c r="S317" s="170"/>
      <c r="T317" s="171"/>
      <c r="U317" s="170"/>
      <c r="V317"/>
      <c r="W317" s="170"/>
      <c r="X317" s="170"/>
      <c r="Y317" s="174"/>
      <c r="Z317"/>
      <c r="AA317" s="170"/>
      <c r="AB317" s="171"/>
      <c r="AC317" s="174"/>
      <c r="AD317"/>
      <c r="AE317" s="170"/>
      <c r="AF317" s="170"/>
      <c r="AG317" s="170"/>
      <c r="AH317"/>
      <c r="AI317" s="170"/>
      <c r="AJ317" s="171"/>
      <c r="AK317" s="170"/>
      <c r="AL317"/>
      <c r="AM317" s="170"/>
      <c r="AN317" s="170"/>
      <c r="AO317" s="170"/>
      <c r="AP317"/>
      <c r="AQ317" s="170"/>
      <c r="AR317" s="170"/>
      <c r="AS317" s="174"/>
      <c r="AT317"/>
      <c r="AU317" s="170"/>
      <c r="AV317" s="170"/>
      <c r="AW317" s="170"/>
    </row>
    <row r="318" spans="2:49" hidden="1" x14ac:dyDescent="0.25">
      <c r="B318"/>
      <c r="C318" s="170"/>
      <c r="D318" s="171"/>
      <c r="E318" s="170"/>
      <c r="F318"/>
      <c r="G318" s="172"/>
      <c r="H318" s="173"/>
      <c r="I318" s="172"/>
      <c r="J318"/>
      <c r="K318" s="170"/>
      <c r="L318" s="171"/>
      <c r="M318" s="170"/>
      <c r="N318"/>
      <c r="O318" s="170"/>
      <c r="P318" s="171"/>
      <c r="Q318" s="170"/>
      <c r="R318"/>
      <c r="S318" s="170"/>
      <c r="T318" s="171"/>
      <c r="U318" s="170"/>
      <c r="V318"/>
      <c r="W318" s="170"/>
      <c r="X318" s="170"/>
      <c r="Y318" s="174"/>
      <c r="Z318"/>
      <c r="AA318" s="170"/>
      <c r="AB318" s="171"/>
      <c r="AC318" s="174"/>
      <c r="AD318"/>
      <c r="AE318" s="170"/>
      <c r="AF318" s="170"/>
      <c r="AG318" s="170"/>
      <c r="AH318"/>
      <c r="AI318" s="170"/>
      <c r="AJ318" s="171"/>
      <c r="AK318" s="170"/>
      <c r="AL318"/>
      <c r="AM318" s="170"/>
      <c r="AN318" s="170"/>
      <c r="AO318" s="170"/>
      <c r="AP318"/>
      <c r="AQ318" s="170"/>
      <c r="AR318" s="170"/>
      <c r="AS318" s="174"/>
      <c r="AT318"/>
      <c r="AU318" s="170"/>
      <c r="AV318" s="170"/>
      <c r="AW318" s="170"/>
    </row>
    <row r="319" spans="2:49" hidden="1" x14ac:dyDescent="0.25">
      <c r="B319"/>
      <c r="C319" s="170"/>
      <c r="D319" s="171"/>
      <c r="E319" s="170"/>
      <c r="F319"/>
      <c r="G319" s="172"/>
      <c r="H319" s="173"/>
      <c r="I319" s="172"/>
      <c r="J319"/>
      <c r="K319" s="170"/>
      <c r="L319" s="171"/>
      <c r="M319" s="170"/>
      <c r="N319"/>
      <c r="O319" s="170"/>
      <c r="P319" s="171"/>
      <c r="Q319" s="170"/>
      <c r="R319"/>
      <c r="S319" s="170"/>
      <c r="T319" s="171"/>
      <c r="U319" s="170"/>
      <c r="V319"/>
      <c r="W319" s="170"/>
      <c r="X319" s="170"/>
      <c r="Y319" s="174"/>
      <c r="Z319"/>
      <c r="AA319" s="170"/>
      <c r="AB319" s="171"/>
      <c r="AC319" s="174"/>
      <c r="AD319"/>
      <c r="AE319" s="170"/>
      <c r="AF319" s="170"/>
      <c r="AG319" s="170"/>
      <c r="AH319"/>
      <c r="AI319" s="170"/>
      <c r="AJ319" s="171"/>
      <c r="AK319" s="170"/>
      <c r="AL319"/>
      <c r="AM319" s="170"/>
      <c r="AN319" s="170"/>
      <c r="AO319" s="170"/>
      <c r="AP319"/>
      <c r="AQ319" s="170"/>
      <c r="AR319" s="170"/>
      <c r="AS319" s="174"/>
      <c r="AT319"/>
      <c r="AU319" s="170"/>
      <c r="AV319" s="170"/>
      <c r="AW319" s="170"/>
    </row>
    <row r="320" spans="2:49" hidden="1" x14ac:dyDescent="0.25">
      <c r="B320"/>
      <c r="C320" s="170"/>
      <c r="D320" s="171"/>
      <c r="E320" s="170"/>
      <c r="F320"/>
      <c r="G320" s="172"/>
      <c r="H320" s="173"/>
      <c r="I320" s="172"/>
      <c r="J320"/>
      <c r="K320" s="170"/>
      <c r="L320" s="171"/>
      <c r="M320" s="170"/>
      <c r="N320"/>
      <c r="O320" s="170"/>
      <c r="P320" s="171"/>
      <c r="Q320" s="170"/>
      <c r="R320"/>
      <c r="S320" s="170"/>
      <c r="T320" s="171"/>
      <c r="U320" s="170"/>
      <c r="V320"/>
      <c r="W320" s="170"/>
      <c r="X320" s="170"/>
      <c r="Y320" s="174"/>
      <c r="Z320"/>
      <c r="AA320" s="170"/>
      <c r="AB320" s="171"/>
      <c r="AC320" s="174"/>
      <c r="AD320"/>
      <c r="AE320" s="170"/>
      <c r="AF320" s="170"/>
      <c r="AG320" s="170"/>
      <c r="AH320"/>
      <c r="AI320" s="170"/>
      <c r="AJ320" s="171"/>
      <c r="AK320" s="170"/>
      <c r="AL320"/>
      <c r="AM320" s="170"/>
      <c r="AN320" s="170"/>
      <c r="AO320" s="170"/>
      <c r="AP320"/>
      <c r="AQ320" s="170"/>
      <c r="AR320" s="170"/>
      <c r="AS320" s="174"/>
      <c r="AT320"/>
      <c r="AU320" s="170"/>
      <c r="AV320" s="170"/>
      <c r="AW320" s="170"/>
    </row>
    <row r="321" spans="2:49" hidden="1" x14ac:dyDescent="0.25">
      <c r="B321"/>
      <c r="C321" s="170"/>
      <c r="D321" s="171"/>
      <c r="E321" s="170"/>
      <c r="F321"/>
      <c r="G321" s="172"/>
      <c r="H321" s="173"/>
      <c r="I321" s="172"/>
      <c r="J321"/>
      <c r="K321" s="170"/>
      <c r="L321" s="171"/>
      <c r="M321" s="170"/>
      <c r="N321"/>
      <c r="O321" s="170"/>
      <c r="P321" s="171"/>
      <c r="Q321" s="170"/>
      <c r="R321"/>
      <c r="S321" s="170"/>
      <c r="T321" s="171"/>
      <c r="U321" s="170"/>
      <c r="V321"/>
      <c r="W321" s="170"/>
      <c r="X321" s="170"/>
      <c r="Y321" s="174"/>
      <c r="Z321"/>
      <c r="AA321" s="170"/>
      <c r="AB321" s="171"/>
      <c r="AC321" s="174"/>
      <c r="AD321"/>
      <c r="AE321" s="170"/>
      <c r="AF321" s="170"/>
      <c r="AG321" s="170"/>
      <c r="AH321"/>
      <c r="AI321" s="170"/>
      <c r="AJ321" s="171"/>
      <c r="AK321" s="170"/>
      <c r="AL321"/>
      <c r="AM321" s="170"/>
      <c r="AN321" s="170"/>
      <c r="AO321" s="170"/>
      <c r="AP321"/>
      <c r="AQ321" s="170"/>
      <c r="AR321" s="170"/>
      <c r="AS321" s="174"/>
      <c r="AT321"/>
      <c r="AU321" s="170"/>
      <c r="AV321" s="170"/>
      <c r="AW321" s="170"/>
    </row>
    <row r="322" spans="2:49" hidden="1" x14ac:dyDescent="0.25">
      <c r="B322"/>
      <c r="C322" s="170"/>
      <c r="D322" s="171"/>
      <c r="E322" s="170"/>
      <c r="F322"/>
      <c r="G322" s="172"/>
      <c r="H322" s="173"/>
      <c r="I322" s="172"/>
      <c r="J322"/>
      <c r="K322" s="170"/>
      <c r="L322" s="171"/>
      <c r="M322" s="170"/>
      <c r="N322"/>
      <c r="O322" s="170"/>
      <c r="P322" s="171"/>
      <c r="Q322" s="170"/>
      <c r="R322"/>
      <c r="S322" s="170"/>
      <c r="T322" s="171"/>
      <c r="U322" s="170"/>
      <c r="V322"/>
      <c r="W322" s="170"/>
      <c r="X322" s="170"/>
      <c r="Y322" s="174"/>
      <c r="Z322"/>
      <c r="AA322" s="170"/>
      <c r="AB322" s="171"/>
      <c r="AC322" s="174"/>
      <c r="AD322"/>
      <c r="AE322" s="170"/>
      <c r="AF322" s="170"/>
      <c r="AG322" s="170"/>
      <c r="AH322"/>
      <c r="AI322" s="170"/>
      <c r="AJ322" s="171"/>
      <c r="AK322" s="170"/>
      <c r="AL322"/>
      <c r="AM322" s="170"/>
      <c r="AN322" s="170"/>
      <c r="AO322" s="170"/>
      <c r="AP322"/>
      <c r="AQ322" s="170"/>
      <c r="AR322" s="170"/>
      <c r="AS322" s="174"/>
      <c r="AT322"/>
      <c r="AU322" s="170"/>
      <c r="AV322" s="170"/>
      <c r="AW322" s="170"/>
    </row>
    <row r="323" spans="2:49" hidden="1" x14ac:dyDescent="0.25">
      <c r="B323"/>
      <c r="C323" s="170"/>
      <c r="D323" s="171"/>
      <c r="E323" s="170"/>
      <c r="F323"/>
      <c r="G323" s="172"/>
      <c r="H323" s="173"/>
      <c r="I323" s="172"/>
      <c r="J323"/>
      <c r="K323" s="170"/>
      <c r="L323" s="171"/>
      <c r="M323" s="170"/>
      <c r="N323"/>
      <c r="O323" s="170"/>
      <c r="P323" s="171"/>
      <c r="Q323" s="170"/>
      <c r="R323"/>
      <c r="S323" s="170"/>
      <c r="T323" s="171"/>
      <c r="U323" s="170"/>
      <c r="V323"/>
      <c r="W323" s="170"/>
      <c r="X323" s="170"/>
      <c r="Y323" s="174"/>
      <c r="Z323"/>
      <c r="AA323" s="170"/>
      <c r="AB323" s="171"/>
      <c r="AC323" s="174"/>
      <c r="AD323"/>
      <c r="AE323" s="170"/>
      <c r="AF323" s="170"/>
      <c r="AG323" s="170"/>
      <c r="AH323"/>
      <c r="AI323" s="170"/>
      <c r="AJ323" s="171"/>
      <c r="AK323" s="170"/>
      <c r="AL323"/>
      <c r="AM323" s="170"/>
      <c r="AN323" s="170"/>
      <c r="AO323" s="170"/>
      <c r="AP323"/>
      <c r="AQ323" s="170"/>
      <c r="AR323" s="170"/>
      <c r="AS323" s="174"/>
      <c r="AT323"/>
      <c r="AU323" s="170"/>
      <c r="AV323" s="170"/>
      <c r="AW323" s="170"/>
    </row>
    <row r="324" spans="2:49" hidden="1" x14ac:dyDescent="0.25">
      <c r="B324"/>
      <c r="C324" s="170"/>
      <c r="D324" s="171"/>
      <c r="E324" s="170"/>
      <c r="F324"/>
      <c r="G324" s="172"/>
      <c r="H324" s="173"/>
      <c r="I324" s="172"/>
      <c r="J324"/>
      <c r="K324" s="170"/>
      <c r="L324" s="171"/>
      <c r="M324" s="170"/>
      <c r="N324"/>
      <c r="O324" s="170"/>
      <c r="P324" s="171"/>
      <c r="Q324" s="170"/>
      <c r="R324"/>
      <c r="S324" s="170"/>
      <c r="T324" s="171"/>
      <c r="U324" s="170"/>
      <c r="V324"/>
      <c r="W324" s="170"/>
      <c r="X324" s="170"/>
      <c r="Y324" s="174"/>
      <c r="Z324"/>
      <c r="AA324" s="170"/>
      <c r="AB324" s="171"/>
      <c r="AC324" s="174"/>
      <c r="AD324"/>
      <c r="AE324" s="170"/>
      <c r="AF324" s="170"/>
      <c r="AG324" s="170"/>
      <c r="AH324"/>
      <c r="AI324" s="170"/>
      <c r="AJ324" s="171"/>
      <c r="AK324" s="170"/>
      <c r="AL324"/>
      <c r="AM324" s="170"/>
      <c r="AN324" s="170"/>
      <c r="AO324" s="170"/>
      <c r="AP324"/>
      <c r="AQ324" s="170"/>
      <c r="AR324" s="170"/>
      <c r="AS324" s="174"/>
      <c r="AT324"/>
      <c r="AU324" s="170"/>
      <c r="AV324" s="170"/>
      <c r="AW324" s="170"/>
    </row>
    <row r="325" spans="2:49" hidden="1" x14ac:dyDescent="0.25">
      <c r="B325"/>
      <c r="C325" s="170"/>
      <c r="D325" s="171"/>
      <c r="E325" s="170"/>
      <c r="F325"/>
      <c r="G325" s="172"/>
      <c r="H325" s="173"/>
      <c r="I325" s="172"/>
      <c r="J325"/>
      <c r="K325" s="170"/>
      <c r="L325" s="171"/>
      <c r="M325" s="170"/>
      <c r="N325"/>
      <c r="O325" s="170"/>
      <c r="P325" s="171"/>
      <c r="Q325" s="170"/>
      <c r="R325"/>
      <c r="S325" s="170"/>
      <c r="T325" s="171"/>
      <c r="U325" s="170"/>
      <c r="V325"/>
      <c r="W325" s="170"/>
      <c r="X325" s="170"/>
      <c r="Y325" s="174"/>
      <c r="Z325"/>
      <c r="AA325" s="170"/>
      <c r="AB325" s="171"/>
      <c r="AC325" s="174"/>
      <c r="AD325"/>
      <c r="AE325" s="170"/>
      <c r="AF325" s="170"/>
      <c r="AG325" s="170"/>
      <c r="AH325"/>
      <c r="AI325" s="170"/>
      <c r="AJ325" s="171"/>
      <c r="AK325" s="170"/>
      <c r="AL325"/>
      <c r="AM325" s="170"/>
      <c r="AN325" s="170"/>
      <c r="AO325" s="170"/>
      <c r="AP325"/>
      <c r="AQ325" s="170"/>
      <c r="AR325" s="170"/>
      <c r="AS325" s="174"/>
      <c r="AT325"/>
      <c r="AU325" s="170"/>
      <c r="AV325" s="170"/>
      <c r="AW325" s="170"/>
    </row>
    <row r="326" spans="2:49" hidden="1" x14ac:dyDescent="0.25">
      <c r="B326"/>
      <c r="C326" s="170"/>
      <c r="D326" s="171"/>
      <c r="E326" s="170"/>
      <c r="F326"/>
      <c r="G326" s="172"/>
      <c r="H326" s="173"/>
      <c r="I326" s="172"/>
      <c r="J326"/>
      <c r="K326" s="170"/>
      <c r="L326" s="171"/>
      <c r="M326" s="170"/>
      <c r="N326"/>
      <c r="O326" s="170"/>
      <c r="P326" s="171"/>
      <c r="Q326" s="170"/>
      <c r="R326"/>
      <c r="S326" s="170"/>
      <c r="T326" s="171"/>
      <c r="U326" s="170"/>
      <c r="V326"/>
      <c r="W326" s="170"/>
      <c r="X326" s="170"/>
      <c r="Y326" s="174"/>
      <c r="Z326"/>
      <c r="AA326" s="170"/>
      <c r="AB326" s="171"/>
      <c r="AC326" s="174"/>
      <c r="AD326"/>
      <c r="AE326" s="170"/>
      <c r="AF326" s="170"/>
      <c r="AG326" s="170"/>
      <c r="AH326"/>
      <c r="AI326" s="170"/>
      <c r="AJ326" s="171"/>
      <c r="AK326" s="170"/>
      <c r="AL326"/>
      <c r="AM326" s="170"/>
      <c r="AN326" s="170"/>
      <c r="AO326" s="170"/>
      <c r="AP326"/>
      <c r="AQ326" s="170"/>
      <c r="AR326" s="170"/>
      <c r="AS326" s="174"/>
      <c r="AT326"/>
      <c r="AU326" s="170"/>
      <c r="AV326" s="170"/>
      <c r="AW326" s="170"/>
    </row>
    <row r="327" spans="2:49" hidden="1" x14ac:dyDescent="0.25">
      <c r="B327"/>
      <c r="C327" s="170"/>
      <c r="D327" s="171"/>
      <c r="E327" s="170"/>
      <c r="F327"/>
      <c r="G327" s="172"/>
      <c r="H327" s="173"/>
      <c r="I327" s="172"/>
      <c r="J327"/>
      <c r="K327" s="170"/>
      <c r="L327" s="171"/>
      <c r="M327" s="170"/>
      <c r="N327"/>
      <c r="O327" s="170"/>
      <c r="P327" s="171"/>
      <c r="Q327" s="170"/>
      <c r="R327"/>
      <c r="S327" s="170"/>
      <c r="T327" s="171"/>
      <c r="U327" s="170"/>
      <c r="V327"/>
      <c r="W327" s="170"/>
      <c r="X327" s="170"/>
      <c r="Y327" s="174"/>
      <c r="Z327"/>
      <c r="AA327" s="170"/>
      <c r="AB327" s="171"/>
      <c r="AC327" s="174"/>
      <c r="AD327"/>
      <c r="AE327" s="170"/>
      <c r="AF327" s="170"/>
      <c r="AG327" s="170"/>
      <c r="AH327"/>
      <c r="AI327" s="170"/>
      <c r="AJ327" s="171"/>
      <c r="AK327" s="170"/>
      <c r="AL327"/>
      <c r="AM327" s="170"/>
      <c r="AN327" s="170"/>
      <c r="AO327" s="170"/>
      <c r="AP327"/>
      <c r="AQ327" s="170"/>
      <c r="AR327" s="170"/>
      <c r="AS327" s="174"/>
      <c r="AT327"/>
      <c r="AU327" s="170"/>
      <c r="AV327" s="170"/>
      <c r="AW327" s="170"/>
    </row>
    <row r="328" spans="2:49" hidden="1" x14ac:dyDescent="0.25">
      <c r="B328"/>
      <c r="C328" s="170"/>
      <c r="D328" s="171"/>
      <c r="E328" s="170"/>
      <c r="F328"/>
      <c r="G328" s="172"/>
      <c r="H328" s="173"/>
      <c r="I328" s="172"/>
      <c r="J328"/>
      <c r="K328" s="170"/>
      <c r="L328" s="171"/>
      <c r="M328" s="170"/>
      <c r="N328"/>
      <c r="O328" s="170"/>
      <c r="P328" s="171"/>
      <c r="Q328" s="170"/>
      <c r="R328"/>
      <c r="S328" s="170"/>
      <c r="T328" s="171"/>
      <c r="U328" s="170"/>
      <c r="V328"/>
      <c r="W328" s="170"/>
      <c r="X328" s="170"/>
      <c r="Y328" s="174"/>
      <c r="Z328"/>
      <c r="AA328" s="170"/>
      <c r="AB328" s="171"/>
      <c r="AC328" s="174"/>
      <c r="AD328"/>
      <c r="AE328" s="170"/>
      <c r="AF328" s="170"/>
      <c r="AG328" s="170"/>
      <c r="AH328"/>
      <c r="AI328" s="170"/>
      <c r="AJ328" s="171"/>
      <c r="AK328" s="170"/>
      <c r="AL328"/>
      <c r="AM328" s="170"/>
      <c r="AN328" s="170"/>
      <c r="AO328" s="170"/>
      <c r="AP328"/>
      <c r="AQ328" s="170"/>
      <c r="AR328" s="170"/>
      <c r="AS328" s="174"/>
      <c r="AT328"/>
      <c r="AU328" s="170"/>
      <c r="AV328" s="170"/>
      <c r="AW328" s="170"/>
    </row>
    <row r="329" spans="2:49" hidden="1" x14ac:dyDescent="0.25">
      <c r="B329"/>
      <c r="C329" s="170"/>
      <c r="D329" s="171"/>
      <c r="E329" s="170"/>
      <c r="F329"/>
      <c r="G329" s="172"/>
      <c r="H329" s="173"/>
      <c r="I329" s="172"/>
      <c r="J329"/>
      <c r="K329" s="170"/>
      <c r="L329" s="171"/>
      <c r="M329" s="170"/>
      <c r="N329"/>
      <c r="O329" s="170"/>
      <c r="P329" s="171"/>
      <c r="Q329" s="170"/>
      <c r="R329"/>
      <c r="S329" s="170"/>
      <c r="T329" s="171"/>
      <c r="U329" s="170"/>
      <c r="V329"/>
      <c r="W329" s="170"/>
      <c r="X329" s="170"/>
      <c r="Y329" s="174"/>
      <c r="Z329"/>
      <c r="AA329" s="170"/>
      <c r="AB329" s="171"/>
      <c r="AC329" s="174"/>
      <c r="AD329"/>
      <c r="AE329" s="170"/>
      <c r="AF329" s="170"/>
      <c r="AG329" s="170"/>
      <c r="AH329"/>
      <c r="AI329" s="170"/>
      <c r="AJ329" s="171"/>
      <c r="AK329" s="170"/>
      <c r="AL329"/>
      <c r="AM329" s="170"/>
      <c r="AN329" s="170"/>
      <c r="AO329" s="170"/>
      <c r="AP329"/>
      <c r="AQ329" s="170"/>
      <c r="AR329" s="170"/>
      <c r="AS329" s="174"/>
      <c r="AT329"/>
      <c r="AU329" s="170"/>
      <c r="AV329" s="170"/>
      <c r="AW329" s="170"/>
    </row>
    <row r="330" spans="2:49" hidden="1" x14ac:dyDescent="0.25">
      <c r="B330"/>
      <c r="C330" s="170"/>
      <c r="D330" s="171"/>
      <c r="E330" s="170"/>
      <c r="F330"/>
      <c r="G330" s="172"/>
      <c r="H330" s="173"/>
      <c r="I330" s="172"/>
      <c r="J330"/>
      <c r="K330" s="170"/>
      <c r="L330" s="171"/>
      <c r="M330" s="170"/>
      <c r="N330"/>
      <c r="O330" s="170"/>
      <c r="P330" s="171"/>
      <c r="Q330" s="170"/>
      <c r="R330"/>
      <c r="S330" s="170"/>
      <c r="T330" s="171"/>
      <c r="U330" s="170"/>
      <c r="V330"/>
      <c r="W330" s="170"/>
      <c r="X330" s="170"/>
      <c r="Y330" s="174"/>
      <c r="Z330"/>
      <c r="AA330" s="170"/>
      <c r="AB330" s="171"/>
      <c r="AC330" s="174"/>
      <c r="AD330"/>
      <c r="AE330" s="170"/>
      <c r="AF330" s="170"/>
      <c r="AG330" s="170"/>
      <c r="AH330"/>
      <c r="AI330" s="170"/>
      <c r="AJ330" s="171"/>
      <c r="AK330" s="170"/>
      <c r="AL330"/>
      <c r="AM330" s="170"/>
      <c r="AN330" s="170"/>
      <c r="AO330" s="170"/>
      <c r="AP330"/>
      <c r="AQ330" s="170"/>
      <c r="AR330" s="170"/>
      <c r="AS330" s="174"/>
      <c r="AT330"/>
      <c r="AU330" s="170"/>
      <c r="AV330" s="170"/>
      <c r="AW330" s="170"/>
    </row>
    <row r="331" spans="2:49" hidden="1" x14ac:dyDescent="0.25">
      <c r="B331"/>
      <c r="C331" s="170"/>
      <c r="D331" s="171"/>
      <c r="E331" s="170"/>
      <c r="F331"/>
      <c r="G331" s="172"/>
      <c r="H331" s="173"/>
      <c r="I331" s="172"/>
      <c r="J331"/>
      <c r="K331" s="170"/>
      <c r="L331" s="171"/>
      <c r="M331" s="170"/>
      <c r="N331"/>
      <c r="O331" s="170"/>
      <c r="P331" s="171"/>
      <c r="Q331" s="170"/>
      <c r="R331"/>
      <c r="S331" s="170"/>
      <c r="T331" s="171"/>
      <c r="U331" s="170"/>
      <c r="V331"/>
      <c r="W331" s="170"/>
      <c r="X331" s="170"/>
      <c r="Y331" s="174"/>
      <c r="Z331"/>
      <c r="AA331" s="170"/>
      <c r="AB331" s="171"/>
      <c r="AC331" s="174"/>
      <c r="AD331"/>
      <c r="AE331" s="170"/>
      <c r="AF331" s="170"/>
      <c r="AG331" s="170"/>
      <c r="AH331"/>
      <c r="AI331" s="170"/>
      <c r="AJ331" s="171"/>
      <c r="AK331" s="170"/>
      <c r="AL331"/>
      <c r="AM331" s="170"/>
      <c r="AN331" s="170"/>
      <c r="AO331" s="170"/>
      <c r="AP331"/>
      <c r="AQ331" s="170"/>
      <c r="AR331" s="170"/>
      <c r="AS331" s="174"/>
      <c r="AT331"/>
      <c r="AU331" s="170"/>
      <c r="AV331" s="170"/>
      <c r="AW331" s="170"/>
    </row>
    <row r="332" spans="2:49" hidden="1" x14ac:dyDescent="0.25">
      <c r="B332"/>
      <c r="C332" s="170"/>
      <c r="D332" s="171"/>
      <c r="E332" s="170"/>
      <c r="F332"/>
      <c r="G332" s="172"/>
      <c r="H332" s="173"/>
      <c r="I332" s="172"/>
      <c r="J332"/>
      <c r="K332" s="170"/>
      <c r="L332" s="171"/>
      <c r="M332" s="170"/>
      <c r="N332"/>
      <c r="O332" s="170"/>
      <c r="P332" s="171"/>
      <c r="Q332" s="170"/>
      <c r="R332"/>
      <c r="S332" s="170"/>
      <c r="T332" s="171"/>
      <c r="U332" s="170"/>
      <c r="V332"/>
      <c r="W332" s="170"/>
      <c r="X332" s="170"/>
      <c r="Y332" s="174"/>
      <c r="Z332"/>
      <c r="AA332" s="170"/>
      <c r="AB332" s="171"/>
      <c r="AC332" s="174"/>
      <c r="AD332"/>
      <c r="AE332" s="170"/>
      <c r="AF332" s="170"/>
      <c r="AG332" s="170"/>
      <c r="AH332"/>
      <c r="AI332" s="170"/>
      <c r="AJ332" s="171"/>
      <c r="AK332" s="170"/>
      <c r="AL332"/>
      <c r="AM332" s="170"/>
      <c r="AN332" s="170"/>
      <c r="AO332" s="170"/>
      <c r="AP332"/>
      <c r="AQ332" s="170"/>
      <c r="AR332" s="170"/>
      <c r="AS332" s="174"/>
      <c r="AT332"/>
      <c r="AU332" s="170"/>
      <c r="AV332" s="170"/>
      <c r="AW332" s="170"/>
    </row>
    <row r="333" spans="2:49" hidden="1" x14ac:dyDescent="0.25">
      <c r="B333"/>
      <c r="C333" s="170"/>
      <c r="D333" s="171"/>
      <c r="E333" s="170"/>
      <c r="F333"/>
      <c r="G333" s="172"/>
      <c r="H333" s="173"/>
      <c r="I333" s="172"/>
      <c r="J333"/>
      <c r="K333" s="170"/>
      <c r="L333" s="171"/>
      <c r="M333" s="170"/>
      <c r="N333"/>
      <c r="O333" s="170"/>
      <c r="P333" s="171"/>
      <c r="Q333" s="170"/>
      <c r="R333"/>
      <c r="S333" s="170"/>
      <c r="T333" s="171"/>
      <c r="U333" s="170"/>
      <c r="V333"/>
      <c r="W333" s="170"/>
      <c r="X333" s="170"/>
      <c r="Y333" s="174"/>
      <c r="Z333"/>
      <c r="AA333" s="170"/>
      <c r="AB333" s="171"/>
      <c r="AC333" s="174"/>
      <c r="AD333"/>
      <c r="AE333" s="170"/>
      <c r="AF333" s="170"/>
      <c r="AG333" s="170"/>
      <c r="AH333"/>
      <c r="AI333" s="170"/>
      <c r="AJ333" s="171"/>
      <c r="AK333" s="170"/>
      <c r="AL333"/>
      <c r="AM333" s="170"/>
      <c r="AN333" s="170"/>
      <c r="AO333" s="170"/>
      <c r="AP333"/>
      <c r="AQ333" s="170"/>
      <c r="AR333" s="170"/>
      <c r="AS333" s="174"/>
      <c r="AT333"/>
      <c r="AU333" s="170"/>
      <c r="AV333" s="170"/>
      <c r="AW333" s="170"/>
    </row>
    <row r="334" spans="2:49" hidden="1" x14ac:dyDescent="0.25">
      <c r="B334"/>
      <c r="C334" s="170"/>
      <c r="D334" s="171"/>
      <c r="E334" s="170"/>
      <c r="F334"/>
      <c r="G334" s="172"/>
      <c r="H334" s="173"/>
      <c r="I334" s="172"/>
      <c r="J334"/>
      <c r="K334" s="170"/>
      <c r="L334" s="171"/>
      <c r="M334" s="170"/>
      <c r="N334"/>
      <c r="O334" s="170"/>
      <c r="P334" s="171"/>
      <c r="Q334" s="170"/>
      <c r="R334"/>
      <c r="S334" s="170"/>
      <c r="T334" s="171"/>
      <c r="U334" s="170"/>
      <c r="V334"/>
      <c r="W334" s="170"/>
      <c r="X334" s="170"/>
      <c r="Y334" s="174"/>
      <c r="Z334"/>
      <c r="AA334" s="170"/>
      <c r="AB334" s="171"/>
      <c r="AC334" s="174"/>
      <c r="AD334"/>
      <c r="AE334" s="170"/>
      <c r="AF334" s="170"/>
      <c r="AG334" s="170"/>
      <c r="AH334"/>
      <c r="AI334" s="170"/>
      <c r="AJ334" s="171"/>
      <c r="AK334" s="170"/>
      <c r="AL334"/>
      <c r="AM334" s="170"/>
      <c r="AN334" s="170"/>
      <c r="AO334" s="170"/>
      <c r="AP334"/>
      <c r="AQ334" s="170"/>
      <c r="AR334" s="170"/>
      <c r="AS334" s="174"/>
      <c r="AT334"/>
      <c r="AU334" s="170"/>
      <c r="AV334" s="170"/>
      <c r="AW334" s="170"/>
    </row>
    <row r="335" spans="2:49" hidden="1" x14ac:dyDescent="0.25">
      <c r="B335"/>
      <c r="C335" s="170"/>
      <c r="D335" s="171"/>
      <c r="E335" s="170"/>
      <c r="F335"/>
      <c r="G335" s="172"/>
      <c r="H335" s="173"/>
      <c r="I335" s="172"/>
      <c r="J335"/>
      <c r="K335" s="170"/>
      <c r="L335" s="171"/>
      <c r="M335" s="170"/>
      <c r="N335"/>
      <c r="O335" s="170"/>
      <c r="P335" s="171"/>
      <c r="Q335" s="170"/>
      <c r="R335"/>
      <c r="S335" s="170"/>
      <c r="T335" s="171"/>
      <c r="U335" s="170"/>
      <c r="V335"/>
      <c r="W335" s="170"/>
      <c r="X335" s="170"/>
      <c r="Y335" s="174"/>
      <c r="Z335"/>
      <c r="AA335" s="170"/>
      <c r="AB335" s="171"/>
      <c r="AC335" s="174"/>
      <c r="AD335"/>
      <c r="AE335" s="170"/>
      <c r="AF335" s="170"/>
      <c r="AG335" s="170"/>
      <c r="AH335"/>
      <c r="AI335" s="170"/>
      <c r="AJ335" s="171"/>
      <c r="AK335" s="170"/>
      <c r="AL335"/>
      <c r="AM335" s="170"/>
      <c r="AN335" s="170"/>
      <c r="AO335" s="170"/>
      <c r="AP335"/>
      <c r="AQ335" s="170"/>
      <c r="AR335" s="170"/>
      <c r="AS335" s="174"/>
      <c r="AT335"/>
      <c r="AU335" s="170"/>
      <c r="AV335" s="170"/>
      <c r="AW335" s="170"/>
    </row>
    <row r="336" spans="2:49" hidden="1" x14ac:dyDescent="0.25">
      <c r="B336"/>
      <c r="C336" s="170"/>
      <c r="D336" s="171"/>
      <c r="E336" s="170"/>
      <c r="F336"/>
      <c r="G336" s="172"/>
      <c r="H336" s="173"/>
      <c r="I336" s="172"/>
      <c r="J336"/>
      <c r="K336" s="170"/>
      <c r="L336" s="171"/>
      <c r="M336" s="170"/>
      <c r="N336"/>
      <c r="O336" s="170"/>
      <c r="P336" s="171"/>
      <c r="Q336" s="170"/>
      <c r="R336"/>
      <c r="S336" s="170"/>
      <c r="T336" s="171"/>
      <c r="U336" s="170"/>
      <c r="V336"/>
      <c r="W336" s="170"/>
      <c r="X336" s="170"/>
      <c r="Y336" s="174"/>
      <c r="Z336"/>
      <c r="AA336" s="170"/>
      <c r="AB336" s="171"/>
      <c r="AC336" s="174"/>
      <c r="AD336"/>
      <c r="AE336" s="170"/>
      <c r="AF336" s="170"/>
      <c r="AG336" s="170"/>
      <c r="AH336"/>
      <c r="AI336" s="170"/>
      <c r="AJ336" s="171"/>
      <c r="AK336" s="170"/>
      <c r="AL336"/>
      <c r="AM336" s="170"/>
      <c r="AN336" s="170"/>
      <c r="AO336" s="170"/>
      <c r="AP336"/>
      <c r="AQ336" s="170"/>
      <c r="AR336" s="170"/>
      <c r="AS336" s="174"/>
      <c r="AT336"/>
      <c r="AU336" s="170"/>
      <c r="AV336" s="170"/>
      <c r="AW336" s="170"/>
    </row>
    <row r="337" spans="2:49" hidden="1" x14ac:dyDescent="0.25">
      <c r="B337"/>
      <c r="C337" s="170"/>
      <c r="D337" s="171"/>
      <c r="E337" s="170"/>
      <c r="F337"/>
      <c r="G337" s="172"/>
      <c r="H337" s="173"/>
      <c r="I337" s="172"/>
      <c r="J337"/>
      <c r="K337" s="170"/>
      <c r="L337" s="171"/>
      <c r="M337" s="170"/>
      <c r="N337"/>
      <c r="O337" s="170"/>
      <c r="P337" s="171"/>
      <c r="Q337" s="170"/>
      <c r="R337"/>
      <c r="S337" s="170"/>
      <c r="T337" s="171"/>
      <c r="U337" s="170"/>
      <c r="V337"/>
      <c r="W337" s="170"/>
      <c r="X337" s="170"/>
      <c r="Y337" s="174"/>
      <c r="Z337"/>
      <c r="AA337" s="170"/>
      <c r="AB337" s="171"/>
      <c r="AC337" s="174"/>
      <c r="AD337"/>
      <c r="AE337" s="170"/>
      <c r="AF337" s="170"/>
      <c r="AG337" s="170"/>
      <c r="AH337"/>
      <c r="AI337" s="170"/>
      <c r="AJ337" s="171"/>
      <c r="AK337" s="170"/>
      <c r="AL337"/>
      <c r="AM337" s="170"/>
      <c r="AN337" s="170"/>
      <c r="AO337" s="170"/>
      <c r="AP337"/>
      <c r="AQ337" s="170"/>
      <c r="AR337" s="170"/>
      <c r="AS337" s="174"/>
      <c r="AT337"/>
      <c r="AU337" s="170"/>
      <c r="AV337" s="170"/>
      <c r="AW337" s="170"/>
    </row>
    <row r="338" spans="2:49" hidden="1" x14ac:dyDescent="0.25">
      <c r="B338"/>
      <c r="C338" s="170"/>
      <c r="D338" s="171"/>
      <c r="E338" s="170"/>
      <c r="F338"/>
      <c r="G338" s="172"/>
      <c r="H338" s="173"/>
      <c r="I338" s="172"/>
      <c r="J338"/>
      <c r="K338" s="170"/>
      <c r="L338" s="171"/>
      <c r="M338" s="170"/>
      <c r="N338"/>
      <c r="O338" s="170"/>
      <c r="P338" s="171"/>
      <c r="Q338" s="170"/>
      <c r="R338"/>
      <c r="S338" s="170"/>
      <c r="T338" s="171"/>
      <c r="U338" s="170"/>
      <c r="V338"/>
      <c r="W338" s="170"/>
      <c r="X338" s="170"/>
      <c r="Y338" s="174"/>
      <c r="Z338"/>
      <c r="AA338" s="170"/>
      <c r="AB338" s="171"/>
      <c r="AC338" s="174"/>
      <c r="AD338"/>
      <c r="AE338" s="170"/>
      <c r="AF338" s="170"/>
      <c r="AG338" s="170"/>
      <c r="AH338"/>
      <c r="AI338" s="170"/>
      <c r="AJ338" s="171"/>
      <c r="AK338" s="170"/>
      <c r="AL338"/>
      <c r="AM338" s="170"/>
      <c r="AN338" s="170"/>
      <c r="AO338" s="170"/>
      <c r="AP338"/>
      <c r="AQ338" s="170"/>
      <c r="AR338" s="170"/>
      <c r="AS338" s="174"/>
      <c r="AT338"/>
      <c r="AU338" s="170"/>
      <c r="AV338" s="170"/>
      <c r="AW338" s="170"/>
    </row>
    <row r="339" spans="2:49" hidden="1" x14ac:dyDescent="0.25">
      <c r="B339"/>
      <c r="C339" s="170"/>
      <c r="D339" s="171"/>
      <c r="E339" s="170"/>
      <c r="F339"/>
      <c r="G339" s="172"/>
      <c r="H339" s="173"/>
      <c r="I339" s="172"/>
      <c r="J339"/>
      <c r="K339" s="170"/>
      <c r="L339" s="171"/>
      <c r="M339" s="170"/>
      <c r="N339"/>
      <c r="O339" s="170"/>
      <c r="P339" s="171"/>
      <c r="Q339" s="170"/>
      <c r="R339"/>
      <c r="S339" s="170"/>
      <c r="T339" s="171"/>
      <c r="U339" s="170"/>
      <c r="V339"/>
      <c r="W339" s="170"/>
      <c r="X339" s="170"/>
      <c r="Y339" s="174"/>
      <c r="Z339"/>
      <c r="AA339" s="170"/>
      <c r="AB339" s="171"/>
      <c r="AC339" s="174"/>
      <c r="AD339"/>
      <c r="AE339" s="170"/>
      <c r="AF339" s="170"/>
      <c r="AG339" s="170"/>
      <c r="AH339"/>
      <c r="AI339" s="170"/>
      <c r="AJ339" s="171"/>
      <c r="AK339" s="170"/>
      <c r="AL339"/>
      <c r="AM339" s="170"/>
      <c r="AN339" s="170"/>
      <c r="AO339" s="170"/>
      <c r="AP339"/>
      <c r="AQ339" s="170"/>
      <c r="AR339" s="170"/>
      <c r="AS339" s="174"/>
      <c r="AT339"/>
      <c r="AU339" s="170"/>
      <c r="AV339" s="170"/>
      <c r="AW339" s="170"/>
    </row>
    <row r="340" spans="2:49" hidden="1" x14ac:dyDescent="0.25">
      <c r="B340"/>
      <c r="C340" s="170"/>
      <c r="D340" s="171"/>
      <c r="E340" s="170"/>
      <c r="F340"/>
      <c r="G340" s="172"/>
      <c r="H340" s="173"/>
      <c r="I340" s="172"/>
      <c r="J340"/>
      <c r="K340" s="170"/>
      <c r="L340" s="171"/>
      <c r="M340" s="170"/>
      <c r="N340"/>
      <c r="O340" s="170"/>
      <c r="P340" s="171"/>
      <c r="Q340" s="170"/>
      <c r="R340"/>
      <c r="S340" s="170"/>
      <c r="T340" s="171"/>
      <c r="U340" s="170"/>
      <c r="V340"/>
      <c r="W340" s="170"/>
      <c r="X340" s="170"/>
      <c r="Y340" s="174"/>
      <c r="Z340"/>
      <c r="AA340" s="170"/>
      <c r="AB340" s="171"/>
      <c r="AC340" s="174"/>
      <c r="AD340"/>
      <c r="AE340" s="170"/>
      <c r="AF340" s="170"/>
      <c r="AG340" s="170"/>
      <c r="AH340"/>
      <c r="AI340" s="170"/>
      <c r="AJ340" s="171"/>
      <c r="AK340" s="170"/>
      <c r="AL340"/>
      <c r="AM340" s="170"/>
      <c r="AN340" s="170"/>
      <c r="AO340" s="170"/>
      <c r="AP340"/>
      <c r="AQ340" s="170"/>
      <c r="AR340" s="170"/>
      <c r="AS340" s="174"/>
      <c r="AT340"/>
      <c r="AU340" s="170"/>
      <c r="AV340" s="170"/>
      <c r="AW340" s="170"/>
    </row>
    <row r="341" spans="2:49" hidden="1" x14ac:dyDescent="0.25">
      <c r="B341"/>
      <c r="C341" s="170"/>
      <c r="D341" s="171"/>
      <c r="E341" s="170"/>
      <c r="F341"/>
      <c r="G341" s="172"/>
      <c r="H341" s="173"/>
      <c r="I341" s="172"/>
      <c r="J341"/>
      <c r="K341" s="170"/>
      <c r="L341" s="171"/>
      <c r="M341" s="170"/>
      <c r="N341"/>
      <c r="O341" s="170"/>
      <c r="P341" s="171"/>
      <c r="Q341" s="170"/>
      <c r="R341"/>
      <c r="S341" s="170"/>
      <c r="T341" s="171"/>
      <c r="U341" s="170"/>
      <c r="V341"/>
      <c r="W341" s="170"/>
      <c r="X341" s="170"/>
      <c r="Y341" s="174"/>
      <c r="Z341"/>
      <c r="AA341" s="170"/>
      <c r="AB341" s="171"/>
      <c r="AC341" s="174"/>
      <c r="AD341"/>
      <c r="AE341" s="170"/>
      <c r="AF341" s="170"/>
      <c r="AG341" s="170"/>
      <c r="AH341"/>
      <c r="AI341" s="170"/>
      <c r="AJ341" s="171"/>
      <c r="AK341" s="170"/>
      <c r="AL341"/>
      <c r="AM341" s="170"/>
      <c r="AN341" s="170"/>
      <c r="AO341" s="170"/>
      <c r="AP341"/>
      <c r="AQ341" s="170"/>
      <c r="AR341" s="170"/>
      <c r="AS341" s="174"/>
      <c r="AT341"/>
      <c r="AU341" s="170"/>
      <c r="AV341" s="170"/>
      <c r="AW341" s="170"/>
    </row>
    <row r="342" spans="2:49" hidden="1" x14ac:dyDescent="0.25">
      <c r="B342"/>
      <c r="C342" s="170"/>
      <c r="D342" s="171"/>
      <c r="E342" s="170"/>
      <c r="F342"/>
      <c r="G342" s="172"/>
      <c r="H342" s="173"/>
      <c r="I342" s="172"/>
      <c r="J342"/>
      <c r="K342" s="170"/>
      <c r="L342" s="171"/>
      <c r="M342" s="170"/>
      <c r="N342"/>
      <c r="O342" s="170"/>
      <c r="P342" s="171"/>
      <c r="Q342" s="170"/>
      <c r="R342"/>
      <c r="S342" s="170"/>
      <c r="T342" s="171"/>
      <c r="U342" s="170"/>
      <c r="V342"/>
      <c r="W342" s="170"/>
      <c r="X342" s="170"/>
      <c r="Y342" s="174"/>
      <c r="Z342"/>
      <c r="AA342" s="170"/>
      <c r="AB342" s="171"/>
      <c r="AC342" s="174"/>
      <c r="AD342"/>
      <c r="AE342" s="170"/>
      <c r="AF342" s="170"/>
      <c r="AG342" s="170"/>
      <c r="AH342"/>
      <c r="AI342" s="170"/>
      <c r="AJ342" s="171"/>
      <c r="AK342" s="170"/>
      <c r="AL342"/>
      <c r="AM342" s="170"/>
      <c r="AN342" s="170"/>
      <c r="AO342" s="170"/>
      <c r="AP342"/>
      <c r="AQ342" s="170"/>
      <c r="AR342" s="170"/>
      <c r="AS342" s="174"/>
      <c r="AT342"/>
      <c r="AU342" s="170"/>
      <c r="AV342" s="170"/>
      <c r="AW342" s="170"/>
    </row>
    <row r="343" spans="2:49" hidden="1" x14ac:dyDescent="0.25">
      <c r="B343"/>
      <c r="C343" s="170"/>
      <c r="D343" s="171"/>
      <c r="E343" s="170"/>
      <c r="F343"/>
      <c r="G343" s="172"/>
      <c r="H343" s="173"/>
      <c r="I343" s="172"/>
      <c r="J343"/>
      <c r="K343" s="170"/>
      <c r="L343" s="171"/>
      <c r="M343" s="170"/>
      <c r="N343"/>
      <c r="O343" s="170"/>
      <c r="P343" s="171"/>
      <c r="Q343" s="170"/>
      <c r="R343"/>
      <c r="S343" s="170"/>
      <c r="T343" s="171"/>
      <c r="U343" s="170"/>
      <c r="V343"/>
      <c r="W343" s="170"/>
      <c r="X343" s="170"/>
      <c r="Y343" s="174"/>
      <c r="Z343"/>
      <c r="AA343" s="170"/>
      <c r="AB343" s="171"/>
      <c r="AC343" s="174"/>
      <c r="AD343"/>
      <c r="AE343" s="170"/>
      <c r="AF343" s="170"/>
      <c r="AG343" s="170"/>
      <c r="AH343"/>
      <c r="AI343" s="170"/>
      <c r="AJ343" s="171"/>
      <c r="AK343" s="170"/>
      <c r="AL343"/>
      <c r="AM343" s="170"/>
      <c r="AN343" s="170"/>
      <c r="AO343" s="170"/>
      <c r="AP343"/>
      <c r="AQ343" s="170"/>
      <c r="AR343" s="170"/>
      <c r="AS343" s="174"/>
      <c r="AT343"/>
      <c r="AU343" s="170"/>
      <c r="AV343" s="170"/>
      <c r="AW343" s="170"/>
    </row>
    <row r="344" spans="2:49" hidden="1" x14ac:dyDescent="0.25">
      <c r="B344"/>
      <c r="C344" s="170"/>
      <c r="D344" s="171"/>
      <c r="E344" s="170"/>
      <c r="F344"/>
      <c r="G344" s="172"/>
      <c r="H344" s="173"/>
      <c r="I344" s="172"/>
      <c r="J344"/>
      <c r="K344" s="170"/>
      <c r="L344" s="171"/>
      <c r="M344" s="170"/>
      <c r="N344"/>
      <c r="O344" s="170"/>
      <c r="P344" s="171"/>
      <c r="Q344" s="170"/>
      <c r="R344"/>
      <c r="S344" s="170"/>
      <c r="T344" s="171"/>
      <c r="U344" s="170"/>
      <c r="V344"/>
      <c r="W344" s="170"/>
      <c r="X344" s="170"/>
      <c r="Y344" s="174"/>
      <c r="Z344"/>
      <c r="AA344" s="170"/>
      <c r="AB344" s="171"/>
      <c r="AC344" s="174"/>
      <c r="AD344"/>
      <c r="AE344" s="170"/>
      <c r="AF344" s="170"/>
      <c r="AG344" s="170"/>
      <c r="AH344"/>
      <c r="AI344" s="170"/>
      <c r="AJ344" s="171"/>
      <c r="AK344" s="170"/>
      <c r="AL344"/>
      <c r="AM344" s="170"/>
      <c r="AN344" s="170"/>
      <c r="AO344" s="170"/>
      <c r="AP344"/>
      <c r="AQ344" s="170"/>
      <c r="AR344" s="170"/>
      <c r="AS344" s="174"/>
      <c r="AT344"/>
      <c r="AU344" s="170"/>
      <c r="AV344" s="170"/>
      <c r="AW344" s="170"/>
    </row>
    <row r="345" spans="2:49" hidden="1" x14ac:dyDescent="0.25">
      <c r="B345"/>
      <c r="C345" s="170"/>
      <c r="D345" s="171"/>
      <c r="E345" s="170"/>
      <c r="F345"/>
      <c r="G345" s="172"/>
      <c r="H345" s="173"/>
      <c r="I345" s="172"/>
      <c r="J345"/>
      <c r="K345" s="170"/>
      <c r="L345" s="171"/>
      <c r="M345" s="170"/>
      <c r="N345"/>
      <c r="O345" s="170"/>
      <c r="P345" s="171"/>
      <c r="Q345" s="170"/>
      <c r="R345"/>
      <c r="S345" s="170"/>
      <c r="T345" s="171"/>
      <c r="U345" s="170"/>
      <c r="V345"/>
      <c r="W345" s="170"/>
      <c r="X345" s="170"/>
      <c r="Y345" s="174"/>
      <c r="Z345"/>
      <c r="AA345" s="170"/>
      <c r="AB345" s="171"/>
      <c r="AC345" s="174"/>
      <c r="AD345"/>
      <c r="AE345" s="170"/>
      <c r="AF345" s="170"/>
      <c r="AG345" s="170"/>
      <c r="AH345"/>
      <c r="AI345" s="170"/>
      <c r="AJ345" s="171"/>
      <c r="AK345" s="170"/>
      <c r="AL345"/>
      <c r="AM345" s="170"/>
      <c r="AN345" s="170"/>
      <c r="AO345" s="170"/>
      <c r="AP345"/>
      <c r="AQ345" s="170"/>
      <c r="AR345" s="170"/>
      <c r="AS345" s="174"/>
      <c r="AT345"/>
      <c r="AU345" s="170"/>
      <c r="AV345" s="170"/>
      <c r="AW345" s="170"/>
    </row>
    <row r="346" spans="2:49" hidden="1" x14ac:dyDescent="0.25">
      <c r="B346"/>
      <c r="C346" s="170"/>
      <c r="D346" s="171"/>
      <c r="E346" s="170"/>
      <c r="F346"/>
      <c r="G346" s="172"/>
      <c r="H346" s="173"/>
      <c r="I346" s="172"/>
      <c r="J346"/>
      <c r="K346" s="170"/>
      <c r="L346" s="171"/>
      <c r="M346" s="170"/>
      <c r="N346"/>
      <c r="O346" s="170"/>
      <c r="P346" s="171"/>
      <c r="Q346" s="170"/>
      <c r="R346"/>
      <c r="S346" s="170"/>
      <c r="T346" s="171"/>
      <c r="U346" s="170"/>
      <c r="V346"/>
      <c r="W346" s="170"/>
      <c r="X346" s="170"/>
      <c r="Y346" s="174"/>
      <c r="Z346"/>
      <c r="AA346" s="170"/>
      <c r="AB346" s="171"/>
      <c r="AC346" s="174"/>
      <c r="AD346"/>
      <c r="AE346" s="170"/>
      <c r="AF346" s="170"/>
      <c r="AG346" s="170"/>
      <c r="AH346"/>
      <c r="AI346" s="170"/>
      <c r="AJ346" s="171"/>
      <c r="AK346" s="170"/>
      <c r="AL346"/>
      <c r="AM346" s="170"/>
      <c r="AN346" s="170"/>
      <c r="AO346" s="170"/>
      <c r="AP346"/>
      <c r="AQ346" s="170"/>
      <c r="AR346" s="170"/>
      <c r="AS346" s="174"/>
      <c r="AT346"/>
      <c r="AU346" s="170"/>
      <c r="AV346" s="170"/>
      <c r="AW346" s="170"/>
    </row>
    <row r="347" spans="2:49" hidden="1" x14ac:dyDescent="0.25">
      <c r="B347"/>
      <c r="C347" s="170"/>
      <c r="D347" s="171"/>
      <c r="E347" s="170"/>
      <c r="F347"/>
      <c r="G347" s="172"/>
      <c r="H347" s="173"/>
      <c r="I347" s="172"/>
      <c r="J347"/>
      <c r="K347" s="170"/>
      <c r="L347" s="171"/>
      <c r="M347" s="170"/>
      <c r="N347"/>
      <c r="O347" s="170"/>
      <c r="P347" s="171"/>
      <c r="Q347" s="170"/>
      <c r="R347"/>
      <c r="S347" s="170"/>
      <c r="T347" s="171"/>
      <c r="U347" s="170"/>
      <c r="V347"/>
      <c r="W347" s="170"/>
      <c r="X347" s="170"/>
      <c r="Y347" s="174"/>
      <c r="Z347"/>
      <c r="AA347" s="170"/>
      <c r="AB347" s="171"/>
      <c r="AC347" s="174"/>
      <c r="AD347"/>
      <c r="AE347" s="170"/>
      <c r="AF347" s="170"/>
      <c r="AG347" s="170"/>
      <c r="AH347"/>
      <c r="AI347" s="170"/>
      <c r="AJ347" s="171"/>
      <c r="AK347" s="170"/>
      <c r="AL347"/>
      <c r="AM347" s="170"/>
      <c r="AN347" s="170"/>
      <c r="AO347" s="170"/>
      <c r="AP347"/>
      <c r="AQ347" s="170"/>
      <c r="AR347" s="170"/>
      <c r="AS347" s="174"/>
      <c r="AT347"/>
      <c r="AU347" s="170"/>
      <c r="AV347" s="170"/>
      <c r="AW347" s="170"/>
    </row>
    <row r="348" spans="2:49" hidden="1" x14ac:dyDescent="0.25">
      <c r="B348"/>
      <c r="C348" s="170"/>
      <c r="D348" s="171"/>
      <c r="E348" s="170"/>
      <c r="F348"/>
      <c r="G348" s="172"/>
      <c r="H348" s="173"/>
      <c r="I348" s="172"/>
      <c r="J348"/>
      <c r="K348" s="170"/>
      <c r="L348" s="171"/>
      <c r="M348" s="170"/>
      <c r="N348"/>
      <c r="O348" s="170"/>
      <c r="P348" s="171"/>
      <c r="Q348" s="170"/>
      <c r="R348"/>
      <c r="S348" s="170"/>
      <c r="T348" s="171"/>
      <c r="U348" s="170"/>
      <c r="V348"/>
      <c r="W348" s="170"/>
      <c r="X348" s="170"/>
      <c r="Y348" s="174"/>
      <c r="Z348"/>
      <c r="AA348" s="170"/>
      <c r="AB348" s="171"/>
      <c r="AC348" s="174"/>
      <c r="AD348"/>
      <c r="AE348" s="170"/>
      <c r="AF348" s="170"/>
      <c r="AG348" s="170"/>
      <c r="AH348"/>
      <c r="AI348" s="170"/>
      <c r="AJ348" s="171"/>
      <c r="AK348" s="170"/>
      <c r="AL348"/>
      <c r="AM348" s="170"/>
      <c r="AN348" s="170"/>
      <c r="AO348" s="170"/>
      <c r="AP348"/>
      <c r="AQ348" s="170"/>
      <c r="AR348" s="170"/>
      <c r="AS348" s="174"/>
      <c r="AT348"/>
      <c r="AU348" s="170"/>
      <c r="AV348" s="170"/>
      <c r="AW348" s="170"/>
    </row>
    <row r="349" spans="2:49" hidden="1" x14ac:dyDescent="0.25">
      <c r="B349"/>
      <c r="C349" s="170"/>
      <c r="D349" s="171"/>
      <c r="E349" s="170"/>
      <c r="F349"/>
      <c r="G349" s="172"/>
      <c r="H349" s="173"/>
      <c r="I349" s="172"/>
      <c r="J349"/>
      <c r="K349" s="170"/>
      <c r="L349" s="171"/>
      <c r="M349" s="170"/>
      <c r="N349"/>
      <c r="O349" s="170"/>
      <c r="P349" s="171"/>
      <c r="Q349" s="170"/>
      <c r="R349"/>
      <c r="S349" s="170"/>
      <c r="T349" s="171"/>
      <c r="U349" s="170"/>
      <c r="V349"/>
      <c r="W349" s="170"/>
      <c r="X349" s="170"/>
      <c r="Y349" s="174"/>
      <c r="Z349"/>
      <c r="AA349" s="170"/>
      <c r="AB349" s="171"/>
      <c r="AC349" s="174"/>
      <c r="AD349"/>
      <c r="AE349" s="170"/>
      <c r="AF349" s="170"/>
      <c r="AG349" s="170"/>
      <c r="AH349"/>
      <c r="AI349" s="170"/>
      <c r="AJ349" s="171"/>
      <c r="AK349" s="170"/>
      <c r="AL349"/>
      <c r="AM349" s="170"/>
      <c r="AN349" s="170"/>
      <c r="AO349" s="170"/>
      <c r="AP349"/>
      <c r="AQ349" s="170"/>
      <c r="AR349" s="170"/>
      <c r="AS349" s="174"/>
      <c r="AT349"/>
      <c r="AU349" s="170"/>
      <c r="AV349" s="170"/>
      <c r="AW349" s="170"/>
    </row>
    <row r="350" spans="2:49" hidden="1" x14ac:dyDescent="0.25">
      <c r="B350"/>
      <c r="C350" s="170"/>
      <c r="D350" s="171"/>
      <c r="E350" s="170"/>
      <c r="F350"/>
      <c r="G350" s="172"/>
      <c r="H350" s="173"/>
      <c r="I350" s="172"/>
      <c r="J350"/>
      <c r="K350" s="170"/>
      <c r="L350" s="171"/>
      <c r="M350" s="170"/>
      <c r="N350"/>
      <c r="O350" s="170"/>
      <c r="P350" s="171"/>
      <c r="Q350" s="170"/>
      <c r="R350"/>
      <c r="S350" s="170"/>
      <c r="T350" s="171"/>
      <c r="U350" s="170"/>
      <c r="V350"/>
      <c r="W350" s="170"/>
      <c r="X350" s="170"/>
      <c r="Y350" s="174"/>
      <c r="Z350"/>
      <c r="AA350" s="170"/>
      <c r="AB350" s="171"/>
      <c r="AC350" s="174"/>
      <c r="AD350"/>
      <c r="AE350" s="170"/>
      <c r="AF350" s="170"/>
      <c r="AG350" s="170"/>
      <c r="AH350"/>
      <c r="AI350" s="170"/>
      <c r="AJ350" s="171"/>
      <c r="AK350" s="170"/>
      <c r="AL350"/>
      <c r="AM350" s="170"/>
      <c r="AN350" s="170"/>
      <c r="AO350" s="170"/>
      <c r="AP350"/>
      <c r="AQ350" s="170"/>
      <c r="AR350" s="170"/>
      <c r="AS350" s="174"/>
      <c r="AT350"/>
      <c r="AU350" s="170"/>
      <c r="AV350" s="170"/>
      <c r="AW350" s="170"/>
    </row>
    <row r="351" spans="2:49" hidden="1" x14ac:dyDescent="0.25">
      <c r="B351"/>
      <c r="C351" s="170"/>
      <c r="D351" s="171"/>
      <c r="E351" s="170"/>
      <c r="F351"/>
      <c r="G351" s="172"/>
      <c r="H351" s="173"/>
      <c r="I351" s="172"/>
      <c r="J351"/>
      <c r="K351" s="170"/>
      <c r="L351" s="171"/>
      <c r="M351" s="170"/>
      <c r="N351"/>
      <c r="O351" s="170"/>
      <c r="P351" s="171"/>
      <c r="Q351" s="170"/>
      <c r="R351"/>
      <c r="S351" s="170"/>
      <c r="T351" s="171"/>
      <c r="U351" s="170"/>
      <c r="V351"/>
      <c r="W351" s="170"/>
      <c r="X351" s="170"/>
      <c r="Y351" s="174"/>
      <c r="Z351"/>
      <c r="AA351" s="170"/>
      <c r="AB351" s="171"/>
      <c r="AC351" s="174"/>
      <c r="AD351"/>
      <c r="AE351" s="170"/>
      <c r="AF351" s="170"/>
      <c r="AG351" s="170"/>
      <c r="AH351"/>
      <c r="AI351" s="170"/>
      <c r="AJ351" s="171"/>
      <c r="AK351" s="170"/>
      <c r="AL351"/>
      <c r="AM351" s="170"/>
      <c r="AN351" s="170"/>
      <c r="AO351" s="170"/>
      <c r="AP351"/>
      <c r="AQ351" s="170"/>
      <c r="AR351" s="170"/>
      <c r="AS351" s="174"/>
      <c r="AT351"/>
      <c r="AU351" s="170"/>
      <c r="AV351" s="170"/>
      <c r="AW351" s="170"/>
    </row>
    <row r="352" spans="2:49" hidden="1" x14ac:dyDescent="0.25">
      <c r="B352"/>
      <c r="C352" s="170"/>
      <c r="D352" s="171"/>
      <c r="E352" s="170"/>
      <c r="F352"/>
      <c r="G352" s="172"/>
      <c r="H352" s="173"/>
      <c r="I352" s="172"/>
      <c r="J352"/>
      <c r="K352" s="170"/>
      <c r="L352" s="171"/>
      <c r="M352" s="170"/>
      <c r="N352"/>
      <c r="O352" s="170"/>
      <c r="P352" s="171"/>
      <c r="Q352" s="170"/>
      <c r="R352"/>
      <c r="S352" s="170"/>
      <c r="T352" s="171"/>
      <c r="U352" s="170"/>
      <c r="V352"/>
      <c r="W352" s="170"/>
      <c r="X352" s="170"/>
      <c r="Y352" s="174"/>
      <c r="Z352"/>
      <c r="AA352" s="170"/>
      <c r="AB352" s="171"/>
      <c r="AC352" s="174"/>
      <c r="AD352"/>
      <c r="AE352" s="170"/>
      <c r="AF352" s="170"/>
      <c r="AG352" s="170"/>
      <c r="AH352"/>
      <c r="AI352" s="170"/>
      <c r="AJ352" s="171"/>
      <c r="AK352" s="170"/>
      <c r="AL352"/>
      <c r="AM352" s="170"/>
      <c r="AN352" s="170"/>
      <c r="AO352" s="170"/>
      <c r="AP352"/>
      <c r="AQ352" s="170"/>
      <c r="AR352" s="170"/>
      <c r="AS352" s="174"/>
      <c r="AT352"/>
      <c r="AU352" s="170"/>
      <c r="AV352" s="170"/>
      <c r="AW352" s="170"/>
    </row>
    <row r="353" spans="2:49" hidden="1" x14ac:dyDescent="0.25">
      <c r="B353"/>
      <c r="C353" s="170"/>
      <c r="D353" s="171"/>
      <c r="E353" s="170"/>
      <c r="F353"/>
      <c r="G353" s="172"/>
      <c r="H353" s="173"/>
      <c r="I353" s="172"/>
      <c r="J353"/>
      <c r="K353" s="170"/>
      <c r="L353" s="171"/>
      <c r="M353" s="170"/>
      <c r="N353"/>
      <c r="O353" s="170"/>
      <c r="P353" s="171"/>
      <c r="Q353" s="170"/>
      <c r="R353"/>
      <c r="S353" s="170"/>
      <c r="T353" s="171"/>
      <c r="U353" s="170"/>
      <c r="V353"/>
      <c r="W353" s="170"/>
      <c r="X353" s="170"/>
      <c r="Y353" s="174"/>
      <c r="Z353"/>
      <c r="AA353" s="170"/>
      <c r="AB353" s="171"/>
      <c r="AC353" s="174"/>
      <c r="AD353"/>
      <c r="AE353" s="170"/>
      <c r="AF353" s="170"/>
      <c r="AG353" s="170"/>
      <c r="AH353"/>
      <c r="AI353" s="170"/>
      <c r="AJ353" s="171"/>
      <c r="AK353" s="170"/>
      <c r="AL353"/>
      <c r="AM353" s="170"/>
      <c r="AN353" s="170"/>
      <c r="AO353" s="170"/>
      <c r="AP353"/>
      <c r="AQ353" s="170"/>
      <c r="AR353" s="170"/>
      <c r="AS353" s="174"/>
      <c r="AT353"/>
      <c r="AU353" s="170"/>
      <c r="AV353" s="170"/>
      <c r="AW353" s="170"/>
    </row>
    <row r="354" spans="2:49" hidden="1" x14ac:dyDescent="0.25">
      <c r="B354"/>
      <c r="C354" s="170"/>
      <c r="D354" s="171"/>
      <c r="E354" s="170"/>
      <c r="F354"/>
      <c r="G354" s="172"/>
      <c r="H354" s="173"/>
      <c r="I354" s="172"/>
      <c r="J354"/>
      <c r="K354" s="170"/>
      <c r="L354" s="171"/>
      <c r="M354" s="170"/>
      <c r="N354"/>
      <c r="O354" s="170"/>
      <c r="P354" s="171"/>
      <c r="Q354" s="170"/>
      <c r="R354"/>
      <c r="S354" s="170"/>
      <c r="T354" s="171"/>
      <c r="U354" s="170"/>
      <c r="V354"/>
      <c r="W354" s="170"/>
      <c r="X354" s="170"/>
      <c r="Y354" s="174"/>
      <c r="Z354"/>
      <c r="AA354" s="170"/>
      <c r="AB354" s="171"/>
      <c r="AC354" s="174"/>
      <c r="AD354"/>
      <c r="AE354" s="170"/>
      <c r="AF354" s="170"/>
      <c r="AG354" s="170"/>
      <c r="AH354"/>
      <c r="AI354" s="170"/>
      <c r="AJ354" s="171"/>
      <c r="AK354" s="170"/>
      <c r="AL354"/>
      <c r="AM354" s="170"/>
      <c r="AN354" s="170"/>
      <c r="AO354" s="170"/>
      <c r="AP354"/>
      <c r="AQ354" s="170"/>
      <c r="AR354" s="170"/>
      <c r="AS354" s="174"/>
      <c r="AT354"/>
      <c r="AU354" s="170"/>
      <c r="AV354" s="170"/>
      <c r="AW354" s="170"/>
    </row>
    <row r="355" spans="2:49" hidden="1" x14ac:dyDescent="0.25">
      <c r="B355"/>
      <c r="C355" s="170"/>
      <c r="D355" s="171"/>
      <c r="E355" s="170"/>
      <c r="F355"/>
      <c r="G355" s="172"/>
      <c r="H355" s="173"/>
      <c r="I355" s="172"/>
      <c r="J355"/>
      <c r="K355" s="170"/>
      <c r="L355" s="171"/>
      <c r="M355" s="170"/>
      <c r="N355"/>
      <c r="O355" s="170"/>
      <c r="P355" s="171"/>
      <c r="Q355" s="170"/>
      <c r="R355"/>
      <c r="S355" s="170"/>
      <c r="T355" s="171"/>
      <c r="U355" s="170"/>
      <c r="V355"/>
      <c r="W355" s="170"/>
      <c r="X355" s="170"/>
      <c r="Y355" s="174"/>
      <c r="Z355"/>
      <c r="AA355" s="170"/>
      <c r="AB355" s="171"/>
      <c r="AC355" s="174"/>
      <c r="AD355"/>
      <c r="AE355" s="170"/>
      <c r="AF355" s="170"/>
      <c r="AG355" s="170"/>
      <c r="AH355"/>
      <c r="AI355" s="170"/>
      <c r="AJ355" s="171"/>
      <c r="AK355" s="170"/>
      <c r="AL355"/>
      <c r="AM355" s="170"/>
      <c r="AN355" s="170"/>
      <c r="AO355" s="170"/>
      <c r="AP355"/>
      <c r="AQ355" s="170"/>
      <c r="AR355" s="170"/>
      <c r="AS355" s="174"/>
      <c r="AT355"/>
      <c r="AU355" s="170"/>
      <c r="AV355" s="170"/>
      <c r="AW355" s="170"/>
    </row>
    <row r="356" spans="2:49" hidden="1" x14ac:dyDescent="0.25">
      <c r="B356"/>
      <c r="C356" s="170"/>
      <c r="D356" s="171"/>
      <c r="E356" s="170"/>
      <c r="F356"/>
      <c r="G356" s="172"/>
      <c r="H356" s="173"/>
      <c r="I356" s="172"/>
      <c r="J356"/>
      <c r="K356" s="170"/>
      <c r="L356" s="171"/>
      <c r="M356" s="170"/>
      <c r="N356"/>
      <c r="O356" s="170"/>
      <c r="P356" s="171"/>
      <c r="Q356" s="170"/>
      <c r="R356"/>
      <c r="S356" s="170"/>
      <c r="T356" s="171"/>
      <c r="U356" s="170"/>
      <c r="V356"/>
      <c r="W356" s="170"/>
      <c r="X356" s="170"/>
      <c r="Y356" s="174"/>
      <c r="Z356"/>
      <c r="AA356" s="170"/>
      <c r="AB356" s="171"/>
      <c r="AC356" s="174"/>
      <c r="AD356"/>
      <c r="AE356" s="170"/>
      <c r="AF356" s="170"/>
      <c r="AG356" s="170"/>
      <c r="AH356"/>
      <c r="AI356" s="170"/>
      <c r="AJ356" s="171"/>
      <c r="AK356" s="170"/>
      <c r="AL356"/>
      <c r="AM356" s="170"/>
      <c r="AN356" s="170"/>
      <c r="AO356" s="170"/>
      <c r="AP356"/>
      <c r="AQ356" s="170"/>
      <c r="AR356" s="170"/>
      <c r="AS356" s="174"/>
      <c r="AT356"/>
      <c r="AU356" s="170"/>
      <c r="AV356" s="170"/>
      <c r="AW356" s="170"/>
    </row>
    <row r="357" spans="2:49" hidden="1" x14ac:dyDescent="0.25">
      <c r="B357"/>
      <c r="C357" s="170"/>
      <c r="D357" s="171"/>
      <c r="E357" s="170"/>
      <c r="F357"/>
      <c r="G357" s="172"/>
      <c r="H357" s="173"/>
      <c r="I357" s="172"/>
      <c r="J357"/>
      <c r="K357" s="170"/>
      <c r="L357" s="171"/>
      <c r="M357" s="170"/>
      <c r="N357"/>
      <c r="O357" s="170"/>
      <c r="P357" s="171"/>
      <c r="Q357" s="170"/>
      <c r="R357"/>
      <c r="S357" s="170"/>
      <c r="T357" s="171"/>
      <c r="U357" s="170"/>
      <c r="V357"/>
      <c r="W357" s="170"/>
      <c r="X357" s="170"/>
      <c r="Y357" s="174"/>
      <c r="Z357"/>
      <c r="AA357" s="170"/>
      <c r="AB357" s="171"/>
      <c r="AC357" s="174"/>
      <c r="AD357"/>
      <c r="AE357" s="170"/>
      <c r="AF357" s="170"/>
      <c r="AG357" s="170"/>
      <c r="AH357"/>
      <c r="AI357" s="170"/>
      <c r="AJ357" s="171"/>
      <c r="AK357" s="170"/>
      <c r="AL357"/>
      <c r="AM357" s="170"/>
      <c r="AN357" s="170"/>
      <c r="AO357" s="170"/>
      <c r="AP357"/>
      <c r="AQ357" s="170"/>
      <c r="AR357" s="170"/>
      <c r="AS357" s="174"/>
      <c r="AT357"/>
      <c r="AU357" s="170"/>
      <c r="AV357" s="170"/>
      <c r="AW357" s="170"/>
    </row>
    <row r="358" spans="2:49" hidden="1" x14ac:dyDescent="0.25">
      <c r="B358"/>
      <c r="C358" s="170"/>
      <c r="D358" s="171"/>
      <c r="E358" s="170"/>
      <c r="F358"/>
      <c r="G358" s="172"/>
      <c r="H358" s="173"/>
      <c r="I358" s="172"/>
      <c r="J358"/>
      <c r="K358" s="170"/>
      <c r="L358" s="171"/>
      <c r="M358" s="170"/>
      <c r="N358"/>
      <c r="O358" s="170"/>
      <c r="P358" s="171"/>
      <c r="Q358" s="170"/>
      <c r="R358"/>
      <c r="S358" s="170"/>
      <c r="T358" s="171"/>
      <c r="U358" s="170"/>
      <c r="V358"/>
      <c r="W358" s="170"/>
      <c r="X358" s="170"/>
      <c r="Y358" s="174"/>
      <c r="Z358"/>
      <c r="AA358" s="170"/>
      <c r="AB358" s="171"/>
      <c r="AC358" s="174"/>
      <c r="AD358"/>
      <c r="AE358" s="170"/>
      <c r="AF358" s="170"/>
      <c r="AG358" s="170"/>
      <c r="AH358"/>
      <c r="AI358" s="170"/>
      <c r="AJ358" s="171"/>
      <c r="AK358" s="170"/>
      <c r="AL358"/>
      <c r="AM358" s="170"/>
      <c r="AN358" s="170"/>
      <c r="AO358" s="170"/>
      <c r="AP358"/>
      <c r="AQ358" s="170"/>
      <c r="AR358" s="170"/>
      <c r="AS358" s="174"/>
      <c r="AT358"/>
      <c r="AU358" s="170"/>
      <c r="AV358" s="170"/>
      <c r="AW358" s="170"/>
    </row>
    <row r="359" spans="2:49" hidden="1" x14ac:dyDescent="0.25">
      <c r="B359"/>
      <c r="C359" s="170"/>
      <c r="D359" s="171"/>
      <c r="E359" s="170"/>
      <c r="F359"/>
      <c r="G359" s="172"/>
      <c r="H359" s="173"/>
      <c r="I359" s="172"/>
      <c r="J359"/>
      <c r="K359" s="170"/>
      <c r="L359" s="171"/>
      <c r="M359" s="170"/>
      <c r="N359"/>
      <c r="O359" s="170"/>
      <c r="P359" s="171"/>
      <c r="Q359" s="170"/>
      <c r="R359"/>
      <c r="S359" s="170"/>
      <c r="T359" s="171"/>
      <c r="U359" s="170"/>
      <c r="V359"/>
      <c r="W359" s="170"/>
      <c r="X359" s="170"/>
      <c r="Y359" s="174"/>
      <c r="Z359"/>
      <c r="AA359" s="170"/>
      <c r="AB359" s="171"/>
      <c r="AC359" s="174"/>
      <c r="AD359"/>
      <c r="AE359" s="170"/>
      <c r="AF359" s="170"/>
      <c r="AG359" s="170"/>
      <c r="AH359"/>
      <c r="AI359" s="170"/>
      <c r="AJ359" s="171"/>
      <c r="AK359" s="170"/>
      <c r="AL359"/>
      <c r="AM359" s="170"/>
      <c r="AN359" s="170"/>
      <c r="AO359" s="170"/>
      <c r="AP359"/>
      <c r="AQ359" s="170"/>
      <c r="AR359" s="170"/>
      <c r="AS359" s="174"/>
      <c r="AT359"/>
      <c r="AU359" s="170"/>
      <c r="AV359" s="170"/>
      <c r="AW359" s="170"/>
    </row>
    <row r="360" spans="2:49" hidden="1" x14ac:dyDescent="0.25">
      <c r="B360"/>
      <c r="C360" s="170"/>
      <c r="D360" s="171"/>
      <c r="E360" s="170"/>
      <c r="F360"/>
      <c r="G360" s="172"/>
      <c r="H360" s="173"/>
      <c r="I360" s="172"/>
      <c r="J360"/>
      <c r="K360" s="170"/>
      <c r="L360" s="171"/>
      <c r="M360" s="170"/>
      <c r="N360"/>
      <c r="O360" s="170"/>
      <c r="P360" s="171"/>
      <c r="Q360" s="170"/>
      <c r="R360"/>
      <c r="S360" s="170"/>
      <c r="T360" s="171"/>
      <c r="U360" s="170"/>
      <c r="V360"/>
      <c r="W360" s="170"/>
      <c r="X360" s="170"/>
      <c r="Y360" s="174"/>
      <c r="Z360"/>
      <c r="AA360" s="170"/>
      <c r="AB360" s="171"/>
      <c r="AC360" s="174"/>
      <c r="AD360"/>
      <c r="AE360" s="170"/>
      <c r="AF360" s="170"/>
      <c r="AG360" s="170"/>
      <c r="AH360"/>
      <c r="AI360" s="170"/>
      <c r="AJ360" s="171"/>
      <c r="AK360" s="170"/>
      <c r="AL360"/>
      <c r="AM360" s="170"/>
      <c r="AN360" s="170"/>
      <c r="AO360" s="170"/>
      <c r="AP360"/>
      <c r="AQ360" s="170"/>
      <c r="AR360" s="170"/>
      <c r="AS360" s="174"/>
      <c r="AT360"/>
      <c r="AU360" s="170"/>
      <c r="AV360" s="170"/>
      <c r="AW360" s="170"/>
    </row>
    <row r="361" spans="2:49" hidden="1" x14ac:dyDescent="0.25">
      <c r="B361"/>
      <c r="C361" s="170"/>
      <c r="D361" s="171"/>
      <c r="E361" s="170"/>
      <c r="F361"/>
      <c r="G361" s="172"/>
      <c r="H361" s="173"/>
      <c r="I361" s="172"/>
      <c r="J361"/>
      <c r="K361" s="170"/>
      <c r="L361" s="171"/>
      <c r="M361" s="170"/>
      <c r="N361"/>
      <c r="O361" s="170"/>
      <c r="P361" s="171"/>
      <c r="Q361" s="170"/>
      <c r="R361"/>
      <c r="S361" s="170"/>
      <c r="T361" s="171"/>
      <c r="U361" s="170"/>
      <c r="V361"/>
      <c r="W361" s="170"/>
      <c r="X361" s="170"/>
      <c r="Y361" s="174"/>
      <c r="Z361"/>
      <c r="AA361" s="170"/>
      <c r="AB361" s="171"/>
      <c r="AC361" s="174"/>
      <c r="AD361"/>
      <c r="AE361" s="170"/>
      <c r="AF361" s="170"/>
      <c r="AG361" s="170"/>
      <c r="AH361"/>
      <c r="AI361" s="170"/>
      <c r="AJ361" s="171"/>
      <c r="AK361" s="170"/>
      <c r="AL361"/>
      <c r="AM361" s="170"/>
      <c r="AN361" s="170"/>
      <c r="AO361" s="170"/>
      <c r="AP361"/>
      <c r="AQ361" s="170"/>
      <c r="AR361" s="170"/>
      <c r="AS361" s="174"/>
      <c r="AT361"/>
      <c r="AU361" s="170"/>
      <c r="AV361" s="170"/>
      <c r="AW361" s="170"/>
    </row>
    <row r="362" spans="2:49" hidden="1" x14ac:dyDescent="0.25">
      <c r="B362"/>
      <c r="C362" s="170"/>
      <c r="D362" s="171"/>
      <c r="E362" s="170"/>
      <c r="F362"/>
      <c r="G362" s="172"/>
      <c r="H362" s="173"/>
      <c r="I362" s="172"/>
      <c r="J362"/>
      <c r="K362" s="170"/>
      <c r="L362" s="171"/>
      <c r="M362" s="170"/>
      <c r="N362"/>
      <c r="O362" s="170"/>
      <c r="P362" s="171"/>
      <c r="Q362" s="170"/>
      <c r="R362"/>
      <c r="S362" s="170"/>
      <c r="T362" s="171"/>
      <c r="U362" s="170"/>
      <c r="V362"/>
      <c r="W362" s="170"/>
      <c r="X362" s="170"/>
      <c r="Y362" s="174"/>
      <c r="Z362"/>
      <c r="AA362" s="170"/>
      <c r="AB362" s="171"/>
      <c r="AC362" s="174"/>
      <c r="AD362"/>
      <c r="AE362" s="170"/>
      <c r="AF362" s="170"/>
      <c r="AG362" s="170"/>
      <c r="AH362"/>
      <c r="AI362" s="170"/>
      <c r="AJ362" s="171"/>
      <c r="AK362" s="170"/>
      <c r="AL362"/>
      <c r="AM362" s="170"/>
      <c r="AN362" s="170"/>
      <c r="AO362" s="170"/>
      <c r="AP362"/>
      <c r="AQ362" s="170"/>
      <c r="AR362" s="170"/>
      <c r="AS362" s="174"/>
      <c r="AT362"/>
      <c r="AU362" s="170"/>
      <c r="AV362" s="170"/>
      <c r="AW362" s="170"/>
    </row>
    <row r="363" spans="2:49" hidden="1" x14ac:dyDescent="0.25">
      <c r="B363"/>
      <c r="C363" s="170"/>
      <c r="D363" s="171"/>
      <c r="E363" s="170"/>
      <c r="F363"/>
      <c r="G363" s="172"/>
      <c r="H363" s="173"/>
      <c r="I363" s="172"/>
      <c r="J363"/>
      <c r="K363" s="170"/>
      <c r="L363" s="171"/>
      <c r="M363" s="170"/>
      <c r="N363"/>
      <c r="O363" s="170"/>
      <c r="P363" s="171"/>
      <c r="Q363" s="170"/>
      <c r="R363"/>
      <c r="S363" s="170"/>
      <c r="T363" s="171"/>
      <c r="U363" s="170"/>
      <c r="V363"/>
      <c r="W363" s="170"/>
      <c r="X363" s="170"/>
      <c r="Y363" s="174"/>
      <c r="Z363"/>
      <c r="AA363" s="170"/>
      <c r="AB363" s="171"/>
      <c r="AC363" s="174"/>
      <c r="AD363"/>
      <c r="AE363" s="170"/>
      <c r="AF363" s="170"/>
      <c r="AG363" s="170"/>
      <c r="AH363"/>
      <c r="AI363" s="170"/>
      <c r="AJ363" s="171"/>
      <c r="AK363" s="170"/>
      <c r="AL363"/>
      <c r="AM363" s="170"/>
      <c r="AN363" s="170"/>
      <c r="AO363" s="170"/>
      <c r="AP363"/>
      <c r="AQ363" s="170"/>
      <c r="AR363" s="170"/>
      <c r="AS363" s="174"/>
      <c r="AT363"/>
      <c r="AU363" s="170"/>
      <c r="AV363" s="170"/>
      <c r="AW363" s="170"/>
    </row>
    <row r="364" spans="2:49" hidden="1" x14ac:dyDescent="0.25">
      <c r="B364"/>
      <c r="C364" s="170"/>
      <c r="D364" s="171"/>
      <c r="E364" s="170"/>
      <c r="F364"/>
      <c r="G364" s="172"/>
      <c r="H364" s="173"/>
      <c r="I364" s="172"/>
      <c r="J364"/>
      <c r="K364" s="170"/>
      <c r="L364" s="171"/>
      <c r="M364" s="170"/>
      <c r="N364"/>
      <c r="O364" s="170"/>
      <c r="P364" s="171"/>
      <c r="Q364" s="170"/>
      <c r="R364"/>
      <c r="S364" s="170"/>
      <c r="T364" s="171"/>
      <c r="U364" s="170"/>
      <c r="V364"/>
      <c r="W364" s="170"/>
      <c r="X364" s="170"/>
      <c r="Y364" s="174"/>
      <c r="Z364"/>
      <c r="AA364" s="170"/>
      <c r="AB364" s="171"/>
      <c r="AC364" s="174"/>
      <c r="AD364"/>
      <c r="AE364" s="170"/>
      <c r="AF364" s="170"/>
      <c r="AG364" s="170"/>
      <c r="AH364"/>
      <c r="AI364" s="170"/>
      <c r="AJ364" s="171"/>
      <c r="AK364" s="170"/>
      <c r="AL364"/>
      <c r="AM364" s="170"/>
      <c r="AN364" s="170"/>
      <c r="AO364" s="170"/>
      <c r="AP364"/>
      <c r="AQ364" s="170"/>
      <c r="AR364" s="170"/>
      <c r="AS364" s="174"/>
      <c r="AT364"/>
      <c r="AU364" s="170"/>
      <c r="AV364" s="170"/>
      <c r="AW364" s="170"/>
    </row>
    <row r="365" spans="2:49" hidden="1" x14ac:dyDescent="0.25">
      <c r="B365"/>
      <c r="C365" s="170"/>
      <c r="D365" s="171"/>
      <c r="E365" s="170"/>
      <c r="F365"/>
      <c r="G365" s="172"/>
      <c r="H365" s="173"/>
      <c r="I365" s="172"/>
      <c r="J365"/>
      <c r="K365" s="170"/>
      <c r="L365" s="171"/>
      <c r="M365" s="170"/>
      <c r="N365"/>
      <c r="O365" s="170"/>
      <c r="P365" s="171"/>
      <c r="Q365" s="170"/>
      <c r="R365"/>
      <c r="S365" s="170"/>
      <c r="T365" s="171"/>
      <c r="U365" s="170"/>
      <c r="V365"/>
      <c r="W365" s="170"/>
      <c r="X365" s="170"/>
      <c r="Y365" s="174"/>
      <c r="Z365"/>
      <c r="AA365" s="170"/>
      <c r="AB365" s="171"/>
      <c r="AC365" s="174"/>
      <c r="AD365"/>
      <c r="AE365" s="170"/>
      <c r="AF365" s="170"/>
      <c r="AG365" s="170"/>
      <c r="AH365"/>
      <c r="AI365" s="170"/>
      <c r="AJ365" s="171"/>
      <c r="AK365" s="170"/>
      <c r="AL365"/>
      <c r="AM365" s="170"/>
      <c r="AN365" s="170"/>
      <c r="AO365" s="170"/>
      <c r="AP365"/>
      <c r="AQ365" s="170"/>
      <c r="AR365" s="170"/>
      <c r="AS365" s="174"/>
      <c r="AT365"/>
      <c r="AU365" s="170"/>
      <c r="AV365" s="170"/>
      <c r="AW365" s="170"/>
    </row>
    <row r="366" spans="2:49" hidden="1" x14ac:dyDescent="0.25">
      <c r="B366"/>
      <c r="C366" s="170"/>
      <c r="D366" s="171"/>
      <c r="E366" s="170"/>
      <c r="F366"/>
      <c r="G366" s="172"/>
      <c r="H366" s="173"/>
      <c r="I366" s="172"/>
      <c r="J366"/>
      <c r="K366" s="170"/>
      <c r="L366" s="171"/>
      <c r="M366" s="170"/>
      <c r="N366"/>
      <c r="O366" s="170"/>
      <c r="P366" s="171"/>
      <c r="Q366" s="170"/>
      <c r="R366"/>
      <c r="S366" s="170"/>
      <c r="T366" s="171"/>
      <c r="U366" s="170"/>
      <c r="V366"/>
      <c r="W366" s="170"/>
      <c r="X366" s="170"/>
      <c r="Y366" s="174"/>
      <c r="Z366"/>
      <c r="AA366" s="170"/>
      <c r="AB366" s="171"/>
      <c r="AC366" s="174"/>
      <c r="AD366"/>
      <c r="AE366" s="170"/>
      <c r="AF366" s="170"/>
      <c r="AG366" s="170"/>
      <c r="AH366"/>
      <c r="AI366" s="170"/>
      <c r="AJ366" s="171"/>
      <c r="AK366" s="170"/>
      <c r="AL366"/>
      <c r="AM366" s="170"/>
      <c r="AN366" s="170"/>
      <c r="AO366" s="170"/>
      <c r="AP366"/>
      <c r="AQ366" s="170"/>
      <c r="AR366" s="170"/>
      <c r="AS366" s="174"/>
      <c r="AT366"/>
      <c r="AU366" s="170"/>
      <c r="AV366" s="170"/>
      <c r="AW366" s="170"/>
    </row>
    <row r="367" spans="2:49" hidden="1" x14ac:dyDescent="0.25">
      <c r="B367"/>
      <c r="C367" s="170"/>
      <c r="D367" s="171"/>
      <c r="E367" s="170"/>
      <c r="F367"/>
      <c r="G367" s="172"/>
      <c r="H367" s="173"/>
      <c r="I367" s="172"/>
      <c r="J367"/>
      <c r="K367" s="170"/>
      <c r="L367" s="171"/>
      <c r="M367" s="170"/>
      <c r="N367"/>
      <c r="O367" s="170"/>
      <c r="P367" s="171"/>
      <c r="Q367" s="170"/>
      <c r="R367"/>
      <c r="S367" s="170"/>
      <c r="T367" s="171"/>
      <c r="U367" s="170"/>
      <c r="V367"/>
      <c r="W367" s="170"/>
      <c r="X367" s="170"/>
      <c r="Y367" s="174"/>
      <c r="Z367"/>
      <c r="AA367" s="170"/>
      <c r="AB367" s="171"/>
      <c r="AC367" s="174"/>
      <c r="AD367"/>
      <c r="AE367" s="170"/>
      <c r="AF367" s="170"/>
      <c r="AG367" s="170"/>
      <c r="AH367"/>
      <c r="AI367" s="170"/>
      <c r="AJ367" s="171"/>
      <c r="AK367" s="170"/>
      <c r="AL367"/>
      <c r="AM367" s="170"/>
      <c r="AN367" s="170"/>
      <c r="AO367" s="170"/>
      <c r="AP367"/>
      <c r="AQ367" s="170"/>
      <c r="AR367" s="170"/>
      <c r="AS367" s="174"/>
      <c r="AT367"/>
      <c r="AU367" s="170"/>
      <c r="AV367" s="170"/>
      <c r="AW367" s="170"/>
    </row>
    <row r="368" spans="2:49" hidden="1" x14ac:dyDescent="0.25">
      <c r="B368"/>
      <c r="C368" s="170"/>
      <c r="D368" s="171"/>
      <c r="E368" s="170"/>
      <c r="F368"/>
      <c r="G368" s="172"/>
      <c r="H368" s="173"/>
      <c r="I368" s="172"/>
      <c r="J368"/>
      <c r="K368" s="170"/>
      <c r="L368" s="171"/>
      <c r="M368" s="170"/>
      <c r="N368"/>
      <c r="O368" s="170"/>
      <c r="P368" s="171"/>
      <c r="Q368" s="170"/>
      <c r="R368"/>
      <c r="S368" s="170"/>
      <c r="T368" s="171"/>
      <c r="U368" s="170"/>
      <c r="V368"/>
      <c r="W368" s="170"/>
      <c r="X368" s="170"/>
      <c r="Y368" s="174"/>
      <c r="Z368"/>
      <c r="AA368" s="170"/>
      <c r="AB368" s="171"/>
      <c r="AC368" s="174"/>
      <c r="AD368"/>
      <c r="AE368" s="170"/>
      <c r="AF368" s="170"/>
      <c r="AG368" s="170"/>
      <c r="AH368"/>
      <c r="AI368" s="170"/>
      <c r="AJ368" s="171"/>
      <c r="AK368" s="170"/>
      <c r="AL368"/>
      <c r="AM368" s="170"/>
      <c r="AN368" s="170"/>
      <c r="AO368" s="170"/>
      <c r="AP368"/>
      <c r="AQ368" s="170"/>
      <c r="AR368" s="170"/>
      <c r="AS368" s="174"/>
      <c r="AT368"/>
      <c r="AU368" s="170"/>
      <c r="AV368" s="170"/>
      <c r="AW368" s="170"/>
    </row>
    <row r="369" spans="2:49" hidden="1" x14ac:dyDescent="0.25">
      <c r="B369"/>
      <c r="C369" s="170"/>
      <c r="D369" s="171"/>
      <c r="E369" s="170"/>
      <c r="F369"/>
      <c r="G369" s="172"/>
      <c r="H369" s="173"/>
      <c r="I369" s="172"/>
      <c r="J369"/>
      <c r="K369" s="170"/>
      <c r="L369" s="171"/>
      <c r="M369" s="170"/>
      <c r="N369"/>
      <c r="O369" s="170"/>
      <c r="P369" s="171"/>
      <c r="Q369" s="170"/>
      <c r="R369"/>
      <c r="S369" s="170"/>
      <c r="T369" s="171"/>
      <c r="U369" s="170"/>
      <c r="V369"/>
      <c r="W369" s="170"/>
      <c r="X369" s="170"/>
      <c r="Y369" s="174"/>
      <c r="Z369"/>
      <c r="AA369" s="170"/>
      <c r="AB369" s="171"/>
      <c r="AC369" s="174"/>
      <c r="AD369"/>
      <c r="AE369" s="170"/>
      <c r="AF369" s="170"/>
      <c r="AG369" s="170"/>
      <c r="AH369"/>
      <c r="AI369" s="170"/>
      <c r="AJ369" s="171"/>
      <c r="AK369" s="170"/>
      <c r="AL369"/>
      <c r="AM369" s="170"/>
      <c r="AN369" s="170"/>
      <c r="AO369" s="170"/>
      <c r="AP369"/>
      <c r="AQ369" s="170"/>
      <c r="AR369" s="170"/>
      <c r="AS369" s="174"/>
      <c r="AT369"/>
      <c r="AU369" s="170"/>
      <c r="AV369" s="170"/>
      <c r="AW369" s="170"/>
    </row>
    <row r="370" spans="2:49" hidden="1" x14ac:dyDescent="0.25">
      <c r="B370"/>
      <c r="C370" s="170"/>
      <c r="D370" s="171"/>
      <c r="E370" s="170"/>
      <c r="F370"/>
      <c r="G370" s="172"/>
      <c r="H370" s="173"/>
      <c r="I370" s="172"/>
      <c r="J370"/>
      <c r="K370" s="170"/>
      <c r="L370" s="171"/>
      <c r="M370" s="170"/>
      <c r="N370"/>
      <c r="O370" s="170"/>
      <c r="P370" s="171"/>
      <c r="Q370" s="170"/>
      <c r="R370"/>
      <c r="S370" s="170"/>
      <c r="T370" s="171"/>
      <c r="U370" s="170"/>
      <c r="V370"/>
      <c r="W370" s="170"/>
      <c r="X370" s="170"/>
      <c r="Y370" s="174"/>
      <c r="Z370"/>
      <c r="AA370" s="170"/>
      <c r="AB370" s="171"/>
      <c r="AC370" s="174"/>
      <c r="AD370"/>
      <c r="AE370" s="170"/>
      <c r="AF370" s="170"/>
      <c r="AG370" s="170"/>
      <c r="AH370"/>
      <c r="AI370" s="170"/>
      <c r="AJ370" s="171"/>
      <c r="AK370" s="170"/>
      <c r="AL370"/>
      <c r="AM370" s="170"/>
      <c r="AN370" s="170"/>
      <c r="AO370" s="170"/>
      <c r="AP370"/>
      <c r="AQ370" s="170"/>
      <c r="AR370" s="170"/>
      <c r="AS370" s="174"/>
      <c r="AT370"/>
      <c r="AU370" s="170"/>
      <c r="AV370" s="170"/>
      <c r="AW370" s="170"/>
    </row>
    <row r="371" spans="2:49" hidden="1" x14ac:dyDescent="0.25">
      <c r="B371"/>
      <c r="C371" s="170"/>
      <c r="D371" s="171"/>
      <c r="E371" s="170"/>
      <c r="F371"/>
      <c r="G371" s="172"/>
      <c r="H371" s="173"/>
      <c r="I371" s="172"/>
      <c r="J371"/>
      <c r="K371" s="170"/>
      <c r="L371" s="171"/>
      <c r="M371" s="170"/>
      <c r="N371"/>
      <c r="O371" s="170"/>
      <c r="P371" s="171"/>
      <c r="Q371" s="170"/>
      <c r="R371"/>
      <c r="S371" s="170"/>
      <c r="T371" s="171"/>
      <c r="U371" s="170"/>
      <c r="V371"/>
      <c r="W371" s="170"/>
      <c r="X371" s="170"/>
      <c r="Y371" s="174"/>
      <c r="Z371"/>
      <c r="AA371" s="170"/>
      <c r="AB371" s="171"/>
      <c r="AC371" s="174"/>
      <c r="AD371"/>
      <c r="AE371" s="170"/>
      <c r="AF371" s="170"/>
      <c r="AG371" s="170"/>
      <c r="AH371"/>
      <c r="AI371" s="170"/>
      <c r="AJ371" s="171"/>
      <c r="AK371" s="170"/>
      <c r="AL371"/>
      <c r="AM371" s="170"/>
      <c r="AN371" s="170"/>
      <c r="AO371" s="170"/>
      <c r="AP371"/>
      <c r="AQ371" s="170"/>
      <c r="AR371" s="170"/>
      <c r="AS371" s="174"/>
      <c r="AT371"/>
      <c r="AU371" s="170"/>
      <c r="AV371" s="170"/>
      <c r="AW371" s="170"/>
    </row>
    <row r="372" spans="2:49" hidden="1" x14ac:dyDescent="0.25">
      <c r="B372"/>
      <c r="C372" s="170"/>
      <c r="D372" s="171"/>
      <c r="E372" s="170"/>
      <c r="F372"/>
      <c r="G372" s="172"/>
      <c r="H372" s="173"/>
      <c r="I372" s="172"/>
      <c r="J372"/>
      <c r="K372" s="170"/>
      <c r="L372" s="171"/>
      <c r="M372" s="170"/>
      <c r="N372"/>
      <c r="O372" s="170"/>
      <c r="P372" s="171"/>
      <c r="Q372" s="170"/>
      <c r="R372"/>
      <c r="S372" s="170"/>
      <c r="T372" s="171"/>
      <c r="U372" s="170"/>
      <c r="V372"/>
      <c r="W372" s="170"/>
      <c r="X372" s="170"/>
      <c r="Y372" s="174"/>
      <c r="Z372"/>
      <c r="AA372" s="170"/>
      <c r="AB372" s="171"/>
      <c r="AC372" s="174"/>
      <c r="AD372"/>
      <c r="AE372" s="170"/>
      <c r="AF372" s="170"/>
      <c r="AG372" s="170"/>
      <c r="AH372"/>
      <c r="AI372" s="170"/>
      <c r="AJ372" s="171"/>
      <c r="AK372" s="170"/>
      <c r="AL372"/>
      <c r="AM372" s="170"/>
      <c r="AN372" s="170"/>
      <c r="AO372" s="170"/>
      <c r="AP372"/>
      <c r="AQ372" s="170"/>
      <c r="AR372" s="170"/>
      <c r="AS372" s="174"/>
      <c r="AT372"/>
      <c r="AU372" s="170"/>
      <c r="AV372" s="170"/>
      <c r="AW372" s="170"/>
    </row>
    <row r="373" spans="2:49" hidden="1" x14ac:dyDescent="0.25">
      <c r="B373"/>
      <c r="C373" s="170"/>
      <c r="D373" s="171"/>
      <c r="E373" s="170"/>
      <c r="F373"/>
      <c r="G373" s="172"/>
      <c r="H373" s="173"/>
      <c r="I373" s="172"/>
      <c r="J373"/>
      <c r="K373" s="170"/>
      <c r="L373" s="171"/>
      <c r="M373" s="170"/>
      <c r="N373"/>
      <c r="O373" s="170"/>
      <c r="P373" s="171"/>
      <c r="Q373" s="170"/>
      <c r="R373"/>
      <c r="S373" s="170"/>
      <c r="T373" s="171"/>
      <c r="U373" s="170"/>
      <c r="V373"/>
      <c r="W373" s="170"/>
      <c r="X373" s="170"/>
      <c r="Y373" s="174"/>
      <c r="Z373"/>
      <c r="AA373" s="170"/>
      <c r="AB373" s="171"/>
      <c r="AC373" s="174"/>
      <c r="AD373"/>
      <c r="AE373" s="170"/>
      <c r="AF373" s="170"/>
      <c r="AG373" s="170"/>
      <c r="AH373"/>
      <c r="AI373" s="170"/>
      <c r="AJ373" s="171"/>
      <c r="AK373" s="170"/>
      <c r="AL373"/>
      <c r="AM373" s="170"/>
      <c r="AN373" s="170"/>
      <c r="AO373" s="170"/>
      <c r="AP373"/>
      <c r="AQ373" s="170"/>
      <c r="AR373" s="170"/>
      <c r="AS373" s="174"/>
      <c r="AT373"/>
      <c r="AU373" s="170"/>
      <c r="AV373" s="170"/>
      <c r="AW373" s="170"/>
    </row>
    <row r="374" spans="2:49" hidden="1" x14ac:dyDescent="0.25">
      <c r="B374"/>
      <c r="C374" s="170"/>
      <c r="D374" s="171"/>
      <c r="E374" s="170"/>
      <c r="F374"/>
      <c r="G374" s="172"/>
      <c r="H374" s="173"/>
      <c r="I374" s="172"/>
      <c r="J374"/>
      <c r="K374" s="170"/>
      <c r="L374" s="171"/>
      <c r="M374" s="170"/>
      <c r="N374"/>
      <c r="O374" s="170"/>
      <c r="P374" s="171"/>
      <c r="Q374" s="170"/>
      <c r="R374"/>
      <c r="S374" s="170"/>
      <c r="T374" s="171"/>
      <c r="U374" s="170"/>
      <c r="V374"/>
      <c r="W374" s="170"/>
      <c r="X374" s="170"/>
      <c r="Y374" s="174"/>
      <c r="Z374"/>
      <c r="AA374" s="170"/>
      <c r="AB374" s="171"/>
      <c r="AC374" s="174"/>
      <c r="AD374"/>
      <c r="AE374" s="170"/>
      <c r="AF374" s="170"/>
      <c r="AG374" s="170"/>
      <c r="AH374"/>
      <c r="AI374" s="170"/>
      <c r="AJ374" s="171"/>
      <c r="AK374" s="170"/>
      <c r="AL374"/>
      <c r="AM374" s="170"/>
      <c r="AN374" s="170"/>
      <c r="AO374" s="170"/>
      <c r="AP374"/>
      <c r="AQ374" s="170"/>
      <c r="AR374" s="170"/>
      <c r="AS374" s="174"/>
      <c r="AT374"/>
      <c r="AU374" s="170"/>
      <c r="AV374" s="170"/>
      <c r="AW374" s="170"/>
    </row>
    <row r="375" spans="2:49" hidden="1" x14ac:dyDescent="0.25">
      <c r="B375"/>
      <c r="C375" s="170"/>
      <c r="D375" s="171"/>
      <c r="E375" s="170"/>
      <c r="F375"/>
      <c r="G375" s="172"/>
      <c r="H375" s="173"/>
      <c r="I375" s="172"/>
      <c r="J375"/>
      <c r="K375" s="170"/>
      <c r="L375" s="171"/>
      <c r="M375" s="170"/>
      <c r="N375"/>
      <c r="O375" s="170"/>
      <c r="P375" s="171"/>
      <c r="Q375" s="170"/>
      <c r="R375"/>
      <c r="S375" s="170"/>
      <c r="T375" s="171"/>
      <c r="U375" s="170"/>
      <c r="V375"/>
      <c r="W375" s="170"/>
      <c r="X375" s="170"/>
      <c r="Y375" s="174"/>
      <c r="Z375"/>
      <c r="AA375" s="170"/>
      <c r="AB375" s="171"/>
      <c r="AC375" s="174"/>
      <c r="AD375"/>
      <c r="AE375" s="170"/>
      <c r="AF375" s="170"/>
      <c r="AG375" s="170"/>
      <c r="AH375"/>
      <c r="AI375" s="170"/>
      <c r="AJ375" s="171"/>
      <c r="AK375" s="170"/>
      <c r="AL375"/>
      <c r="AM375" s="170"/>
      <c r="AN375" s="170"/>
      <c r="AO375" s="170"/>
      <c r="AP375"/>
      <c r="AQ375" s="170"/>
      <c r="AR375" s="170"/>
      <c r="AS375" s="174"/>
      <c r="AT375"/>
      <c r="AU375" s="170"/>
      <c r="AV375" s="170"/>
      <c r="AW375" s="170"/>
    </row>
    <row r="376" spans="2:49" hidden="1" x14ac:dyDescent="0.25">
      <c r="B376"/>
      <c r="C376" s="170"/>
      <c r="D376" s="171"/>
      <c r="E376" s="170"/>
      <c r="F376"/>
      <c r="G376" s="172"/>
      <c r="H376" s="173"/>
      <c r="I376" s="172"/>
      <c r="J376"/>
      <c r="K376" s="170"/>
      <c r="L376" s="171"/>
      <c r="M376" s="170"/>
      <c r="N376"/>
      <c r="O376" s="170"/>
      <c r="P376" s="171"/>
      <c r="Q376" s="170"/>
      <c r="R376"/>
      <c r="S376" s="170"/>
      <c r="T376" s="171"/>
      <c r="U376" s="170"/>
      <c r="V376"/>
      <c r="W376" s="170"/>
      <c r="X376" s="170"/>
      <c r="Y376" s="174"/>
      <c r="Z376"/>
      <c r="AA376" s="170"/>
      <c r="AB376" s="171"/>
      <c r="AC376" s="174"/>
      <c r="AD376"/>
      <c r="AE376" s="170"/>
      <c r="AF376" s="170"/>
      <c r="AG376" s="170"/>
      <c r="AH376"/>
      <c r="AI376" s="170"/>
      <c r="AJ376" s="171"/>
      <c r="AK376" s="170"/>
      <c r="AL376"/>
      <c r="AM376" s="170"/>
      <c r="AN376" s="170"/>
      <c r="AO376" s="170"/>
      <c r="AP376"/>
      <c r="AQ376" s="170"/>
      <c r="AR376" s="170"/>
      <c r="AS376" s="174"/>
      <c r="AT376"/>
      <c r="AU376" s="170"/>
      <c r="AV376" s="170"/>
      <c r="AW376" s="170"/>
    </row>
    <row r="377" spans="2:49" hidden="1" x14ac:dyDescent="0.25">
      <c r="B377"/>
      <c r="C377" s="170"/>
      <c r="D377" s="171"/>
      <c r="E377" s="170"/>
      <c r="F377"/>
      <c r="G377" s="172"/>
      <c r="H377" s="173"/>
      <c r="I377" s="172"/>
      <c r="J377"/>
      <c r="K377" s="170"/>
      <c r="L377" s="171"/>
      <c r="M377" s="170"/>
      <c r="N377"/>
      <c r="O377" s="170"/>
      <c r="P377" s="171"/>
      <c r="Q377" s="170"/>
      <c r="R377"/>
      <c r="S377" s="170"/>
      <c r="T377" s="171"/>
      <c r="U377" s="170"/>
      <c r="V377"/>
      <c r="W377" s="170"/>
      <c r="X377" s="170"/>
      <c r="Y377" s="174"/>
      <c r="Z377"/>
      <c r="AA377" s="170"/>
      <c r="AB377" s="171"/>
      <c r="AC377" s="174"/>
      <c r="AD377"/>
      <c r="AE377" s="170"/>
      <c r="AF377" s="170"/>
      <c r="AG377" s="170"/>
      <c r="AH377"/>
      <c r="AI377" s="170"/>
      <c r="AJ377" s="171"/>
      <c r="AK377" s="170"/>
      <c r="AL377"/>
      <c r="AM377" s="170"/>
      <c r="AN377" s="170"/>
      <c r="AO377" s="170"/>
      <c r="AP377"/>
      <c r="AQ377" s="170"/>
      <c r="AR377" s="170"/>
      <c r="AS377" s="174"/>
      <c r="AT377"/>
      <c r="AU377" s="170"/>
      <c r="AV377" s="170"/>
      <c r="AW377" s="170"/>
    </row>
    <row r="378" spans="2:49" hidden="1" x14ac:dyDescent="0.25">
      <c r="B378"/>
      <c r="C378" s="170"/>
      <c r="D378" s="171"/>
      <c r="E378" s="170"/>
      <c r="F378"/>
      <c r="G378" s="172"/>
      <c r="H378" s="173"/>
      <c r="I378" s="172"/>
      <c r="J378"/>
      <c r="K378" s="170"/>
      <c r="L378" s="171"/>
      <c r="M378" s="170"/>
      <c r="N378"/>
      <c r="O378" s="170"/>
      <c r="P378" s="171"/>
      <c r="Q378" s="170"/>
      <c r="R378"/>
      <c r="S378" s="170"/>
      <c r="T378" s="171"/>
      <c r="U378" s="170"/>
      <c r="V378"/>
      <c r="W378" s="170"/>
      <c r="X378" s="170"/>
      <c r="Y378" s="174"/>
      <c r="Z378"/>
      <c r="AA378" s="170"/>
      <c r="AB378" s="171"/>
      <c r="AC378" s="174"/>
      <c r="AD378"/>
      <c r="AE378" s="170"/>
      <c r="AF378" s="170"/>
      <c r="AG378" s="170"/>
      <c r="AH378"/>
      <c r="AI378" s="170"/>
      <c r="AJ378" s="171"/>
      <c r="AK378" s="170"/>
      <c r="AL378"/>
      <c r="AM378" s="170"/>
      <c r="AN378" s="170"/>
      <c r="AO378" s="170"/>
      <c r="AP378"/>
      <c r="AQ378" s="170"/>
      <c r="AR378" s="170"/>
      <c r="AS378" s="174"/>
      <c r="AT378"/>
      <c r="AU378" s="170"/>
      <c r="AV378" s="170"/>
      <c r="AW378" s="170"/>
    </row>
    <row r="379" spans="2:49" hidden="1" x14ac:dyDescent="0.25">
      <c r="B379"/>
      <c r="C379" s="170"/>
      <c r="D379" s="171"/>
      <c r="E379" s="170"/>
      <c r="F379"/>
      <c r="G379" s="172"/>
      <c r="H379" s="173"/>
      <c r="I379" s="172"/>
      <c r="J379"/>
      <c r="K379" s="170"/>
      <c r="L379" s="171"/>
      <c r="M379" s="170"/>
      <c r="N379"/>
      <c r="O379" s="170"/>
      <c r="P379" s="171"/>
      <c r="Q379" s="170"/>
      <c r="R379"/>
      <c r="S379" s="170"/>
      <c r="T379" s="171"/>
      <c r="U379" s="170"/>
      <c r="V379"/>
      <c r="W379" s="170"/>
      <c r="X379" s="170"/>
      <c r="Y379" s="174"/>
      <c r="Z379"/>
      <c r="AA379" s="170"/>
      <c r="AB379" s="171"/>
      <c r="AC379" s="174"/>
      <c r="AD379"/>
      <c r="AE379" s="170"/>
      <c r="AF379" s="170"/>
      <c r="AG379" s="170"/>
      <c r="AH379"/>
      <c r="AI379" s="170"/>
      <c r="AJ379" s="171"/>
      <c r="AK379" s="170"/>
      <c r="AL379"/>
      <c r="AM379" s="170"/>
      <c r="AN379" s="170"/>
      <c r="AO379" s="170"/>
      <c r="AP379"/>
      <c r="AQ379" s="170"/>
      <c r="AR379" s="170"/>
      <c r="AS379" s="174"/>
      <c r="AT379"/>
      <c r="AU379" s="170"/>
      <c r="AV379" s="170"/>
      <c r="AW379" s="170"/>
    </row>
    <row r="380" spans="2:49" hidden="1" x14ac:dyDescent="0.25">
      <c r="B380"/>
      <c r="C380" s="170"/>
      <c r="D380" s="171"/>
      <c r="E380" s="170"/>
      <c r="F380"/>
      <c r="G380" s="172"/>
      <c r="H380" s="173"/>
      <c r="I380" s="172"/>
      <c r="J380"/>
      <c r="K380" s="170"/>
      <c r="L380" s="171"/>
      <c r="M380" s="170"/>
      <c r="N380"/>
      <c r="O380" s="170"/>
      <c r="P380" s="171"/>
      <c r="Q380" s="170"/>
      <c r="R380"/>
      <c r="S380" s="170"/>
      <c r="T380" s="171"/>
      <c r="U380" s="170"/>
      <c r="V380"/>
      <c r="W380" s="170"/>
      <c r="X380" s="170"/>
      <c r="Y380" s="174"/>
      <c r="Z380"/>
      <c r="AA380" s="170"/>
      <c r="AB380" s="171"/>
      <c r="AC380" s="174"/>
      <c r="AD380"/>
      <c r="AE380" s="170"/>
      <c r="AF380" s="170"/>
      <c r="AG380" s="170"/>
      <c r="AH380"/>
      <c r="AI380" s="170"/>
      <c r="AJ380" s="171"/>
      <c r="AK380" s="170"/>
      <c r="AL380"/>
      <c r="AM380" s="170"/>
      <c r="AN380" s="170"/>
      <c r="AO380" s="170"/>
      <c r="AP380"/>
      <c r="AQ380" s="170"/>
      <c r="AR380" s="170"/>
      <c r="AS380" s="174"/>
      <c r="AT380"/>
      <c r="AU380" s="170"/>
      <c r="AV380" s="170"/>
      <c r="AW380" s="170"/>
    </row>
    <row r="381" spans="2:49" hidden="1" x14ac:dyDescent="0.25">
      <c r="B381"/>
      <c r="C381" s="170"/>
      <c r="D381" s="171"/>
      <c r="E381" s="170"/>
      <c r="F381"/>
      <c r="G381" s="172"/>
      <c r="H381" s="173"/>
      <c r="I381" s="172"/>
      <c r="J381"/>
      <c r="K381" s="170"/>
      <c r="L381" s="171"/>
      <c r="M381" s="170"/>
      <c r="N381"/>
      <c r="O381" s="170"/>
      <c r="P381" s="171"/>
      <c r="Q381" s="170"/>
      <c r="R381"/>
      <c r="S381" s="170"/>
      <c r="T381" s="171"/>
      <c r="U381" s="170"/>
      <c r="V381"/>
      <c r="W381" s="170"/>
      <c r="X381" s="170"/>
      <c r="Y381" s="174"/>
      <c r="Z381"/>
      <c r="AA381" s="170"/>
      <c r="AB381" s="171"/>
      <c r="AC381" s="174"/>
      <c r="AD381"/>
      <c r="AE381" s="170"/>
      <c r="AF381" s="170"/>
      <c r="AG381" s="170"/>
      <c r="AH381"/>
      <c r="AI381" s="170"/>
      <c r="AJ381" s="171"/>
      <c r="AK381" s="170"/>
      <c r="AL381"/>
      <c r="AM381" s="170"/>
      <c r="AN381" s="170"/>
      <c r="AO381" s="170"/>
      <c r="AP381"/>
      <c r="AQ381" s="170"/>
      <c r="AR381" s="170"/>
      <c r="AS381" s="174"/>
      <c r="AT381"/>
      <c r="AU381" s="170"/>
      <c r="AV381" s="170"/>
      <c r="AW381" s="170"/>
    </row>
    <row r="382" spans="2:49" hidden="1" x14ac:dyDescent="0.25">
      <c r="B382"/>
      <c r="C382" s="170"/>
      <c r="D382" s="171"/>
      <c r="E382" s="170"/>
      <c r="F382"/>
      <c r="G382" s="172"/>
      <c r="H382" s="173"/>
      <c r="I382" s="172"/>
      <c r="J382"/>
      <c r="K382" s="170"/>
      <c r="L382" s="171"/>
      <c r="M382" s="170"/>
      <c r="N382"/>
      <c r="O382" s="170"/>
      <c r="P382" s="171"/>
      <c r="Q382" s="170"/>
      <c r="R382"/>
      <c r="S382" s="170"/>
      <c r="T382" s="171"/>
      <c r="U382" s="170"/>
      <c r="V382"/>
      <c r="W382" s="170"/>
      <c r="X382" s="170"/>
      <c r="Y382" s="174"/>
      <c r="Z382"/>
      <c r="AA382" s="170"/>
      <c r="AB382" s="171"/>
      <c r="AC382" s="174"/>
      <c r="AD382"/>
      <c r="AE382" s="170"/>
      <c r="AF382" s="170"/>
      <c r="AG382" s="170"/>
      <c r="AH382"/>
      <c r="AI382" s="170"/>
      <c r="AJ382" s="171"/>
      <c r="AK382" s="170"/>
      <c r="AL382"/>
      <c r="AM382" s="170"/>
      <c r="AN382" s="170"/>
      <c r="AO382" s="170"/>
      <c r="AP382"/>
      <c r="AQ382" s="170"/>
      <c r="AR382" s="170"/>
      <c r="AS382" s="174"/>
      <c r="AT382"/>
      <c r="AU382" s="170"/>
      <c r="AV382" s="170"/>
      <c r="AW382" s="170"/>
    </row>
    <row r="383" spans="2:49" hidden="1" x14ac:dyDescent="0.25">
      <c r="B383"/>
      <c r="C383" s="170"/>
      <c r="D383" s="171"/>
      <c r="E383" s="170"/>
      <c r="F383"/>
      <c r="G383" s="172"/>
      <c r="H383" s="173"/>
      <c r="I383" s="172"/>
      <c r="J383"/>
      <c r="K383" s="170"/>
      <c r="L383" s="171"/>
      <c r="M383" s="170"/>
      <c r="N383"/>
      <c r="O383" s="170"/>
      <c r="P383" s="171"/>
      <c r="Q383" s="170"/>
      <c r="R383"/>
      <c r="S383" s="170"/>
      <c r="T383" s="171"/>
      <c r="U383" s="170"/>
      <c r="V383"/>
      <c r="W383" s="170"/>
      <c r="X383" s="170"/>
      <c r="Y383" s="174"/>
      <c r="Z383"/>
      <c r="AA383" s="170"/>
      <c r="AB383" s="171"/>
      <c r="AC383" s="174"/>
      <c r="AD383"/>
      <c r="AE383" s="170"/>
      <c r="AF383" s="170"/>
      <c r="AG383" s="170"/>
      <c r="AH383"/>
      <c r="AI383" s="170"/>
      <c r="AJ383" s="171"/>
      <c r="AK383" s="170"/>
      <c r="AL383"/>
      <c r="AM383" s="170"/>
      <c r="AN383" s="170"/>
      <c r="AO383" s="170"/>
      <c r="AP383"/>
      <c r="AQ383" s="170"/>
      <c r="AR383" s="170"/>
      <c r="AS383" s="174"/>
      <c r="AT383"/>
      <c r="AU383" s="170"/>
      <c r="AV383" s="170"/>
      <c r="AW383" s="170"/>
    </row>
    <row r="384" spans="2:49" hidden="1" x14ac:dyDescent="0.25">
      <c r="B384"/>
      <c r="C384" s="170"/>
      <c r="D384" s="171"/>
      <c r="E384" s="170"/>
      <c r="F384"/>
      <c r="G384" s="172"/>
      <c r="H384" s="173"/>
      <c r="I384" s="172"/>
      <c r="J384"/>
      <c r="K384" s="170"/>
      <c r="L384" s="171"/>
      <c r="M384" s="170"/>
      <c r="N384"/>
      <c r="O384" s="170"/>
      <c r="P384" s="171"/>
      <c r="Q384" s="170"/>
      <c r="R384"/>
      <c r="S384" s="170"/>
      <c r="T384" s="171"/>
      <c r="U384" s="170"/>
      <c r="V384"/>
      <c r="W384" s="170"/>
      <c r="X384" s="170"/>
      <c r="Y384" s="174"/>
      <c r="Z384"/>
      <c r="AA384" s="170"/>
      <c r="AB384" s="171"/>
      <c r="AC384" s="174"/>
      <c r="AD384"/>
      <c r="AE384" s="170"/>
      <c r="AF384" s="170"/>
      <c r="AG384" s="170"/>
      <c r="AH384"/>
      <c r="AI384" s="170"/>
      <c r="AJ384" s="171"/>
      <c r="AK384" s="170"/>
      <c r="AL384"/>
      <c r="AM384" s="170"/>
      <c r="AN384" s="170"/>
      <c r="AO384" s="170"/>
      <c r="AP384"/>
      <c r="AQ384" s="170"/>
      <c r="AR384" s="170"/>
      <c r="AS384" s="174"/>
      <c r="AT384"/>
      <c r="AU384" s="170"/>
      <c r="AV384" s="170"/>
      <c r="AW384" s="170"/>
    </row>
    <row r="385" spans="2:49" hidden="1" x14ac:dyDescent="0.25">
      <c r="B385"/>
      <c r="C385" s="170"/>
      <c r="D385" s="171"/>
      <c r="E385" s="170"/>
      <c r="F385"/>
      <c r="G385" s="172"/>
      <c r="H385" s="173"/>
      <c r="I385" s="172"/>
      <c r="J385"/>
      <c r="K385" s="170"/>
      <c r="L385" s="171"/>
      <c r="M385" s="170"/>
      <c r="N385"/>
      <c r="O385" s="170"/>
      <c r="P385" s="171"/>
      <c r="Q385" s="170"/>
      <c r="R385"/>
      <c r="S385" s="170"/>
      <c r="T385" s="171"/>
      <c r="U385" s="170"/>
      <c r="V385"/>
      <c r="W385" s="170"/>
      <c r="X385" s="170"/>
      <c r="Y385" s="174"/>
      <c r="Z385"/>
      <c r="AA385" s="170"/>
      <c r="AB385" s="171"/>
      <c r="AC385" s="174"/>
      <c r="AD385"/>
      <c r="AE385" s="170"/>
      <c r="AF385" s="170"/>
      <c r="AG385" s="170"/>
      <c r="AH385"/>
      <c r="AI385" s="170"/>
      <c r="AJ385" s="171"/>
      <c r="AK385" s="170"/>
      <c r="AL385"/>
      <c r="AM385" s="170"/>
      <c r="AN385" s="170"/>
      <c r="AO385" s="170"/>
      <c r="AP385"/>
      <c r="AQ385" s="170"/>
      <c r="AR385" s="170"/>
      <c r="AS385" s="174"/>
      <c r="AT385"/>
      <c r="AU385" s="170"/>
      <c r="AV385" s="170"/>
      <c r="AW385" s="170"/>
    </row>
    <row r="386" spans="2:49" hidden="1" x14ac:dyDescent="0.25">
      <c r="B386"/>
      <c r="C386" s="170"/>
      <c r="D386" s="171"/>
      <c r="E386" s="170"/>
      <c r="F386"/>
      <c r="G386" s="172"/>
      <c r="H386" s="173"/>
      <c r="I386" s="172"/>
      <c r="J386"/>
      <c r="K386" s="170"/>
      <c r="L386" s="171"/>
      <c r="M386" s="170"/>
      <c r="N386"/>
      <c r="O386" s="170"/>
      <c r="P386" s="171"/>
      <c r="Q386" s="170"/>
      <c r="R386"/>
      <c r="S386" s="170"/>
      <c r="T386" s="171"/>
      <c r="U386" s="170"/>
      <c r="V386"/>
      <c r="W386" s="170"/>
      <c r="X386" s="170"/>
      <c r="Y386" s="174"/>
      <c r="Z386"/>
      <c r="AA386" s="170"/>
      <c r="AB386" s="171"/>
      <c r="AC386" s="174"/>
      <c r="AD386"/>
      <c r="AE386" s="170"/>
      <c r="AF386" s="170"/>
      <c r="AG386" s="170"/>
      <c r="AH386"/>
      <c r="AI386" s="170"/>
      <c r="AJ386" s="171"/>
      <c r="AK386" s="170"/>
      <c r="AL386"/>
      <c r="AM386" s="170"/>
      <c r="AN386" s="170"/>
      <c r="AO386" s="170"/>
      <c r="AP386"/>
      <c r="AQ386" s="170"/>
      <c r="AR386" s="170"/>
      <c r="AS386" s="174"/>
      <c r="AT386"/>
      <c r="AU386" s="170"/>
      <c r="AV386" s="170"/>
      <c r="AW386" s="170"/>
    </row>
    <row r="387" spans="2:49" hidden="1" x14ac:dyDescent="0.25">
      <c r="B387"/>
      <c r="C387" s="170"/>
      <c r="D387" s="171"/>
      <c r="E387" s="170"/>
      <c r="F387"/>
      <c r="G387" s="172"/>
      <c r="H387" s="173"/>
      <c r="I387" s="172"/>
      <c r="J387"/>
      <c r="K387" s="170"/>
      <c r="L387" s="171"/>
      <c r="M387" s="170"/>
      <c r="N387"/>
      <c r="O387" s="170"/>
      <c r="P387" s="171"/>
      <c r="Q387" s="170"/>
      <c r="R387"/>
      <c r="S387" s="170"/>
      <c r="T387" s="171"/>
      <c r="U387" s="170"/>
      <c r="V387"/>
      <c r="W387" s="170"/>
      <c r="X387" s="170"/>
      <c r="Y387" s="174"/>
      <c r="Z387"/>
      <c r="AA387" s="170"/>
      <c r="AB387" s="171"/>
      <c r="AC387" s="174"/>
      <c r="AD387"/>
      <c r="AE387" s="170"/>
      <c r="AF387" s="170"/>
      <c r="AG387" s="170"/>
      <c r="AH387"/>
      <c r="AI387" s="170"/>
      <c r="AJ387" s="171"/>
      <c r="AK387" s="170"/>
      <c r="AL387"/>
      <c r="AM387" s="170"/>
      <c r="AN387" s="170"/>
      <c r="AO387" s="170"/>
      <c r="AP387"/>
      <c r="AQ387" s="170"/>
      <c r="AR387" s="170"/>
      <c r="AS387" s="174"/>
      <c r="AT387"/>
      <c r="AU387" s="170"/>
      <c r="AV387" s="170"/>
      <c r="AW387" s="170"/>
    </row>
    <row r="388" spans="2:49" hidden="1" x14ac:dyDescent="0.25">
      <c r="B388"/>
      <c r="C388" s="170"/>
      <c r="D388" s="171"/>
      <c r="E388" s="170"/>
      <c r="F388"/>
      <c r="G388" s="172"/>
      <c r="H388" s="173"/>
      <c r="I388" s="172"/>
      <c r="J388"/>
      <c r="K388" s="170"/>
      <c r="L388" s="171"/>
      <c r="M388" s="170"/>
      <c r="N388"/>
      <c r="O388" s="170"/>
      <c r="P388" s="171"/>
      <c r="Q388" s="170"/>
      <c r="R388"/>
      <c r="S388" s="170"/>
      <c r="T388" s="171"/>
      <c r="U388" s="170"/>
      <c r="V388"/>
      <c r="W388" s="170"/>
      <c r="X388" s="170"/>
      <c r="Y388" s="174"/>
      <c r="Z388"/>
      <c r="AA388" s="170"/>
      <c r="AB388" s="171"/>
      <c r="AC388" s="174"/>
      <c r="AD388"/>
      <c r="AE388" s="170"/>
      <c r="AF388" s="170"/>
      <c r="AG388" s="170"/>
      <c r="AH388"/>
      <c r="AI388" s="170"/>
      <c r="AJ388" s="171"/>
      <c r="AK388" s="170"/>
      <c r="AL388"/>
      <c r="AM388" s="170"/>
      <c r="AN388" s="170"/>
      <c r="AO388" s="170"/>
      <c r="AP388"/>
      <c r="AQ388" s="170"/>
      <c r="AR388" s="170"/>
      <c r="AS388" s="174"/>
      <c r="AT388"/>
      <c r="AU388" s="170"/>
      <c r="AV388" s="170"/>
      <c r="AW388" s="170"/>
    </row>
    <row r="389" spans="2:49" hidden="1" x14ac:dyDescent="0.25">
      <c r="B389"/>
      <c r="C389" s="170"/>
      <c r="D389" s="171"/>
      <c r="E389" s="170"/>
      <c r="F389"/>
      <c r="G389" s="172"/>
      <c r="H389" s="173"/>
      <c r="I389" s="172"/>
      <c r="J389"/>
      <c r="K389" s="170"/>
      <c r="L389" s="171"/>
      <c r="M389" s="170"/>
      <c r="N389"/>
      <c r="O389" s="170"/>
      <c r="P389" s="171"/>
      <c r="Q389" s="170"/>
      <c r="R389"/>
      <c r="S389" s="170"/>
      <c r="T389" s="171"/>
      <c r="U389" s="170"/>
      <c r="V389"/>
      <c r="W389" s="170"/>
      <c r="X389" s="170"/>
      <c r="Y389" s="174"/>
      <c r="Z389"/>
      <c r="AA389" s="170"/>
      <c r="AB389" s="171"/>
      <c r="AC389" s="174"/>
      <c r="AD389"/>
      <c r="AE389" s="170"/>
      <c r="AF389" s="170"/>
      <c r="AG389" s="170"/>
      <c r="AH389"/>
      <c r="AI389" s="170"/>
      <c r="AJ389" s="171"/>
      <c r="AK389" s="170"/>
      <c r="AL389"/>
      <c r="AM389" s="170"/>
      <c r="AN389" s="170"/>
      <c r="AO389" s="170"/>
      <c r="AP389"/>
      <c r="AQ389" s="170"/>
      <c r="AR389" s="170"/>
      <c r="AS389" s="174"/>
      <c r="AT389"/>
      <c r="AU389" s="170"/>
      <c r="AV389" s="170"/>
      <c r="AW389" s="170"/>
    </row>
    <row r="390" spans="2:49" hidden="1" x14ac:dyDescent="0.25">
      <c r="B390"/>
      <c r="C390" s="170"/>
      <c r="D390" s="171"/>
      <c r="E390" s="170"/>
      <c r="F390"/>
      <c r="G390" s="172"/>
      <c r="H390" s="173"/>
      <c r="I390" s="172"/>
      <c r="J390"/>
      <c r="K390" s="170"/>
      <c r="L390" s="171"/>
      <c r="M390" s="170"/>
      <c r="N390"/>
      <c r="O390" s="170"/>
      <c r="P390" s="171"/>
      <c r="Q390" s="170"/>
      <c r="R390"/>
      <c r="S390" s="170"/>
      <c r="T390" s="171"/>
      <c r="U390" s="170"/>
      <c r="V390"/>
      <c r="W390" s="170"/>
      <c r="X390" s="170"/>
      <c r="Y390" s="174"/>
      <c r="Z390"/>
      <c r="AA390" s="170"/>
      <c r="AB390" s="171"/>
      <c r="AC390" s="174"/>
      <c r="AD390"/>
      <c r="AE390" s="170"/>
      <c r="AF390" s="170"/>
      <c r="AG390" s="170"/>
      <c r="AH390"/>
      <c r="AI390" s="170"/>
      <c r="AJ390" s="171"/>
      <c r="AK390" s="170"/>
      <c r="AL390"/>
      <c r="AM390" s="170"/>
      <c r="AN390" s="170"/>
      <c r="AO390" s="170"/>
      <c r="AP390"/>
      <c r="AQ390" s="170"/>
      <c r="AR390" s="170"/>
      <c r="AS390" s="174"/>
      <c r="AT390"/>
      <c r="AU390" s="170"/>
      <c r="AV390" s="170"/>
      <c r="AW390" s="170"/>
    </row>
    <row r="391" spans="2:49" hidden="1" x14ac:dyDescent="0.25">
      <c r="B391"/>
      <c r="C391" s="170"/>
      <c r="D391" s="171"/>
      <c r="E391" s="170"/>
      <c r="F391"/>
      <c r="G391" s="172"/>
      <c r="H391" s="173"/>
      <c r="I391" s="172"/>
      <c r="J391"/>
      <c r="K391" s="170"/>
      <c r="L391" s="171"/>
      <c r="M391" s="170"/>
      <c r="N391"/>
      <c r="O391" s="170"/>
      <c r="P391" s="171"/>
      <c r="Q391" s="170"/>
      <c r="R391"/>
      <c r="S391" s="170"/>
      <c r="T391" s="171"/>
      <c r="U391" s="170"/>
      <c r="V391"/>
      <c r="W391" s="170"/>
      <c r="X391" s="170"/>
      <c r="Y391" s="174"/>
      <c r="Z391"/>
      <c r="AA391" s="170"/>
      <c r="AB391" s="171"/>
      <c r="AC391" s="174"/>
      <c r="AD391"/>
      <c r="AE391" s="170"/>
      <c r="AF391" s="170"/>
      <c r="AG391" s="170"/>
      <c r="AH391"/>
      <c r="AI391" s="170"/>
      <c r="AJ391" s="171"/>
      <c r="AK391" s="170"/>
      <c r="AL391"/>
      <c r="AM391" s="170"/>
      <c r="AN391" s="170"/>
      <c r="AO391" s="170"/>
      <c r="AP391"/>
      <c r="AQ391" s="170"/>
      <c r="AR391" s="170"/>
      <c r="AS391" s="174"/>
      <c r="AT391"/>
      <c r="AU391" s="170"/>
      <c r="AV391" s="170"/>
      <c r="AW391" s="170"/>
    </row>
    <row r="392" spans="2:49" hidden="1" x14ac:dyDescent="0.25">
      <c r="B392"/>
      <c r="C392" s="170"/>
      <c r="D392" s="171"/>
      <c r="E392" s="170"/>
      <c r="F392"/>
      <c r="G392" s="172"/>
      <c r="H392" s="173"/>
      <c r="I392" s="172"/>
      <c r="J392"/>
      <c r="K392" s="170"/>
      <c r="L392" s="171"/>
      <c r="M392" s="170"/>
      <c r="N392"/>
      <c r="O392" s="170"/>
      <c r="P392" s="171"/>
      <c r="Q392" s="170"/>
      <c r="R392"/>
      <c r="S392" s="170"/>
      <c r="T392" s="171"/>
      <c r="U392" s="170"/>
      <c r="V392"/>
      <c r="W392" s="170"/>
      <c r="X392" s="170"/>
      <c r="Y392" s="174"/>
      <c r="Z392"/>
      <c r="AA392" s="170"/>
      <c r="AB392" s="171"/>
      <c r="AC392" s="174"/>
      <c r="AD392"/>
      <c r="AE392" s="170"/>
      <c r="AF392" s="170"/>
      <c r="AG392" s="170"/>
      <c r="AH392"/>
      <c r="AI392" s="170"/>
      <c r="AJ392" s="171"/>
      <c r="AK392" s="170"/>
      <c r="AL392"/>
      <c r="AM392" s="170"/>
      <c r="AN392" s="170"/>
      <c r="AO392" s="170"/>
      <c r="AP392"/>
      <c r="AQ392" s="170"/>
      <c r="AR392" s="170"/>
      <c r="AS392" s="174"/>
      <c r="AT392"/>
      <c r="AU392" s="170"/>
      <c r="AV392" s="170"/>
      <c r="AW392" s="170"/>
    </row>
    <row r="393" spans="2:49" hidden="1" x14ac:dyDescent="0.25">
      <c r="B393"/>
      <c r="C393" s="170"/>
      <c r="D393" s="171"/>
      <c r="E393" s="170"/>
      <c r="F393"/>
      <c r="G393" s="172"/>
      <c r="H393" s="173"/>
      <c r="I393" s="172"/>
      <c r="J393"/>
      <c r="K393" s="170"/>
      <c r="L393" s="171"/>
      <c r="M393" s="170"/>
      <c r="N393"/>
      <c r="O393" s="170"/>
      <c r="P393" s="171"/>
      <c r="Q393" s="170"/>
      <c r="R393"/>
      <c r="S393" s="170"/>
      <c r="T393" s="171"/>
      <c r="U393" s="170"/>
      <c r="V393"/>
      <c r="W393" s="170"/>
      <c r="X393" s="170"/>
      <c r="Y393" s="174"/>
      <c r="Z393"/>
      <c r="AA393" s="170"/>
      <c r="AB393" s="171"/>
      <c r="AC393" s="174"/>
      <c r="AD393"/>
      <c r="AE393" s="170"/>
      <c r="AF393" s="170"/>
      <c r="AG393" s="170"/>
      <c r="AH393"/>
      <c r="AI393" s="170"/>
      <c r="AJ393" s="171"/>
      <c r="AK393" s="170"/>
      <c r="AL393"/>
      <c r="AM393" s="170"/>
      <c r="AN393" s="170"/>
      <c r="AO393" s="170"/>
      <c r="AP393"/>
      <c r="AQ393" s="170"/>
      <c r="AR393" s="170"/>
      <c r="AS393" s="174"/>
      <c r="AT393"/>
      <c r="AU393" s="170"/>
      <c r="AV393" s="170"/>
      <c r="AW393" s="170"/>
    </row>
    <row r="394" spans="2:49" hidden="1" x14ac:dyDescent="0.25">
      <c r="B394"/>
      <c r="C394" s="170"/>
      <c r="D394" s="171"/>
      <c r="E394" s="170"/>
      <c r="F394"/>
      <c r="G394" s="172"/>
      <c r="H394" s="173"/>
      <c r="I394" s="172"/>
      <c r="J394"/>
      <c r="K394" s="170"/>
      <c r="L394" s="171"/>
      <c r="M394" s="170"/>
      <c r="N394"/>
      <c r="O394" s="170"/>
      <c r="P394" s="171"/>
      <c r="Q394" s="170"/>
      <c r="R394"/>
      <c r="S394" s="170"/>
      <c r="T394" s="171"/>
      <c r="U394" s="170"/>
      <c r="V394"/>
      <c r="W394" s="170"/>
      <c r="X394" s="170"/>
      <c r="Y394" s="174"/>
      <c r="Z394"/>
      <c r="AA394" s="170"/>
      <c r="AB394" s="171"/>
      <c r="AC394" s="174"/>
      <c r="AD394"/>
      <c r="AE394" s="170"/>
      <c r="AF394" s="170"/>
      <c r="AG394" s="170"/>
      <c r="AH394"/>
      <c r="AI394" s="170"/>
      <c r="AJ394" s="171"/>
      <c r="AK394" s="170"/>
      <c r="AL394"/>
      <c r="AM394" s="170"/>
      <c r="AN394" s="170"/>
      <c r="AO394" s="170"/>
      <c r="AP394"/>
      <c r="AQ394" s="170"/>
      <c r="AR394" s="170"/>
      <c r="AS394" s="174"/>
      <c r="AT394"/>
      <c r="AU394" s="170"/>
      <c r="AV394" s="170"/>
      <c r="AW394" s="170"/>
    </row>
    <row r="395" spans="2:49" hidden="1" x14ac:dyDescent="0.25">
      <c r="B395"/>
      <c r="C395" s="170"/>
      <c r="D395" s="171"/>
      <c r="E395" s="170"/>
      <c r="F395"/>
      <c r="G395" s="172"/>
      <c r="H395" s="173"/>
      <c r="I395" s="172"/>
      <c r="J395"/>
      <c r="K395" s="170"/>
      <c r="L395" s="171"/>
      <c r="M395" s="170"/>
      <c r="N395"/>
      <c r="O395" s="170"/>
      <c r="P395" s="171"/>
      <c r="Q395" s="170"/>
      <c r="R395"/>
      <c r="S395" s="170"/>
      <c r="T395" s="171"/>
      <c r="U395" s="170"/>
      <c r="V395"/>
      <c r="W395" s="170"/>
      <c r="X395" s="170"/>
      <c r="Y395" s="174"/>
      <c r="Z395"/>
      <c r="AA395" s="170"/>
      <c r="AB395" s="171"/>
      <c r="AC395" s="174"/>
      <c r="AD395"/>
      <c r="AE395" s="170"/>
      <c r="AF395" s="170"/>
      <c r="AG395" s="170"/>
      <c r="AH395"/>
      <c r="AI395" s="170"/>
      <c r="AJ395" s="171"/>
      <c r="AK395" s="170"/>
      <c r="AL395"/>
      <c r="AM395" s="170"/>
      <c r="AN395" s="170"/>
      <c r="AO395" s="170"/>
      <c r="AP395"/>
      <c r="AQ395" s="170"/>
      <c r="AR395" s="170"/>
      <c r="AS395" s="174"/>
      <c r="AT395"/>
      <c r="AU395" s="170"/>
      <c r="AV395" s="170"/>
      <c r="AW395" s="170"/>
    </row>
    <row r="396" spans="2:49" hidden="1" x14ac:dyDescent="0.25">
      <c r="B396"/>
      <c r="C396" s="170"/>
      <c r="D396" s="171"/>
      <c r="E396" s="170"/>
      <c r="F396"/>
      <c r="G396" s="172"/>
      <c r="H396" s="173"/>
      <c r="I396" s="172"/>
      <c r="J396"/>
      <c r="K396" s="170"/>
      <c r="L396" s="171"/>
      <c r="M396" s="170"/>
      <c r="N396"/>
      <c r="O396" s="170"/>
      <c r="P396" s="171"/>
      <c r="Q396" s="170"/>
      <c r="R396"/>
      <c r="S396" s="170"/>
      <c r="T396" s="171"/>
      <c r="U396" s="170"/>
      <c r="V396"/>
      <c r="W396" s="170"/>
      <c r="X396" s="170"/>
      <c r="Y396" s="174"/>
      <c r="Z396"/>
      <c r="AA396" s="170"/>
      <c r="AB396" s="171"/>
      <c r="AC396" s="174"/>
      <c r="AD396"/>
      <c r="AE396" s="170"/>
      <c r="AF396" s="170"/>
      <c r="AG396" s="170"/>
      <c r="AH396"/>
      <c r="AI396" s="170"/>
      <c r="AJ396" s="171"/>
      <c r="AK396" s="170"/>
      <c r="AL396"/>
      <c r="AM396" s="170"/>
      <c r="AN396" s="170"/>
      <c r="AO396" s="170"/>
      <c r="AP396"/>
      <c r="AQ396" s="170"/>
      <c r="AR396" s="170"/>
      <c r="AS396" s="174"/>
      <c r="AT396"/>
      <c r="AU396" s="170"/>
      <c r="AV396" s="170"/>
      <c r="AW396" s="170"/>
    </row>
    <row r="397" spans="2:49" hidden="1" x14ac:dyDescent="0.25">
      <c r="B397"/>
      <c r="C397" s="170"/>
      <c r="D397" s="171"/>
      <c r="E397" s="170"/>
      <c r="F397"/>
      <c r="G397" s="172"/>
      <c r="H397" s="173"/>
      <c r="I397" s="172"/>
      <c r="J397"/>
      <c r="K397" s="170"/>
      <c r="L397" s="171"/>
      <c r="M397" s="170"/>
      <c r="N397"/>
      <c r="O397" s="170"/>
      <c r="P397" s="171"/>
      <c r="Q397" s="170"/>
      <c r="R397"/>
      <c r="S397" s="170"/>
      <c r="T397" s="171"/>
      <c r="U397" s="170"/>
      <c r="V397"/>
      <c r="W397" s="170"/>
      <c r="X397" s="170"/>
      <c r="Y397" s="174"/>
      <c r="Z397"/>
      <c r="AA397" s="170"/>
      <c r="AB397" s="171"/>
      <c r="AC397" s="174"/>
      <c r="AD397"/>
      <c r="AE397" s="170"/>
      <c r="AF397" s="170"/>
      <c r="AG397" s="170"/>
      <c r="AH397"/>
      <c r="AI397" s="170"/>
      <c r="AJ397" s="171"/>
      <c r="AK397" s="170"/>
      <c r="AL397"/>
      <c r="AM397" s="170"/>
      <c r="AN397" s="170"/>
      <c r="AO397" s="170"/>
      <c r="AP397"/>
      <c r="AQ397" s="170"/>
      <c r="AR397" s="170"/>
      <c r="AS397" s="174"/>
      <c r="AT397"/>
      <c r="AU397" s="170"/>
      <c r="AV397" s="170"/>
      <c r="AW397" s="170"/>
    </row>
    <row r="398" spans="2:49" hidden="1" x14ac:dyDescent="0.25">
      <c r="B398"/>
      <c r="C398" s="170"/>
      <c r="D398" s="171"/>
      <c r="E398" s="170"/>
      <c r="F398"/>
      <c r="G398" s="172"/>
      <c r="H398" s="173"/>
      <c r="I398" s="172"/>
      <c r="J398"/>
      <c r="K398" s="170"/>
      <c r="L398" s="171"/>
      <c r="M398" s="170"/>
      <c r="N398"/>
      <c r="O398" s="170"/>
      <c r="P398" s="171"/>
      <c r="Q398" s="170"/>
      <c r="R398"/>
      <c r="S398" s="170"/>
      <c r="T398" s="171"/>
      <c r="U398" s="170"/>
      <c r="V398"/>
      <c r="W398" s="170"/>
      <c r="X398" s="170"/>
      <c r="Y398" s="174"/>
      <c r="Z398"/>
      <c r="AA398" s="170"/>
      <c r="AB398" s="171"/>
      <c r="AC398" s="174"/>
      <c r="AD398"/>
      <c r="AE398" s="170"/>
      <c r="AF398" s="170"/>
      <c r="AG398" s="170"/>
      <c r="AH398"/>
      <c r="AI398" s="170"/>
      <c r="AJ398" s="171"/>
      <c r="AK398" s="170"/>
      <c r="AL398"/>
      <c r="AM398" s="170"/>
      <c r="AN398" s="170"/>
      <c r="AO398" s="170"/>
      <c r="AP398"/>
      <c r="AQ398" s="170"/>
      <c r="AR398" s="170"/>
      <c r="AS398" s="174"/>
      <c r="AT398"/>
      <c r="AU398" s="170"/>
      <c r="AV398" s="170"/>
      <c r="AW398" s="170"/>
    </row>
    <row r="399" spans="2:49" hidden="1" x14ac:dyDescent="0.25">
      <c r="B399"/>
      <c r="C399" s="170"/>
      <c r="D399" s="171"/>
      <c r="E399" s="170"/>
      <c r="F399"/>
      <c r="G399" s="172"/>
      <c r="H399" s="173"/>
      <c r="I399" s="172"/>
      <c r="J399"/>
      <c r="K399" s="170"/>
      <c r="L399" s="171"/>
      <c r="M399" s="170"/>
      <c r="N399"/>
      <c r="O399" s="170"/>
      <c r="P399" s="171"/>
      <c r="Q399" s="170"/>
      <c r="R399"/>
      <c r="S399" s="170"/>
      <c r="T399" s="171"/>
      <c r="U399" s="170"/>
      <c r="V399"/>
      <c r="W399" s="170"/>
      <c r="X399" s="170"/>
      <c r="Y399" s="174"/>
      <c r="Z399"/>
      <c r="AA399" s="170"/>
      <c r="AB399" s="171"/>
      <c r="AC399" s="174"/>
      <c r="AD399"/>
      <c r="AE399" s="170"/>
      <c r="AF399" s="170"/>
      <c r="AG399" s="170"/>
      <c r="AH399"/>
      <c r="AI399" s="170"/>
      <c r="AJ399" s="171"/>
      <c r="AK399" s="170"/>
      <c r="AL399"/>
      <c r="AM399" s="170"/>
      <c r="AN399" s="170"/>
      <c r="AO399" s="170"/>
      <c r="AP399"/>
      <c r="AQ399" s="170"/>
      <c r="AR399" s="170"/>
      <c r="AS399" s="174"/>
      <c r="AT399"/>
      <c r="AU399" s="170"/>
      <c r="AV399" s="170"/>
      <c r="AW399" s="170"/>
    </row>
    <row r="400" spans="2:49" hidden="1" x14ac:dyDescent="0.25">
      <c r="B400"/>
      <c r="C400" s="170"/>
      <c r="D400" s="171"/>
      <c r="E400" s="170"/>
      <c r="F400"/>
      <c r="G400" s="172"/>
      <c r="H400" s="173"/>
      <c r="I400" s="172"/>
      <c r="J400"/>
      <c r="K400" s="170"/>
      <c r="L400" s="171"/>
      <c r="M400" s="170"/>
      <c r="N400"/>
      <c r="O400" s="170"/>
      <c r="P400" s="171"/>
      <c r="Q400" s="170"/>
      <c r="R400"/>
      <c r="S400" s="170"/>
      <c r="T400" s="171"/>
      <c r="U400" s="170"/>
      <c r="V400"/>
      <c r="W400" s="170"/>
      <c r="X400" s="170"/>
      <c r="Y400" s="174"/>
      <c r="Z400"/>
      <c r="AA400" s="170"/>
      <c r="AB400" s="171"/>
      <c r="AC400" s="174"/>
      <c r="AD400"/>
      <c r="AE400" s="170"/>
      <c r="AF400" s="170"/>
      <c r="AG400" s="170"/>
      <c r="AH400"/>
      <c r="AI400" s="170"/>
      <c r="AJ400" s="171"/>
      <c r="AK400" s="170"/>
      <c r="AL400"/>
      <c r="AM400" s="170"/>
      <c r="AN400" s="170"/>
      <c r="AO400" s="170"/>
      <c r="AP400"/>
      <c r="AQ400" s="170"/>
      <c r="AR400" s="170"/>
      <c r="AS400" s="174"/>
      <c r="AT400"/>
      <c r="AU400" s="170"/>
      <c r="AV400" s="170"/>
      <c r="AW400" s="170"/>
    </row>
    <row r="401" spans="2:49" hidden="1" x14ac:dyDescent="0.25">
      <c r="B401"/>
      <c r="C401" s="170"/>
      <c r="D401" s="171"/>
      <c r="E401" s="170"/>
      <c r="F401"/>
      <c r="G401" s="172"/>
      <c r="H401" s="173"/>
      <c r="I401" s="172"/>
      <c r="J401"/>
      <c r="K401" s="170"/>
      <c r="L401" s="171"/>
      <c r="M401" s="170"/>
      <c r="N401"/>
      <c r="O401" s="170"/>
      <c r="P401" s="171"/>
      <c r="Q401" s="170"/>
      <c r="R401"/>
      <c r="S401" s="170"/>
      <c r="T401" s="171"/>
      <c r="U401" s="170"/>
      <c r="V401"/>
      <c r="W401" s="170"/>
      <c r="X401" s="170"/>
      <c r="Y401" s="174"/>
      <c r="Z401"/>
      <c r="AA401" s="170"/>
      <c r="AB401" s="171"/>
      <c r="AC401" s="174"/>
      <c r="AD401"/>
      <c r="AE401" s="170"/>
      <c r="AF401" s="170"/>
      <c r="AG401" s="170"/>
      <c r="AH401"/>
      <c r="AI401" s="170"/>
      <c r="AJ401" s="171"/>
      <c r="AK401" s="170"/>
      <c r="AL401"/>
      <c r="AM401" s="170"/>
      <c r="AN401" s="170"/>
      <c r="AO401" s="170"/>
      <c r="AP401"/>
      <c r="AQ401" s="170"/>
      <c r="AR401" s="170"/>
      <c r="AS401" s="174"/>
      <c r="AT401"/>
      <c r="AU401" s="170"/>
      <c r="AV401" s="170"/>
      <c r="AW401" s="170"/>
    </row>
    <row r="402" spans="2:49" hidden="1" x14ac:dyDescent="0.25">
      <c r="B402"/>
      <c r="C402" s="170"/>
      <c r="D402" s="171"/>
      <c r="E402" s="170"/>
      <c r="F402"/>
      <c r="G402" s="172"/>
      <c r="H402" s="173"/>
      <c r="I402" s="172"/>
      <c r="J402"/>
      <c r="K402" s="170"/>
      <c r="L402" s="171"/>
      <c r="M402" s="170"/>
      <c r="N402"/>
      <c r="O402" s="170"/>
      <c r="P402" s="171"/>
      <c r="Q402" s="170"/>
      <c r="R402"/>
      <c r="S402" s="170"/>
      <c r="T402" s="171"/>
      <c r="U402" s="170"/>
      <c r="V402"/>
      <c r="W402" s="170"/>
      <c r="X402" s="170"/>
      <c r="Y402" s="174"/>
      <c r="Z402"/>
      <c r="AA402" s="170"/>
      <c r="AB402" s="171"/>
      <c r="AC402" s="174"/>
      <c r="AD402"/>
      <c r="AE402" s="170"/>
      <c r="AF402" s="170"/>
      <c r="AG402" s="170"/>
      <c r="AH402"/>
      <c r="AI402" s="170"/>
      <c r="AJ402" s="171"/>
      <c r="AK402" s="170"/>
      <c r="AL402"/>
      <c r="AM402" s="170"/>
      <c r="AN402" s="170"/>
      <c r="AO402" s="170"/>
      <c r="AP402"/>
      <c r="AQ402" s="170"/>
      <c r="AR402" s="170"/>
      <c r="AS402" s="174"/>
      <c r="AT402"/>
      <c r="AU402" s="170"/>
      <c r="AV402" s="170"/>
      <c r="AW402" s="170"/>
    </row>
    <row r="403" spans="2:49" hidden="1" x14ac:dyDescent="0.25">
      <c r="B403"/>
      <c r="C403" s="170"/>
      <c r="D403" s="171"/>
      <c r="E403" s="170"/>
      <c r="F403"/>
      <c r="G403" s="172"/>
      <c r="H403" s="173"/>
      <c r="I403" s="172"/>
      <c r="J403"/>
      <c r="K403" s="170"/>
      <c r="L403" s="171"/>
      <c r="M403" s="170"/>
      <c r="N403"/>
      <c r="O403" s="170"/>
      <c r="P403" s="171"/>
      <c r="Q403" s="170"/>
      <c r="R403"/>
      <c r="S403" s="170"/>
      <c r="T403" s="171"/>
      <c r="U403" s="170"/>
      <c r="V403"/>
      <c r="W403" s="170"/>
      <c r="X403" s="170"/>
      <c r="Y403" s="174"/>
      <c r="Z403"/>
      <c r="AA403" s="170"/>
      <c r="AB403" s="171"/>
      <c r="AC403" s="174"/>
      <c r="AD403"/>
      <c r="AE403" s="170"/>
      <c r="AF403" s="170"/>
      <c r="AG403" s="170"/>
      <c r="AH403"/>
      <c r="AI403" s="170"/>
      <c r="AJ403" s="171"/>
      <c r="AK403" s="170"/>
      <c r="AL403"/>
      <c r="AM403" s="170"/>
      <c r="AN403" s="170"/>
      <c r="AO403" s="170"/>
      <c r="AP403"/>
      <c r="AQ403" s="170"/>
      <c r="AR403" s="170"/>
      <c r="AS403" s="174"/>
      <c r="AT403"/>
      <c r="AU403" s="170"/>
      <c r="AV403" s="170"/>
      <c r="AW403" s="170"/>
    </row>
    <row r="404" spans="2:49" hidden="1" x14ac:dyDescent="0.25">
      <c r="B404"/>
      <c r="C404" s="170"/>
      <c r="D404" s="171"/>
      <c r="E404" s="170"/>
      <c r="F404"/>
      <c r="G404" s="172"/>
      <c r="H404" s="173"/>
      <c r="I404" s="172"/>
      <c r="J404"/>
      <c r="K404" s="170"/>
      <c r="L404" s="171"/>
      <c r="M404" s="170"/>
      <c r="N404"/>
      <c r="O404" s="170"/>
      <c r="P404" s="171"/>
      <c r="Q404" s="170"/>
      <c r="R404"/>
      <c r="S404" s="170"/>
      <c r="T404" s="171"/>
      <c r="U404" s="170"/>
      <c r="V404"/>
      <c r="W404" s="170"/>
      <c r="X404" s="170"/>
      <c r="Y404" s="174"/>
      <c r="Z404"/>
      <c r="AA404" s="170"/>
      <c r="AB404" s="171"/>
      <c r="AC404" s="174"/>
      <c r="AD404"/>
      <c r="AE404" s="170"/>
      <c r="AF404" s="170"/>
      <c r="AG404" s="170"/>
      <c r="AH404"/>
      <c r="AI404" s="170"/>
      <c r="AJ404" s="171"/>
      <c r="AK404" s="170"/>
      <c r="AL404"/>
      <c r="AM404" s="170"/>
      <c r="AN404" s="170"/>
      <c r="AO404" s="170"/>
      <c r="AP404"/>
      <c r="AQ404" s="170"/>
      <c r="AR404" s="170"/>
      <c r="AS404" s="174"/>
      <c r="AT404"/>
      <c r="AU404" s="170"/>
      <c r="AV404" s="170"/>
      <c r="AW404" s="170"/>
    </row>
    <row r="405" spans="2:49" hidden="1" x14ac:dyDescent="0.25">
      <c r="B405"/>
      <c r="C405" s="170"/>
      <c r="D405" s="171"/>
      <c r="E405" s="170"/>
      <c r="F405"/>
      <c r="G405" s="172"/>
      <c r="H405" s="173"/>
      <c r="I405" s="172"/>
      <c r="J405"/>
      <c r="K405" s="170"/>
      <c r="L405" s="171"/>
      <c r="M405" s="170"/>
      <c r="N405"/>
      <c r="O405" s="170"/>
      <c r="P405" s="171"/>
      <c r="Q405" s="170"/>
      <c r="R405"/>
      <c r="S405" s="170"/>
      <c r="T405" s="171"/>
      <c r="U405" s="170"/>
      <c r="V405"/>
      <c r="W405" s="170"/>
      <c r="X405" s="170"/>
      <c r="Y405" s="174"/>
      <c r="Z405"/>
      <c r="AA405" s="170"/>
      <c r="AB405" s="171"/>
      <c r="AC405" s="174"/>
      <c r="AD405"/>
      <c r="AE405" s="170"/>
      <c r="AF405" s="170"/>
      <c r="AG405" s="170"/>
      <c r="AH405"/>
      <c r="AI405" s="170"/>
      <c r="AJ405" s="171"/>
      <c r="AK405" s="170"/>
      <c r="AL405"/>
      <c r="AM405" s="170"/>
      <c r="AN405" s="170"/>
      <c r="AO405" s="170"/>
      <c r="AP405"/>
      <c r="AQ405" s="170"/>
      <c r="AR405" s="170"/>
      <c r="AS405" s="174"/>
      <c r="AT405"/>
      <c r="AU405" s="170"/>
      <c r="AV405" s="170"/>
      <c r="AW405" s="170"/>
    </row>
    <row r="406" spans="2:49" hidden="1" x14ac:dyDescent="0.25">
      <c r="B406"/>
      <c r="C406" s="170"/>
      <c r="D406" s="171"/>
      <c r="E406" s="170"/>
      <c r="F406"/>
      <c r="G406" s="172"/>
      <c r="H406" s="173"/>
      <c r="I406" s="172"/>
      <c r="J406"/>
      <c r="K406" s="170"/>
      <c r="L406" s="171"/>
      <c r="M406" s="170"/>
      <c r="N406"/>
      <c r="O406" s="170"/>
      <c r="P406" s="171"/>
      <c r="Q406" s="170"/>
      <c r="R406"/>
      <c r="S406" s="170"/>
      <c r="T406" s="171"/>
      <c r="U406" s="170"/>
      <c r="V406"/>
      <c r="W406" s="170"/>
      <c r="X406" s="170"/>
      <c r="Y406" s="174"/>
      <c r="Z406"/>
      <c r="AA406" s="170"/>
      <c r="AB406" s="171"/>
      <c r="AC406" s="174"/>
      <c r="AD406"/>
      <c r="AE406" s="170"/>
      <c r="AF406" s="170"/>
      <c r="AG406" s="170"/>
      <c r="AH406"/>
      <c r="AI406" s="170"/>
      <c r="AJ406" s="171"/>
      <c r="AK406" s="170"/>
      <c r="AL406"/>
      <c r="AM406" s="170"/>
      <c r="AN406" s="170"/>
      <c r="AO406" s="170"/>
      <c r="AP406"/>
      <c r="AQ406" s="170"/>
      <c r="AR406" s="170"/>
      <c r="AS406" s="174"/>
      <c r="AT406"/>
      <c r="AU406" s="170"/>
      <c r="AV406" s="170"/>
      <c r="AW406" s="170"/>
    </row>
    <row r="407" spans="2:49" hidden="1" x14ac:dyDescent="0.25">
      <c r="B407"/>
      <c r="C407" s="170"/>
      <c r="D407" s="171"/>
      <c r="E407" s="170"/>
      <c r="F407"/>
      <c r="G407" s="172"/>
      <c r="H407" s="173"/>
      <c r="I407" s="172"/>
      <c r="J407"/>
      <c r="K407" s="170"/>
      <c r="L407" s="171"/>
      <c r="M407" s="170"/>
      <c r="N407"/>
      <c r="O407" s="170"/>
      <c r="P407" s="171"/>
      <c r="Q407" s="170"/>
      <c r="R407"/>
      <c r="S407" s="170"/>
      <c r="T407" s="171"/>
      <c r="U407" s="170"/>
      <c r="V407"/>
      <c r="W407" s="170"/>
      <c r="X407" s="170"/>
      <c r="Y407" s="174"/>
      <c r="Z407"/>
      <c r="AA407" s="170"/>
      <c r="AB407" s="171"/>
      <c r="AC407" s="174"/>
      <c r="AD407"/>
      <c r="AE407" s="170"/>
      <c r="AF407" s="170"/>
      <c r="AG407" s="170"/>
      <c r="AH407"/>
      <c r="AI407" s="170"/>
      <c r="AJ407" s="171"/>
      <c r="AK407" s="170"/>
      <c r="AL407"/>
      <c r="AM407" s="170"/>
      <c r="AN407" s="170"/>
      <c r="AO407" s="170"/>
      <c r="AP407"/>
      <c r="AQ407" s="170"/>
      <c r="AR407" s="170"/>
      <c r="AS407" s="174"/>
      <c r="AT407"/>
      <c r="AU407" s="170"/>
      <c r="AV407" s="170"/>
      <c r="AW407" s="170"/>
    </row>
    <row r="408" spans="2:49" hidden="1" x14ac:dyDescent="0.25">
      <c r="B408"/>
      <c r="C408" s="170"/>
      <c r="D408" s="171"/>
      <c r="E408" s="170"/>
      <c r="F408"/>
      <c r="G408" s="172"/>
      <c r="H408" s="173"/>
      <c r="I408" s="172"/>
      <c r="J408"/>
      <c r="K408" s="170"/>
      <c r="L408" s="171"/>
      <c r="M408" s="170"/>
      <c r="N408"/>
      <c r="O408" s="170"/>
      <c r="P408" s="171"/>
      <c r="Q408" s="170"/>
      <c r="R408"/>
      <c r="S408" s="170"/>
      <c r="T408" s="171"/>
      <c r="U408" s="170"/>
      <c r="V408"/>
      <c r="W408" s="170"/>
      <c r="X408" s="170"/>
      <c r="Y408" s="174"/>
      <c r="Z408"/>
      <c r="AA408" s="170"/>
      <c r="AB408" s="171"/>
      <c r="AC408" s="174"/>
      <c r="AD408"/>
      <c r="AE408" s="170"/>
      <c r="AF408" s="170"/>
      <c r="AG408" s="170"/>
      <c r="AH408"/>
      <c r="AI408" s="170"/>
      <c r="AJ408" s="171"/>
      <c r="AK408" s="170"/>
      <c r="AL408"/>
      <c r="AM408" s="170"/>
      <c r="AN408" s="170"/>
      <c r="AO408" s="170"/>
      <c r="AP408"/>
      <c r="AQ408" s="170"/>
      <c r="AR408" s="170"/>
      <c r="AS408" s="174"/>
      <c r="AT408"/>
      <c r="AU408" s="170"/>
      <c r="AV408" s="170"/>
      <c r="AW408" s="170"/>
    </row>
    <row r="409" spans="2:49" hidden="1" x14ac:dyDescent="0.25">
      <c r="B409"/>
      <c r="C409" s="170"/>
      <c r="D409" s="171"/>
      <c r="E409" s="170"/>
      <c r="F409"/>
      <c r="G409" s="172"/>
      <c r="H409" s="173"/>
      <c r="I409" s="172"/>
      <c r="J409"/>
      <c r="K409" s="170"/>
      <c r="L409" s="171"/>
      <c r="M409" s="170"/>
      <c r="N409"/>
      <c r="O409" s="170"/>
      <c r="P409" s="171"/>
      <c r="Q409" s="170"/>
      <c r="R409"/>
      <c r="S409" s="170"/>
      <c r="T409" s="171"/>
      <c r="U409" s="170"/>
      <c r="V409"/>
      <c r="W409" s="170"/>
      <c r="X409" s="170"/>
      <c r="Y409" s="174"/>
      <c r="Z409"/>
      <c r="AA409" s="170"/>
      <c r="AB409" s="171"/>
      <c r="AC409" s="174"/>
      <c r="AD409"/>
      <c r="AE409" s="170"/>
      <c r="AF409" s="170"/>
      <c r="AG409" s="170"/>
      <c r="AH409"/>
      <c r="AI409" s="170"/>
      <c r="AJ409" s="171"/>
      <c r="AK409" s="170"/>
      <c r="AL409"/>
      <c r="AM409" s="170"/>
      <c r="AN409" s="170"/>
      <c r="AO409" s="170"/>
      <c r="AP409"/>
      <c r="AQ409" s="170"/>
      <c r="AR409" s="170"/>
      <c r="AS409" s="174"/>
      <c r="AT409"/>
      <c r="AU409" s="170"/>
      <c r="AV409" s="170"/>
      <c r="AW409" s="170"/>
    </row>
    <row r="410" spans="2:49" hidden="1" x14ac:dyDescent="0.25">
      <c r="B410"/>
      <c r="C410" s="170"/>
      <c r="D410" s="171"/>
      <c r="E410" s="170"/>
      <c r="F410"/>
      <c r="G410" s="172"/>
      <c r="H410" s="173"/>
      <c r="I410" s="172"/>
      <c r="J410"/>
      <c r="K410" s="170"/>
      <c r="L410" s="171"/>
      <c r="M410" s="170"/>
      <c r="N410"/>
      <c r="O410" s="170"/>
      <c r="P410" s="171"/>
      <c r="Q410" s="170"/>
      <c r="R410"/>
      <c r="S410" s="170"/>
      <c r="T410" s="171"/>
      <c r="U410" s="170"/>
      <c r="V410"/>
      <c r="W410" s="170"/>
      <c r="X410" s="170"/>
      <c r="Y410" s="174"/>
      <c r="Z410"/>
      <c r="AA410" s="170"/>
      <c r="AB410" s="171"/>
      <c r="AC410" s="174"/>
      <c r="AD410"/>
      <c r="AE410" s="170"/>
      <c r="AF410" s="170"/>
      <c r="AG410" s="170"/>
      <c r="AH410"/>
      <c r="AI410" s="170"/>
      <c r="AJ410" s="171"/>
      <c r="AK410" s="170"/>
      <c r="AL410"/>
      <c r="AM410" s="170"/>
      <c r="AN410" s="170"/>
      <c r="AO410" s="170"/>
      <c r="AP410"/>
      <c r="AQ410" s="170"/>
      <c r="AR410" s="170"/>
      <c r="AS410" s="174"/>
      <c r="AT410"/>
      <c r="AU410" s="170"/>
      <c r="AV410" s="170"/>
      <c r="AW410" s="170"/>
    </row>
    <row r="411" spans="2:49" hidden="1" x14ac:dyDescent="0.25">
      <c r="B411"/>
      <c r="C411" s="170"/>
      <c r="D411" s="171"/>
      <c r="E411" s="170"/>
      <c r="F411"/>
      <c r="G411" s="172"/>
      <c r="H411" s="173"/>
      <c r="I411" s="172"/>
      <c r="J411"/>
      <c r="K411" s="170"/>
      <c r="L411" s="171"/>
      <c r="M411" s="170"/>
      <c r="N411"/>
      <c r="O411" s="170"/>
      <c r="P411" s="171"/>
      <c r="Q411" s="170"/>
      <c r="R411"/>
      <c r="S411" s="170"/>
      <c r="T411" s="171"/>
      <c r="U411" s="170"/>
      <c r="V411"/>
      <c r="W411" s="170"/>
      <c r="X411" s="170"/>
      <c r="Y411" s="174"/>
      <c r="Z411"/>
      <c r="AA411" s="170"/>
      <c r="AB411" s="171"/>
      <c r="AC411" s="174"/>
      <c r="AD411"/>
      <c r="AE411" s="170"/>
      <c r="AF411" s="170"/>
      <c r="AG411" s="170"/>
      <c r="AH411"/>
      <c r="AI411" s="170"/>
      <c r="AJ411" s="171"/>
      <c r="AK411" s="170"/>
      <c r="AL411"/>
      <c r="AM411" s="170"/>
      <c r="AN411" s="170"/>
      <c r="AO411" s="170"/>
      <c r="AP411"/>
      <c r="AQ411" s="170"/>
      <c r="AR411" s="170"/>
      <c r="AS411" s="174"/>
      <c r="AT411"/>
      <c r="AU411" s="170"/>
      <c r="AV411" s="170"/>
      <c r="AW411" s="170"/>
    </row>
    <row r="412" spans="2:49" hidden="1" x14ac:dyDescent="0.25">
      <c r="B412"/>
      <c r="C412" s="170"/>
      <c r="D412" s="171"/>
      <c r="E412" s="170"/>
      <c r="F412"/>
      <c r="G412" s="172"/>
      <c r="H412" s="173"/>
      <c r="I412" s="172"/>
      <c r="J412"/>
      <c r="K412" s="170"/>
      <c r="L412" s="171"/>
      <c r="M412" s="170"/>
      <c r="N412"/>
      <c r="O412" s="170"/>
      <c r="P412" s="171"/>
      <c r="Q412" s="170"/>
      <c r="R412"/>
      <c r="S412" s="170"/>
      <c r="T412" s="171"/>
      <c r="U412" s="170"/>
      <c r="V412"/>
      <c r="W412" s="170"/>
      <c r="X412" s="170"/>
      <c r="Y412" s="174"/>
      <c r="Z412"/>
      <c r="AA412" s="170"/>
      <c r="AB412" s="171"/>
      <c r="AC412" s="174"/>
      <c r="AD412"/>
      <c r="AE412" s="170"/>
      <c r="AF412" s="170"/>
      <c r="AG412" s="170"/>
      <c r="AH412"/>
      <c r="AI412" s="170"/>
      <c r="AJ412" s="171"/>
      <c r="AK412" s="170"/>
      <c r="AL412"/>
      <c r="AM412" s="170"/>
      <c r="AN412" s="170"/>
      <c r="AO412" s="170"/>
      <c r="AP412"/>
      <c r="AQ412" s="170"/>
      <c r="AR412" s="170"/>
      <c r="AS412" s="174"/>
      <c r="AT412"/>
      <c r="AU412" s="170"/>
      <c r="AV412" s="170"/>
      <c r="AW412" s="170"/>
    </row>
    <row r="413" spans="2:49" hidden="1" x14ac:dyDescent="0.25">
      <c r="B413"/>
      <c r="C413" s="170"/>
      <c r="D413" s="171"/>
      <c r="E413" s="170"/>
      <c r="F413"/>
      <c r="G413" s="172"/>
      <c r="H413" s="173"/>
      <c r="I413" s="172"/>
      <c r="J413"/>
      <c r="K413" s="170"/>
      <c r="L413" s="171"/>
      <c r="M413" s="170"/>
      <c r="N413"/>
      <c r="O413" s="170"/>
      <c r="P413" s="171"/>
      <c r="Q413" s="170"/>
      <c r="R413"/>
      <c r="S413" s="170"/>
      <c r="T413" s="171"/>
      <c r="U413" s="170"/>
      <c r="V413"/>
      <c r="W413" s="170"/>
      <c r="X413" s="170"/>
      <c r="Y413" s="174"/>
      <c r="Z413"/>
      <c r="AA413" s="170"/>
      <c r="AB413" s="171"/>
      <c r="AC413" s="174"/>
      <c r="AD413"/>
      <c r="AE413" s="170"/>
      <c r="AF413" s="170"/>
      <c r="AG413" s="170"/>
      <c r="AH413"/>
      <c r="AI413" s="170"/>
      <c r="AJ413" s="171"/>
      <c r="AK413" s="170"/>
      <c r="AL413"/>
      <c r="AM413" s="170"/>
      <c r="AN413" s="170"/>
      <c r="AO413" s="170"/>
      <c r="AP413"/>
      <c r="AQ413" s="170"/>
      <c r="AR413" s="170"/>
      <c r="AS413" s="174"/>
      <c r="AT413"/>
      <c r="AU413" s="170"/>
      <c r="AV413" s="170"/>
      <c r="AW413" s="170"/>
    </row>
    <row r="414" spans="2:49" hidden="1" x14ac:dyDescent="0.25">
      <c r="B414"/>
      <c r="C414" s="170"/>
      <c r="D414" s="171"/>
      <c r="E414" s="170"/>
      <c r="F414"/>
      <c r="G414" s="172"/>
      <c r="H414" s="173"/>
      <c r="I414" s="172"/>
      <c r="J414"/>
      <c r="K414" s="170"/>
      <c r="L414" s="171"/>
      <c r="M414" s="170"/>
      <c r="N414"/>
      <c r="O414" s="170"/>
      <c r="P414" s="171"/>
      <c r="Q414" s="170"/>
      <c r="R414"/>
      <c r="S414" s="170"/>
      <c r="T414" s="171"/>
      <c r="U414" s="170"/>
      <c r="V414"/>
      <c r="W414" s="170"/>
      <c r="X414" s="170"/>
      <c r="Y414" s="174"/>
      <c r="Z414"/>
      <c r="AA414" s="170"/>
      <c r="AB414" s="171"/>
      <c r="AC414" s="174"/>
      <c r="AD414"/>
      <c r="AE414" s="170"/>
      <c r="AF414" s="170"/>
      <c r="AG414" s="170"/>
      <c r="AH414"/>
      <c r="AI414" s="170"/>
      <c r="AJ414" s="171"/>
      <c r="AK414" s="170"/>
      <c r="AL414"/>
      <c r="AM414" s="170"/>
      <c r="AN414" s="170"/>
      <c r="AO414" s="170"/>
      <c r="AP414"/>
      <c r="AQ414" s="170"/>
      <c r="AR414" s="170"/>
      <c r="AS414" s="174"/>
      <c r="AT414"/>
      <c r="AU414" s="170"/>
      <c r="AV414" s="170"/>
      <c r="AW414" s="170"/>
    </row>
    <row r="415" spans="2:49" hidden="1" x14ac:dyDescent="0.25">
      <c r="B415"/>
      <c r="C415" s="170"/>
      <c r="D415" s="171"/>
      <c r="E415" s="170"/>
      <c r="F415"/>
      <c r="G415" s="172"/>
      <c r="H415" s="173"/>
      <c r="I415" s="172"/>
      <c r="J415"/>
      <c r="K415" s="170"/>
      <c r="L415" s="171"/>
      <c r="M415" s="170"/>
      <c r="N415"/>
      <c r="O415" s="170"/>
      <c r="P415" s="171"/>
      <c r="Q415" s="170"/>
      <c r="R415"/>
      <c r="S415" s="170"/>
      <c r="T415" s="171"/>
      <c r="U415" s="170"/>
      <c r="V415"/>
      <c r="W415" s="170"/>
      <c r="X415" s="170"/>
      <c r="Y415" s="174"/>
      <c r="Z415"/>
      <c r="AA415" s="170"/>
      <c r="AB415" s="171"/>
      <c r="AC415" s="174"/>
      <c r="AD415"/>
      <c r="AE415" s="170"/>
      <c r="AF415" s="170"/>
      <c r="AG415" s="170"/>
      <c r="AH415"/>
      <c r="AI415" s="170"/>
      <c r="AJ415" s="171"/>
      <c r="AK415" s="170"/>
      <c r="AL415"/>
      <c r="AM415" s="170"/>
      <c r="AN415" s="170"/>
      <c r="AO415" s="170"/>
      <c r="AP415"/>
      <c r="AQ415" s="170"/>
      <c r="AR415" s="170"/>
      <c r="AS415" s="174"/>
      <c r="AT415"/>
      <c r="AU415" s="170"/>
      <c r="AV415" s="170"/>
      <c r="AW415" s="170"/>
    </row>
    <row r="416" spans="2:49" hidden="1" x14ac:dyDescent="0.25">
      <c r="B416"/>
      <c r="C416" s="170"/>
      <c r="D416" s="171"/>
      <c r="E416" s="170"/>
      <c r="F416"/>
      <c r="G416" s="172"/>
      <c r="H416" s="173"/>
      <c r="I416" s="172"/>
      <c r="J416"/>
      <c r="K416" s="170"/>
      <c r="L416" s="171"/>
      <c r="M416" s="170"/>
      <c r="N416"/>
      <c r="O416" s="170"/>
      <c r="P416" s="171"/>
      <c r="Q416" s="170"/>
      <c r="R416"/>
      <c r="S416" s="170"/>
      <c r="T416" s="171"/>
      <c r="U416" s="170"/>
      <c r="V416"/>
      <c r="W416" s="170"/>
      <c r="X416" s="170"/>
      <c r="Y416" s="174"/>
      <c r="Z416"/>
      <c r="AA416" s="170"/>
      <c r="AB416" s="171"/>
      <c r="AC416" s="174"/>
      <c r="AD416"/>
      <c r="AE416" s="170"/>
      <c r="AF416" s="170"/>
      <c r="AG416" s="170"/>
      <c r="AH416"/>
      <c r="AI416" s="170"/>
      <c r="AJ416" s="171"/>
      <c r="AK416" s="170"/>
      <c r="AL416"/>
      <c r="AM416" s="170"/>
      <c r="AN416" s="170"/>
      <c r="AO416" s="170"/>
      <c r="AP416"/>
      <c r="AQ416" s="170"/>
      <c r="AR416" s="170"/>
      <c r="AS416" s="174"/>
      <c r="AT416"/>
      <c r="AU416" s="170"/>
      <c r="AV416" s="170"/>
      <c r="AW416" s="170"/>
    </row>
    <row r="417" spans="2:49" hidden="1" x14ac:dyDescent="0.25">
      <c r="B417"/>
      <c r="C417" s="170"/>
      <c r="D417" s="171"/>
      <c r="E417" s="170"/>
      <c r="F417"/>
      <c r="G417" s="172"/>
      <c r="H417" s="173"/>
      <c r="I417" s="172"/>
      <c r="J417"/>
      <c r="K417" s="170"/>
      <c r="L417" s="171"/>
      <c r="M417" s="170"/>
      <c r="N417"/>
      <c r="O417" s="170"/>
      <c r="P417" s="171"/>
      <c r="Q417" s="170"/>
      <c r="R417"/>
      <c r="S417" s="170"/>
      <c r="T417" s="171"/>
      <c r="U417" s="170"/>
      <c r="V417"/>
      <c r="W417" s="170"/>
      <c r="X417" s="170"/>
      <c r="Y417" s="174"/>
      <c r="Z417"/>
      <c r="AA417" s="170"/>
      <c r="AB417" s="171"/>
      <c r="AC417" s="174"/>
      <c r="AD417"/>
      <c r="AE417" s="170"/>
      <c r="AF417" s="170"/>
      <c r="AG417" s="170"/>
      <c r="AH417"/>
      <c r="AI417" s="170"/>
      <c r="AJ417" s="171"/>
      <c r="AK417" s="170"/>
      <c r="AL417"/>
      <c r="AM417" s="170"/>
      <c r="AN417" s="170"/>
      <c r="AO417" s="170"/>
      <c r="AP417"/>
      <c r="AQ417" s="170"/>
      <c r="AR417" s="170"/>
      <c r="AS417" s="174"/>
      <c r="AT417"/>
      <c r="AU417" s="170"/>
      <c r="AV417" s="170"/>
      <c r="AW417" s="170"/>
    </row>
    <row r="418" spans="2:49" hidden="1" x14ac:dyDescent="0.25">
      <c r="B418"/>
      <c r="C418" s="170"/>
      <c r="D418" s="171"/>
      <c r="E418" s="170"/>
      <c r="F418"/>
      <c r="G418" s="172"/>
      <c r="H418" s="173"/>
      <c r="I418" s="172"/>
      <c r="J418"/>
      <c r="K418" s="170"/>
      <c r="L418" s="171"/>
      <c r="M418" s="170"/>
      <c r="N418"/>
      <c r="O418" s="170"/>
      <c r="P418" s="171"/>
      <c r="Q418" s="170"/>
      <c r="R418"/>
      <c r="S418" s="170"/>
      <c r="T418" s="171"/>
      <c r="U418" s="170"/>
      <c r="V418"/>
      <c r="W418" s="170"/>
      <c r="X418" s="170"/>
      <c r="Y418" s="174"/>
      <c r="Z418"/>
      <c r="AA418" s="170"/>
      <c r="AB418" s="171"/>
      <c r="AC418" s="174"/>
      <c r="AD418"/>
      <c r="AE418" s="170"/>
      <c r="AF418" s="170"/>
      <c r="AG418" s="170"/>
      <c r="AH418"/>
      <c r="AI418" s="170"/>
      <c r="AJ418" s="171"/>
      <c r="AK418" s="170"/>
      <c r="AL418"/>
      <c r="AM418" s="170"/>
      <c r="AN418" s="170"/>
      <c r="AO418" s="170"/>
      <c r="AP418"/>
      <c r="AQ418" s="170"/>
      <c r="AR418" s="170"/>
      <c r="AS418" s="174"/>
      <c r="AT418"/>
      <c r="AU418" s="170"/>
      <c r="AV418" s="170"/>
      <c r="AW418" s="170"/>
    </row>
    <row r="419" spans="2:49" hidden="1" x14ac:dyDescent="0.25">
      <c r="B419"/>
      <c r="C419" s="170"/>
      <c r="D419" s="171"/>
      <c r="E419" s="170"/>
      <c r="F419"/>
      <c r="G419" s="172"/>
      <c r="H419" s="173"/>
      <c r="I419" s="172"/>
      <c r="J419"/>
      <c r="K419" s="170"/>
      <c r="L419" s="171"/>
      <c r="M419" s="170"/>
      <c r="N419"/>
      <c r="O419" s="170"/>
      <c r="P419" s="171"/>
      <c r="Q419" s="170"/>
      <c r="R419"/>
      <c r="S419" s="170"/>
      <c r="T419" s="171"/>
      <c r="U419" s="170"/>
      <c r="V419"/>
      <c r="W419" s="170"/>
      <c r="X419" s="170"/>
      <c r="Y419" s="174"/>
      <c r="Z419"/>
      <c r="AA419" s="170"/>
      <c r="AB419" s="171"/>
      <c r="AC419" s="174"/>
      <c r="AD419"/>
      <c r="AE419" s="170"/>
      <c r="AF419" s="170"/>
      <c r="AG419" s="170"/>
      <c r="AH419"/>
      <c r="AI419" s="170"/>
      <c r="AJ419" s="171"/>
      <c r="AK419" s="170"/>
      <c r="AL419"/>
      <c r="AM419" s="170"/>
      <c r="AN419" s="170"/>
      <c r="AO419" s="170"/>
      <c r="AP419"/>
      <c r="AQ419" s="170"/>
      <c r="AR419" s="170"/>
      <c r="AS419" s="174"/>
      <c r="AT419"/>
      <c r="AU419" s="170"/>
      <c r="AV419" s="170"/>
      <c r="AW419" s="170"/>
    </row>
    <row r="420" spans="2:49" hidden="1" x14ac:dyDescent="0.25">
      <c r="B420"/>
      <c r="C420" s="170"/>
      <c r="D420" s="171"/>
      <c r="E420" s="170"/>
      <c r="F420"/>
      <c r="G420" s="172"/>
      <c r="H420" s="173"/>
      <c r="I420" s="172"/>
      <c r="J420"/>
      <c r="K420" s="170"/>
      <c r="L420" s="171"/>
      <c r="M420" s="170"/>
      <c r="N420"/>
      <c r="O420" s="170"/>
      <c r="P420" s="171"/>
      <c r="Q420" s="170"/>
      <c r="R420"/>
      <c r="S420" s="170"/>
      <c r="T420" s="171"/>
      <c r="U420" s="170"/>
      <c r="V420"/>
      <c r="W420" s="170"/>
      <c r="X420" s="170"/>
      <c r="Y420" s="174"/>
      <c r="Z420"/>
      <c r="AA420" s="170"/>
      <c r="AB420" s="171"/>
      <c r="AC420" s="174"/>
      <c r="AD420"/>
      <c r="AE420" s="170"/>
      <c r="AF420" s="170"/>
      <c r="AG420" s="170"/>
      <c r="AH420"/>
      <c r="AI420" s="170"/>
      <c r="AJ420" s="171"/>
      <c r="AK420" s="170"/>
      <c r="AL420"/>
      <c r="AM420" s="170"/>
      <c r="AN420" s="170"/>
      <c r="AO420" s="170"/>
      <c r="AP420"/>
      <c r="AQ420" s="170"/>
      <c r="AR420" s="170"/>
      <c r="AS420" s="174"/>
      <c r="AT420"/>
      <c r="AU420" s="170"/>
      <c r="AV420" s="170"/>
      <c r="AW420" s="170"/>
    </row>
    <row r="421" spans="2:49" hidden="1" x14ac:dyDescent="0.25">
      <c r="B421"/>
      <c r="C421" s="170"/>
      <c r="D421" s="171"/>
      <c r="E421" s="170"/>
      <c r="F421"/>
      <c r="G421" s="172"/>
      <c r="H421" s="173"/>
      <c r="I421" s="172"/>
      <c r="J421"/>
      <c r="K421" s="170"/>
      <c r="L421" s="171"/>
      <c r="M421" s="170"/>
      <c r="N421"/>
      <c r="O421" s="170"/>
      <c r="P421" s="171"/>
      <c r="Q421" s="170"/>
      <c r="R421"/>
      <c r="S421" s="170"/>
      <c r="T421" s="171"/>
      <c r="U421" s="170"/>
      <c r="V421"/>
      <c r="W421" s="170"/>
      <c r="X421" s="170"/>
      <c r="Y421" s="174"/>
      <c r="Z421"/>
      <c r="AA421" s="170"/>
      <c r="AB421" s="171"/>
      <c r="AC421" s="174"/>
      <c r="AD421"/>
      <c r="AE421" s="170"/>
      <c r="AF421" s="170"/>
      <c r="AG421" s="170"/>
      <c r="AH421"/>
      <c r="AI421" s="170"/>
      <c r="AJ421" s="171"/>
      <c r="AK421" s="170"/>
      <c r="AL421"/>
      <c r="AM421" s="170"/>
      <c r="AN421" s="170"/>
      <c r="AO421" s="170"/>
      <c r="AP421"/>
      <c r="AQ421" s="170"/>
      <c r="AR421" s="170"/>
      <c r="AS421" s="174"/>
      <c r="AT421"/>
      <c r="AU421" s="170"/>
      <c r="AV421" s="170"/>
      <c r="AW421" s="170"/>
    </row>
    <row r="422" spans="2:49" hidden="1" x14ac:dyDescent="0.25">
      <c r="B422"/>
      <c r="C422" s="170"/>
      <c r="D422" s="171"/>
      <c r="E422" s="170"/>
      <c r="F422"/>
      <c r="G422" s="172"/>
      <c r="H422" s="173"/>
      <c r="I422" s="172"/>
      <c r="J422"/>
      <c r="K422" s="170"/>
      <c r="L422" s="171"/>
      <c r="M422" s="170"/>
      <c r="N422"/>
      <c r="O422" s="170"/>
      <c r="P422" s="171"/>
      <c r="Q422" s="170"/>
      <c r="R422"/>
      <c r="S422" s="170"/>
      <c r="T422" s="171"/>
      <c r="U422" s="170"/>
      <c r="V422"/>
      <c r="W422" s="170"/>
      <c r="X422" s="170"/>
      <c r="Y422" s="174"/>
      <c r="Z422"/>
      <c r="AA422" s="170"/>
      <c r="AB422" s="171"/>
      <c r="AC422" s="174"/>
      <c r="AD422"/>
      <c r="AE422" s="170"/>
      <c r="AF422" s="170"/>
      <c r="AG422" s="170"/>
      <c r="AH422"/>
      <c r="AI422" s="170"/>
      <c r="AJ422" s="171"/>
      <c r="AK422" s="170"/>
      <c r="AL422"/>
      <c r="AM422" s="170"/>
      <c r="AN422" s="170"/>
      <c r="AO422" s="170"/>
      <c r="AP422"/>
      <c r="AQ422" s="170"/>
      <c r="AR422" s="170"/>
      <c r="AS422" s="174"/>
      <c r="AT422"/>
      <c r="AU422" s="170"/>
      <c r="AV422" s="170"/>
      <c r="AW422" s="170"/>
    </row>
    <row r="423" spans="2:49" hidden="1" x14ac:dyDescent="0.25">
      <c r="B423"/>
      <c r="C423" s="170"/>
      <c r="D423" s="171"/>
      <c r="E423" s="170"/>
      <c r="F423"/>
      <c r="G423" s="172"/>
      <c r="H423" s="173"/>
      <c r="I423" s="172"/>
      <c r="J423"/>
      <c r="K423" s="170"/>
      <c r="L423" s="171"/>
      <c r="M423" s="170"/>
      <c r="N423"/>
      <c r="O423" s="170"/>
      <c r="P423" s="171"/>
      <c r="Q423" s="170"/>
      <c r="R423"/>
      <c r="S423" s="170"/>
      <c r="T423" s="171"/>
      <c r="U423" s="170"/>
      <c r="V423"/>
      <c r="W423" s="170"/>
      <c r="X423" s="170"/>
      <c r="Y423" s="174"/>
      <c r="Z423"/>
      <c r="AA423" s="170"/>
      <c r="AB423" s="171"/>
      <c r="AC423" s="174"/>
      <c r="AD423"/>
      <c r="AE423" s="170"/>
      <c r="AF423" s="170"/>
      <c r="AG423" s="170"/>
      <c r="AH423"/>
      <c r="AI423" s="170"/>
      <c r="AJ423" s="171"/>
      <c r="AK423" s="170"/>
      <c r="AL423"/>
      <c r="AM423" s="170"/>
      <c r="AN423" s="170"/>
      <c r="AO423" s="170"/>
      <c r="AP423"/>
      <c r="AQ423" s="170"/>
      <c r="AR423" s="170"/>
      <c r="AS423" s="174"/>
      <c r="AT423"/>
      <c r="AU423" s="170"/>
      <c r="AV423" s="170"/>
      <c r="AW423" s="170"/>
    </row>
    <row r="424" spans="2:49" hidden="1" x14ac:dyDescent="0.25">
      <c r="B424"/>
      <c r="C424" s="170"/>
      <c r="D424" s="171"/>
      <c r="E424" s="170"/>
      <c r="F424"/>
      <c r="G424" s="172"/>
      <c r="H424" s="173"/>
      <c r="I424" s="172"/>
      <c r="J424"/>
      <c r="K424" s="170"/>
      <c r="L424" s="171"/>
      <c r="M424" s="170"/>
      <c r="N424"/>
      <c r="O424" s="170"/>
      <c r="P424" s="171"/>
      <c r="Q424" s="170"/>
      <c r="R424"/>
      <c r="S424" s="170"/>
      <c r="T424" s="171"/>
      <c r="U424" s="170"/>
      <c r="V424"/>
      <c r="W424" s="170"/>
      <c r="X424" s="170"/>
      <c r="Y424" s="174"/>
      <c r="Z424"/>
      <c r="AA424" s="170"/>
      <c r="AB424" s="171"/>
      <c r="AC424" s="174"/>
      <c r="AD424"/>
      <c r="AE424" s="170"/>
      <c r="AF424" s="170"/>
      <c r="AG424" s="170"/>
      <c r="AH424"/>
      <c r="AI424" s="170"/>
      <c r="AJ424" s="171"/>
      <c r="AK424" s="170"/>
      <c r="AL424"/>
      <c r="AM424" s="170"/>
      <c r="AN424" s="170"/>
      <c r="AO424" s="170"/>
      <c r="AP424"/>
      <c r="AQ424" s="170"/>
      <c r="AR424" s="170"/>
      <c r="AS424" s="174"/>
      <c r="AT424"/>
      <c r="AU424" s="170"/>
      <c r="AV424" s="170"/>
      <c r="AW424" s="170"/>
    </row>
    <row r="425" spans="2:49" hidden="1" x14ac:dyDescent="0.25">
      <c r="B425"/>
      <c r="C425" s="170"/>
      <c r="D425" s="171"/>
      <c r="E425" s="170"/>
      <c r="F425"/>
      <c r="G425" s="172"/>
      <c r="H425" s="173"/>
      <c r="I425" s="172"/>
      <c r="J425"/>
      <c r="K425" s="170"/>
      <c r="L425" s="171"/>
      <c r="M425" s="170"/>
      <c r="N425"/>
      <c r="O425" s="170"/>
      <c r="P425" s="171"/>
      <c r="Q425" s="170"/>
      <c r="R425"/>
      <c r="S425" s="170"/>
      <c r="T425" s="171"/>
      <c r="U425" s="170"/>
      <c r="V425"/>
      <c r="W425" s="170"/>
      <c r="X425" s="170"/>
      <c r="Y425" s="174"/>
      <c r="Z425"/>
      <c r="AA425" s="170"/>
      <c r="AB425" s="171"/>
      <c r="AC425" s="174"/>
      <c r="AD425"/>
      <c r="AE425" s="170"/>
      <c r="AF425" s="170"/>
      <c r="AG425" s="170"/>
      <c r="AH425"/>
      <c r="AI425" s="170"/>
      <c r="AJ425" s="171"/>
      <c r="AK425" s="170"/>
      <c r="AL425"/>
      <c r="AM425" s="170"/>
      <c r="AN425" s="170"/>
      <c r="AO425" s="170"/>
      <c r="AP425"/>
      <c r="AQ425" s="170"/>
      <c r="AR425" s="170"/>
      <c r="AS425" s="174"/>
      <c r="AT425"/>
      <c r="AU425" s="170"/>
      <c r="AV425" s="170"/>
      <c r="AW425" s="170"/>
    </row>
    <row r="426" spans="2:49" hidden="1" x14ac:dyDescent="0.25">
      <c r="B426"/>
      <c r="C426" s="170"/>
      <c r="D426" s="171"/>
      <c r="E426" s="170"/>
      <c r="F426"/>
      <c r="G426" s="172"/>
      <c r="H426" s="173"/>
      <c r="I426" s="172"/>
      <c r="J426"/>
      <c r="K426" s="170"/>
      <c r="L426" s="171"/>
      <c r="M426" s="170"/>
      <c r="N426"/>
      <c r="O426" s="170"/>
      <c r="P426" s="171"/>
      <c r="Q426" s="170"/>
      <c r="R426"/>
      <c r="S426" s="170"/>
      <c r="T426" s="171"/>
      <c r="U426" s="170"/>
      <c r="V426"/>
      <c r="W426" s="170"/>
      <c r="X426" s="170"/>
      <c r="Y426" s="174"/>
      <c r="Z426"/>
      <c r="AA426" s="170"/>
      <c r="AB426" s="171"/>
      <c r="AC426" s="174"/>
      <c r="AD426"/>
      <c r="AE426" s="170"/>
      <c r="AF426" s="170"/>
      <c r="AG426" s="170"/>
      <c r="AH426"/>
      <c r="AI426" s="170"/>
      <c r="AJ426" s="171"/>
      <c r="AK426" s="170"/>
      <c r="AL426"/>
      <c r="AM426" s="170"/>
      <c r="AN426" s="170"/>
      <c r="AO426" s="170"/>
      <c r="AP426"/>
      <c r="AQ426" s="170"/>
      <c r="AR426" s="170"/>
      <c r="AS426" s="174"/>
      <c r="AT426"/>
      <c r="AU426" s="170"/>
      <c r="AV426" s="170"/>
      <c r="AW426" s="170"/>
    </row>
    <row r="427" spans="2:49" hidden="1" x14ac:dyDescent="0.25">
      <c r="B427"/>
      <c r="C427" s="170"/>
      <c r="D427" s="171"/>
      <c r="E427" s="170"/>
      <c r="F427"/>
      <c r="G427" s="172"/>
      <c r="H427" s="173"/>
      <c r="I427" s="172"/>
      <c r="J427"/>
      <c r="K427" s="170"/>
      <c r="L427" s="171"/>
      <c r="M427" s="170"/>
      <c r="N427"/>
      <c r="O427" s="170"/>
      <c r="P427" s="171"/>
      <c r="Q427" s="170"/>
      <c r="R427"/>
      <c r="S427" s="170"/>
      <c r="T427" s="171"/>
      <c r="U427" s="170"/>
      <c r="V427"/>
      <c r="W427" s="170"/>
      <c r="X427" s="170"/>
      <c r="Y427" s="174"/>
      <c r="Z427"/>
      <c r="AA427" s="170"/>
      <c r="AB427" s="171"/>
      <c r="AC427" s="174"/>
      <c r="AD427"/>
      <c r="AE427" s="170"/>
      <c r="AF427" s="170"/>
      <c r="AG427" s="170"/>
      <c r="AH427"/>
      <c r="AI427" s="170"/>
      <c r="AJ427" s="171"/>
      <c r="AK427" s="170"/>
      <c r="AL427"/>
      <c r="AM427" s="170"/>
      <c r="AN427" s="170"/>
      <c r="AO427" s="170"/>
      <c r="AP427"/>
      <c r="AQ427" s="170"/>
      <c r="AR427" s="170"/>
      <c r="AS427" s="174"/>
      <c r="AT427"/>
      <c r="AU427" s="170"/>
      <c r="AV427" s="170"/>
      <c r="AW427" s="170"/>
    </row>
    <row r="428" spans="2:49" hidden="1" x14ac:dyDescent="0.25">
      <c r="B428"/>
      <c r="C428" s="170"/>
      <c r="D428" s="171"/>
      <c r="E428" s="170"/>
      <c r="F428"/>
      <c r="G428" s="172"/>
      <c r="H428" s="173"/>
      <c r="I428" s="172"/>
      <c r="J428"/>
      <c r="K428" s="170"/>
      <c r="L428" s="171"/>
      <c r="M428" s="170"/>
      <c r="N428"/>
      <c r="O428" s="170"/>
      <c r="P428" s="171"/>
      <c r="Q428" s="170"/>
      <c r="R428"/>
      <c r="S428" s="170"/>
      <c r="T428" s="171"/>
      <c r="U428" s="170"/>
      <c r="V428"/>
      <c r="W428" s="170"/>
      <c r="X428" s="170"/>
      <c r="Y428" s="174"/>
      <c r="Z428"/>
      <c r="AA428" s="170"/>
      <c r="AB428" s="171"/>
      <c r="AC428" s="174"/>
      <c r="AD428"/>
      <c r="AE428" s="170"/>
      <c r="AF428" s="170"/>
      <c r="AG428" s="170"/>
      <c r="AH428"/>
      <c r="AI428" s="170"/>
      <c r="AJ428" s="171"/>
      <c r="AK428" s="170"/>
      <c r="AL428"/>
      <c r="AM428" s="170"/>
      <c r="AN428" s="170"/>
      <c r="AO428" s="170"/>
      <c r="AP428"/>
      <c r="AQ428" s="170"/>
      <c r="AR428" s="170"/>
      <c r="AS428" s="174"/>
      <c r="AT428"/>
      <c r="AU428" s="170"/>
      <c r="AV428" s="170"/>
      <c r="AW428" s="170"/>
    </row>
    <row r="429" spans="2:49" hidden="1" x14ac:dyDescent="0.25">
      <c r="B429"/>
      <c r="C429" s="170"/>
      <c r="D429" s="171"/>
      <c r="E429" s="170"/>
      <c r="F429"/>
      <c r="G429" s="172"/>
      <c r="H429" s="173"/>
      <c r="I429" s="172"/>
      <c r="J429"/>
      <c r="K429" s="170"/>
      <c r="L429" s="171"/>
      <c r="M429" s="170"/>
      <c r="N429"/>
      <c r="O429" s="170"/>
      <c r="P429" s="171"/>
      <c r="Q429" s="170"/>
      <c r="R429"/>
      <c r="S429" s="170"/>
      <c r="T429" s="171"/>
      <c r="U429" s="170"/>
      <c r="V429"/>
      <c r="W429" s="170"/>
      <c r="X429" s="170"/>
      <c r="Y429" s="174"/>
      <c r="Z429"/>
      <c r="AA429" s="170"/>
      <c r="AB429" s="171"/>
      <c r="AC429" s="174"/>
      <c r="AD429"/>
      <c r="AE429" s="170"/>
      <c r="AF429" s="170"/>
      <c r="AG429" s="170"/>
      <c r="AH429"/>
      <c r="AI429" s="170"/>
      <c r="AJ429" s="171"/>
      <c r="AK429" s="170"/>
      <c r="AL429"/>
      <c r="AM429" s="170"/>
      <c r="AN429" s="170"/>
      <c r="AO429" s="170"/>
      <c r="AP429"/>
      <c r="AQ429" s="170"/>
      <c r="AR429" s="170"/>
      <c r="AS429" s="174"/>
      <c r="AT429"/>
      <c r="AU429" s="170"/>
      <c r="AV429" s="170"/>
      <c r="AW429" s="170"/>
    </row>
    <row r="430" spans="2:49" hidden="1" x14ac:dyDescent="0.25">
      <c r="B430"/>
      <c r="C430" s="170"/>
      <c r="D430" s="171"/>
      <c r="E430" s="170"/>
      <c r="F430"/>
      <c r="G430" s="172"/>
      <c r="H430" s="173"/>
      <c r="I430" s="172"/>
      <c r="J430"/>
      <c r="K430" s="170"/>
      <c r="L430" s="171"/>
      <c r="M430" s="170"/>
      <c r="N430"/>
      <c r="O430" s="170"/>
      <c r="P430" s="171"/>
      <c r="Q430" s="170"/>
      <c r="R430"/>
      <c r="S430" s="170"/>
      <c r="T430" s="171"/>
      <c r="U430" s="170"/>
      <c r="V430"/>
      <c r="W430" s="170"/>
      <c r="X430" s="170"/>
      <c r="Y430" s="174"/>
      <c r="Z430"/>
      <c r="AA430" s="170"/>
      <c r="AB430" s="171"/>
      <c r="AC430" s="174"/>
      <c r="AD430"/>
      <c r="AE430" s="170"/>
      <c r="AF430" s="170"/>
      <c r="AG430" s="170"/>
      <c r="AH430"/>
      <c r="AI430" s="170"/>
      <c r="AJ430" s="171"/>
      <c r="AK430" s="170"/>
      <c r="AL430"/>
      <c r="AM430" s="170"/>
      <c r="AN430" s="170"/>
      <c r="AO430" s="170"/>
      <c r="AP430"/>
      <c r="AQ430" s="170"/>
      <c r="AR430" s="170"/>
      <c r="AS430" s="174"/>
      <c r="AT430"/>
      <c r="AU430" s="170"/>
      <c r="AV430" s="170"/>
      <c r="AW430" s="170"/>
    </row>
    <row r="431" spans="2:49" hidden="1" x14ac:dyDescent="0.25">
      <c r="B431"/>
      <c r="C431" s="170"/>
      <c r="D431" s="171"/>
      <c r="E431" s="170"/>
      <c r="F431"/>
      <c r="G431" s="172"/>
      <c r="H431" s="173"/>
      <c r="I431" s="172"/>
      <c r="J431"/>
      <c r="K431" s="170"/>
      <c r="L431" s="171"/>
      <c r="M431" s="170"/>
      <c r="N431"/>
      <c r="O431" s="170"/>
      <c r="P431" s="171"/>
      <c r="Q431" s="170"/>
      <c r="R431"/>
      <c r="S431" s="170"/>
      <c r="T431" s="171"/>
      <c r="U431" s="170"/>
      <c r="V431"/>
      <c r="W431" s="170"/>
      <c r="X431" s="170"/>
      <c r="Y431" s="174"/>
      <c r="Z431"/>
      <c r="AA431" s="170"/>
      <c r="AB431" s="171"/>
      <c r="AC431" s="174"/>
      <c r="AD431"/>
      <c r="AE431" s="170"/>
      <c r="AF431" s="170"/>
      <c r="AG431" s="170"/>
      <c r="AH431"/>
      <c r="AI431" s="170"/>
      <c r="AJ431" s="171"/>
      <c r="AK431" s="170"/>
      <c r="AL431"/>
      <c r="AM431" s="170"/>
      <c r="AN431" s="170"/>
      <c r="AO431" s="170"/>
      <c r="AP431"/>
      <c r="AQ431" s="170"/>
      <c r="AR431" s="170"/>
      <c r="AS431" s="174"/>
      <c r="AT431"/>
      <c r="AU431" s="170"/>
      <c r="AV431" s="170"/>
      <c r="AW431" s="170"/>
    </row>
    <row r="432" spans="2:49" hidden="1" x14ac:dyDescent="0.25">
      <c r="B432"/>
      <c r="C432" s="170"/>
      <c r="D432" s="171"/>
      <c r="E432" s="170"/>
      <c r="F432"/>
      <c r="G432" s="172"/>
      <c r="H432" s="173"/>
      <c r="I432" s="172"/>
      <c r="J432"/>
      <c r="K432" s="170"/>
      <c r="L432" s="171"/>
      <c r="M432" s="170"/>
      <c r="N432"/>
      <c r="O432" s="170"/>
      <c r="P432" s="171"/>
      <c r="Q432" s="170"/>
      <c r="R432"/>
      <c r="S432" s="170"/>
      <c r="T432" s="171"/>
      <c r="U432" s="170"/>
      <c r="V432"/>
      <c r="W432" s="170"/>
      <c r="X432" s="170"/>
      <c r="Y432" s="174"/>
      <c r="Z432"/>
      <c r="AA432" s="170"/>
      <c r="AB432" s="171"/>
      <c r="AC432" s="174"/>
      <c r="AD432"/>
      <c r="AE432" s="170"/>
      <c r="AF432" s="170"/>
      <c r="AG432" s="170"/>
      <c r="AH432"/>
      <c r="AI432" s="170"/>
      <c r="AJ432" s="171"/>
      <c r="AK432" s="170"/>
      <c r="AL432"/>
      <c r="AM432" s="170"/>
      <c r="AN432" s="170"/>
      <c r="AO432" s="170"/>
      <c r="AP432"/>
      <c r="AQ432" s="170"/>
      <c r="AR432" s="170"/>
      <c r="AS432" s="174"/>
      <c r="AT432"/>
      <c r="AU432" s="170"/>
      <c r="AV432" s="170"/>
      <c r="AW432" s="170"/>
    </row>
    <row r="433" spans="2:49" hidden="1" x14ac:dyDescent="0.25">
      <c r="B433"/>
      <c r="C433" s="170"/>
      <c r="D433" s="171"/>
      <c r="E433" s="170"/>
      <c r="F433"/>
      <c r="G433" s="172"/>
      <c r="H433" s="173"/>
      <c r="I433" s="172"/>
      <c r="J433"/>
      <c r="K433" s="170"/>
      <c r="L433" s="171"/>
      <c r="M433" s="170"/>
      <c r="N433"/>
      <c r="O433" s="170"/>
      <c r="P433" s="171"/>
      <c r="Q433" s="170"/>
      <c r="R433"/>
      <c r="S433" s="170"/>
      <c r="T433" s="171"/>
      <c r="U433" s="170"/>
      <c r="V433"/>
      <c r="W433" s="170"/>
      <c r="X433" s="170"/>
      <c r="Y433" s="174"/>
      <c r="Z433"/>
      <c r="AA433" s="170"/>
      <c r="AB433" s="171"/>
      <c r="AC433" s="174"/>
      <c r="AD433"/>
      <c r="AE433" s="170"/>
      <c r="AF433" s="170"/>
      <c r="AG433" s="170"/>
      <c r="AH433"/>
      <c r="AI433" s="170"/>
      <c r="AJ433" s="171"/>
      <c r="AK433" s="170"/>
      <c r="AL433"/>
      <c r="AM433" s="170"/>
      <c r="AN433" s="170"/>
      <c r="AO433" s="170"/>
      <c r="AP433"/>
      <c r="AQ433" s="170"/>
      <c r="AR433" s="170"/>
      <c r="AS433" s="174"/>
      <c r="AT433"/>
      <c r="AU433" s="170"/>
      <c r="AV433" s="170"/>
      <c r="AW433" s="170"/>
    </row>
    <row r="434" spans="2:49" hidden="1" x14ac:dyDescent="0.25">
      <c r="B434"/>
      <c r="C434" s="170"/>
      <c r="D434" s="171"/>
      <c r="E434" s="170"/>
      <c r="F434"/>
      <c r="G434" s="172"/>
      <c r="H434" s="173"/>
      <c r="I434" s="172"/>
      <c r="J434"/>
      <c r="K434" s="170"/>
      <c r="L434" s="171"/>
      <c r="M434" s="170"/>
      <c r="N434"/>
      <c r="O434" s="170"/>
      <c r="P434" s="171"/>
      <c r="Q434" s="170"/>
      <c r="R434"/>
      <c r="S434" s="170"/>
      <c r="T434" s="171"/>
      <c r="U434" s="170"/>
      <c r="V434"/>
      <c r="W434" s="170"/>
      <c r="X434" s="170"/>
      <c r="Y434" s="174"/>
      <c r="Z434"/>
      <c r="AA434" s="170"/>
      <c r="AB434" s="171"/>
      <c r="AC434" s="174"/>
      <c r="AD434"/>
      <c r="AE434" s="170"/>
      <c r="AF434" s="170"/>
      <c r="AG434" s="170"/>
      <c r="AH434"/>
      <c r="AI434" s="170"/>
      <c r="AJ434" s="171"/>
      <c r="AK434" s="170"/>
      <c r="AL434"/>
      <c r="AM434" s="170"/>
      <c r="AN434" s="170"/>
      <c r="AO434" s="170"/>
      <c r="AP434"/>
      <c r="AQ434" s="170"/>
      <c r="AR434" s="170"/>
      <c r="AS434" s="174"/>
      <c r="AT434"/>
      <c r="AU434" s="170"/>
      <c r="AV434" s="170"/>
      <c r="AW434" s="170"/>
    </row>
    <row r="435" spans="2:49" hidden="1" x14ac:dyDescent="0.25">
      <c r="B435"/>
      <c r="C435" s="170"/>
      <c r="D435" s="171"/>
      <c r="E435" s="170"/>
      <c r="F435"/>
      <c r="G435" s="172"/>
      <c r="H435" s="173"/>
      <c r="I435" s="172"/>
      <c r="J435"/>
      <c r="K435" s="170"/>
      <c r="L435" s="171"/>
      <c r="M435" s="170"/>
      <c r="N435"/>
      <c r="O435" s="170"/>
      <c r="P435" s="171"/>
      <c r="Q435" s="170"/>
      <c r="R435"/>
      <c r="S435" s="170"/>
      <c r="T435" s="171"/>
      <c r="U435" s="170"/>
      <c r="V435"/>
      <c r="W435" s="170"/>
      <c r="X435" s="170"/>
      <c r="Y435" s="174"/>
      <c r="Z435"/>
      <c r="AA435" s="170"/>
      <c r="AB435" s="171"/>
      <c r="AC435" s="174"/>
      <c r="AD435"/>
      <c r="AE435" s="170"/>
      <c r="AF435" s="170"/>
      <c r="AG435" s="170"/>
      <c r="AH435"/>
      <c r="AI435" s="170"/>
      <c r="AJ435" s="171"/>
      <c r="AK435" s="170"/>
      <c r="AL435"/>
      <c r="AM435" s="170"/>
      <c r="AN435" s="170"/>
      <c r="AO435" s="170"/>
      <c r="AP435"/>
      <c r="AQ435" s="170"/>
      <c r="AR435" s="170"/>
      <c r="AS435" s="174"/>
      <c r="AT435"/>
      <c r="AU435" s="170"/>
      <c r="AV435" s="170"/>
      <c r="AW435" s="170"/>
    </row>
    <row r="436" spans="2:49" hidden="1" x14ac:dyDescent="0.25">
      <c r="B436"/>
      <c r="C436" s="170"/>
      <c r="D436" s="171"/>
      <c r="E436" s="170"/>
      <c r="F436"/>
      <c r="G436" s="172"/>
      <c r="H436" s="173"/>
      <c r="I436" s="172"/>
      <c r="J436"/>
      <c r="K436" s="170"/>
      <c r="L436" s="171"/>
      <c r="M436" s="170"/>
      <c r="N436"/>
      <c r="O436" s="170"/>
      <c r="P436" s="171"/>
      <c r="Q436" s="170"/>
      <c r="R436"/>
      <c r="S436" s="170"/>
      <c r="T436" s="171"/>
      <c r="U436" s="170"/>
      <c r="V436"/>
      <c r="W436" s="170"/>
      <c r="X436" s="170"/>
      <c r="Y436" s="174"/>
      <c r="Z436"/>
      <c r="AA436" s="170"/>
      <c r="AB436" s="171"/>
      <c r="AC436" s="174"/>
      <c r="AD436"/>
      <c r="AE436" s="170"/>
      <c r="AF436" s="170"/>
      <c r="AG436" s="170"/>
      <c r="AH436"/>
      <c r="AI436" s="170"/>
      <c r="AJ436" s="171"/>
      <c r="AK436" s="170"/>
      <c r="AL436"/>
      <c r="AM436" s="170"/>
      <c r="AN436" s="170"/>
      <c r="AO436" s="170"/>
      <c r="AP436"/>
      <c r="AQ436" s="170"/>
      <c r="AR436" s="170"/>
      <c r="AS436" s="174"/>
      <c r="AT436"/>
      <c r="AU436" s="170"/>
      <c r="AV436" s="170"/>
      <c r="AW436" s="170"/>
    </row>
    <row r="437" spans="2:49" hidden="1" x14ac:dyDescent="0.25">
      <c r="B437"/>
      <c r="C437" s="170"/>
      <c r="D437" s="171"/>
      <c r="E437" s="170"/>
      <c r="F437"/>
      <c r="G437" s="172"/>
      <c r="H437" s="173"/>
      <c r="I437" s="172"/>
      <c r="J437"/>
      <c r="K437" s="170"/>
      <c r="L437" s="171"/>
      <c r="M437" s="170"/>
      <c r="N437"/>
      <c r="O437" s="170"/>
      <c r="P437" s="171"/>
      <c r="Q437" s="170"/>
      <c r="R437"/>
      <c r="S437" s="170"/>
      <c r="T437" s="171"/>
      <c r="U437" s="170"/>
      <c r="V437"/>
      <c r="W437" s="170"/>
      <c r="X437" s="170"/>
      <c r="Y437" s="174"/>
      <c r="Z437"/>
      <c r="AA437" s="170"/>
      <c r="AB437" s="171"/>
      <c r="AC437" s="174"/>
      <c r="AD437"/>
      <c r="AE437" s="170"/>
      <c r="AF437" s="170"/>
      <c r="AG437" s="170"/>
      <c r="AH437"/>
      <c r="AI437" s="170"/>
      <c r="AJ437" s="171"/>
      <c r="AK437" s="170"/>
      <c r="AL437"/>
      <c r="AM437" s="170"/>
      <c r="AN437" s="170"/>
      <c r="AO437" s="170"/>
      <c r="AP437"/>
      <c r="AQ437" s="170"/>
      <c r="AR437" s="170"/>
      <c r="AS437" s="174"/>
      <c r="AT437"/>
      <c r="AU437" s="170"/>
      <c r="AV437" s="170"/>
      <c r="AW437" s="170"/>
    </row>
    <row r="438" spans="2:49" hidden="1" x14ac:dyDescent="0.25">
      <c r="B438"/>
      <c r="C438" s="170"/>
      <c r="D438" s="171"/>
      <c r="E438" s="170"/>
      <c r="F438"/>
      <c r="G438" s="172"/>
      <c r="H438" s="173"/>
      <c r="I438" s="172"/>
      <c r="J438"/>
      <c r="K438" s="170"/>
      <c r="L438" s="171"/>
      <c r="M438" s="170"/>
      <c r="N438"/>
      <c r="O438" s="170"/>
      <c r="P438" s="171"/>
      <c r="Q438" s="170"/>
      <c r="R438"/>
      <c r="S438" s="170"/>
      <c r="T438" s="171"/>
      <c r="U438" s="170"/>
      <c r="V438"/>
      <c r="W438" s="170"/>
      <c r="X438" s="170"/>
      <c r="Y438" s="174"/>
      <c r="Z438"/>
      <c r="AA438" s="170"/>
      <c r="AB438" s="171"/>
      <c r="AC438" s="174"/>
      <c r="AD438"/>
      <c r="AE438" s="170"/>
      <c r="AF438" s="170"/>
      <c r="AG438" s="170"/>
      <c r="AH438"/>
      <c r="AI438" s="170"/>
      <c r="AJ438" s="171"/>
      <c r="AK438" s="170"/>
      <c r="AL438"/>
      <c r="AM438" s="170"/>
      <c r="AN438" s="170"/>
      <c r="AO438" s="170"/>
      <c r="AP438"/>
      <c r="AQ438" s="170"/>
      <c r="AR438" s="170"/>
      <c r="AS438" s="174"/>
      <c r="AT438"/>
      <c r="AU438" s="170"/>
      <c r="AV438" s="170"/>
      <c r="AW438" s="170"/>
    </row>
    <row r="439" spans="2:49" hidden="1" x14ac:dyDescent="0.25">
      <c r="B439"/>
      <c r="C439" s="170"/>
      <c r="D439" s="171"/>
      <c r="E439" s="170"/>
      <c r="F439"/>
      <c r="G439" s="172"/>
      <c r="H439" s="173"/>
      <c r="I439" s="172"/>
      <c r="J439"/>
      <c r="K439" s="170"/>
      <c r="L439" s="171"/>
      <c r="M439" s="170"/>
      <c r="N439"/>
      <c r="O439" s="170"/>
      <c r="P439" s="171"/>
      <c r="Q439" s="170"/>
      <c r="R439"/>
      <c r="S439" s="170"/>
      <c r="T439" s="171"/>
      <c r="U439" s="170"/>
      <c r="V439"/>
      <c r="W439" s="170"/>
      <c r="X439" s="170"/>
      <c r="Y439" s="174"/>
      <c r="Z439"/>
      <c r="AA439" s="170"/>
      <c r="AB439" s="171"/>
      <c r="AC439" s="174"/>
      <c r="AD439"/>
      <c r="AE439" s="170"/>
      <c r="AF439" s="170"/>
      <c r="AG439" s="170"/>
      <c r="AH439"/>
      <c r="AI439" s="170"/>
      <c r="AJ439" s="171"/>
      <c r="AK439" s="170"/>
      <c r="AL439"/>
      <c r="AM439" s="170"/>
      <c r="AN439" s="170"/>
      <c r="AO439" s="170"/>
      <c r="AP439"/>
      <c r="AQ439" s="170"/>
      <c r="AR439" s="170"/>
      <c r="AS439" s="174"/>
      <c r="AT439"/>
      <c r="AU439" s="170"/>
      <c r="AV439" s="170"/>
      <c r="AW439" s="170"/>
    </row>
    <row r="440" spans="2:49" hidden="1" x14ac:dyDescent="0.25">
      <c r="B440"/>
      <c r="C440" s="170"/>
      <c r="D440" s="171"/>
      <c r="E440" s="170"/>
      <c r="F440"/>
      <c r="G440" s="172"/>
      <c r="H440" s="173"/>
      <c r="I440" s="172"/>
      <c r="J440"/>
      <c r="K440" s="170"/>
      <c r="L440" s="171"/>
      <c r="M440" s="170"/>
      <c r="N440"/>
      <c r="O440" s="170"/>
      <c r="P440" s="171"/>
      <c r="Q440" s="170"/>
      <c r="R440"/>
      <c r="S440" s="170"/>
      <c r="T440" s="171"/>
      <c r="U440" s="170"/>
      <c r="V440"/>
      <c r="W440" s="170"/>
      <c r="X440" s="170"/>
      <c r="Y440" s="174"/>
      <c r="Z440"/>
      <c r="AA440" s="170"/>
      <c r="AB440" s="171"/>
      <c r="AC440" s="174"/>
      <c r="AD440"/>
      <c r="AE440" s="170"/>
      <c r="AF440" s="170"/>
      <c r="AG440" s="170"/>
      <c r="AH440"/>
      <c r="AI440" s="170"/>
      <c r="AJ440" s="171"/>
      <c r="AK440" s="170"/>
      <c r="AL440"/>
      <c r="AM440" s="170"/>
      <c r="AN440" s="170"/>
      <c r="AO440" s="170"/>
      <c r="AP440"/>
      <c r="AQ440" s="170"/>
      <c r="AR440" s="170"/>
      <c r="AS440" s="174"/>
      <c r="AT440"/>
      <c r="AU440" s="170"/>
      <c r="AV440" s="170"/>
      <c r="AW440" s="170"/>
    </row>
    <row r="441" spans="2:49" hidden="1" x14ac:dyDescent="0.25">
      <c r="B441"/>
      <c r="C441" s="170"/>
      <c r="D441" s="171"/>
      <c r="E441" s="170"/>
      <c r="F441"/>
      <c r="G441" s="172"/>
      <c r="H441" s="173"/>
      <c r="I441" s="172"/>
      <c r="J441"/>
      <c r="K441" s="170"/>
      <c r="L441" s="171"/>
      <c r="M441" s="170"/>
      <c r="N441"/>
      <c r="O441" s="170"/>
      <c r="P441" s="171"/>
      <c r="Q441" s="170"/>
      <c r="R441"/>
      <c r="S441" s="170"/>
      <c r="T441" s="171"/>
      <c r="U441" s="170"/>
      <c r="V441"/>
      <c r="W441" s="170"/>
      <c r="X441" s="170"/>
      <c r="Y441" s="174"/>
      <c r="Z441"/>
      <c r="AA441" s="170"/>
      <c r="AB441" s="171"/>
      <c r="AC441" s="174"/>
      <c r="AD441"/>
      <c r="AE441" s="170"/>
      <c r="AF441" s="170"/>
      <c r="AG441" s="170"/>
      <c r="AH441"/>
      <c r="AI441" s="170"/>
      <c r="AJ441" s="171"/>
      <c r="AK441" s="170"/>
      <c r="AL441"/>
      <c r="AM441" s="170"/>
      <c r="AN441" s="170"/>
      <c r="AO441" s="170"/>
      <c r="AP441"/>
      <c r="AQ441" s="170"/>
      <c r="AR441" s="170"/>
      <c r="AS441" s="174"/>
      <c r="AT441"/>
      <c r="AU441" s="170"/>
      <c r="AV441" s="170"/>
      <c r="AW441" s="170"/>
    </row>
    <row r="442" spans="2:49" hidden="1" x14ac:dyDescent="0.25">
      <c r="B442"/>
      <c r="C442" s="170"/>
      <c r="D442" s="171"/>
      <c r="E442" s="170"/>
      <c r="F442"/>
      <c r="G442" s="172"/>
      <c r="H442" s="173"/>
      <c r="I442" s="172"/>
      <c r="J442"/>
      <c r="K442" s="170"/>
      <c r="L442" s="171"/>
      <c r="M442" s="170"/>
      <c r="N442"/>
      <c r="O442" s="170"/>
      <c r="P442" s="171"/>
      <c r="Q442" s="170"/>
      <c r="R442"/>
      <c r="S442" s="170"/>
      <c r="T442" s="171"/>
      <c r="U442" s="170"/>
      <c r="V442"/>
      <c r="W442" s="170"/>
      <c r="X442" s="170"/>
      <c r="Y442" s="174"/>
      <c r="Z442"/>
      <c r="AA442" s="170"/>
      <c r="AB442" s="171"/>
      <c r="AC442" s="174"/>
      <c r="AD442"/>
      <c r="AE442" s="170"/>
      <c r="AF442" s="170"/>
      <c r="AG442" s="170"/>
      <c r="AH442"/>
      <c r="AI442" s="170"/>
      <c r="AJ442" s="171"/>
      <c r="AK442" s="170"/>
      <c r="AL442"/>
      <c r="AM442" s="170"/>
      <c r="AN442" s="170"/>
      <c r="AO442" s="170"/>
      <c r="AP442"/>
      <c r="AQ442" s="170"/>
      <c r="AR442" s="170"/>
      <c r="AS442" s="174"/>
      <c r="AT442"/>
      <c r="AU442" s="170"/>
      <c r="AV442" s="170"/>
      <c r="AW442" s="170"/>
    </row>
    <row r="443" spans="2:49" hidden="1" x14ac:dyDescent="0.25">
      <c r="B443"/>
      <c r="C443" s="170"/>
      <c r="D443" s="171"/>
      <c r="E443" s="170"/>
      <c r="F443"/>
      <c r="G443" s="172"/>
      <c r="H443" s="173"/>
      <c r="I443" s="172"/>
      <c r="J443"/>
      <c r="K443" s="170"/>
      <c r="L443" s="171"/>
      <c r="M443" s="170"/>
      <c r="N443"/>
      <c r="O443" s="170"/>
      <c r="P443" s="171"/>
      <c r="Q443" s="170"/>
      <c r="R443"/>
      <c r="S443" s="170"/>
      <c r="T443" s="171"/>
      <c r="U443" s="170"/>
      <c r="V443"/>
      <c r="W443" s="170"/>
      <c r="X443" s="170"/>
      <c r="Y443" s="174"/>
      <c r="Z443"/>
      <c r="AA443" s="170"/>
      <c r="AB443" s="171"/>
      <c r="AC443" s="174"/>
      <c r="AD443"/>
      <c r="AE443" s="170"/>
      <c r="AF443" s="170"/>
      <c r="AG443" s="170"/>
      <c r="AH443"/>
      <c r="AI443" s="170"/>
      <c r="AJ443" s="171"/>
      <c r="AK443" s="170"/>
      <c r="AL443"/>
      <c r="AM443" s="170"/>
      <c r="AN443" s="170"/>
      <c r="AO443" s="170"/>
      <c r="AP443"/>
      <c r="AQ443" s="170"/>
      <c r="AR443" s="170"/>
      <c r="AS443" s="174"/>
      <c r="AT443"/>
      <c r="AU443" s="170"/>
      <c r="AV443" s="170"/>
      <c r="AW443" s="170"/>
    </row>
    <row r="444" spans="2:49" hidden="1" x14ac:dyDescent="0.25">
      <c r="B444"/>
      <c r="C444" s="170"/>
      <c r="D444" s="171"/>
      <c r="E444" s="170"/>
      <c r="F444"/>
      <c r="G444" s="172"/>
      <c r="H444" s="173"/>
      <c r="I444" s="172"/>
      <c r="J444"/>
      <c r="K444" s="170"/>
      <c r="L444" s="171"/>
      <c r="M444" s="170"/>
      <c r="N444"/>
      <c r="O444" s="170"/>
      <c r="P444" s="171"/>
      <c r="Q444" s="170"/>
      <c r="R444"/>
      <c r="S444" s="170"/>
      <c r="T444" s="171"/>
      <c r="U444" s="170"/>
      <c r="V444"/>
      <c r="W444" s="170"/>
      <c r="X444" s="170"/>
      <c r="Y444" s="174"/>
      <c r="Z444"/>
      <c r="AA444" s="170"/>
      <c r="AB444" s="171"/>
      <c r="AC444" s="174"/>
      <c r="AD444"/>
      <c r="AE444" s="170"/>
      <c r="AF444" s="170"/>
      <c r="AG444" s="170"/>
      <c r="AH444"/>
      <c r="AI444" s="170"/>
      <c r="AJ444" s="171"/>
      <c r="AK444" s="170"/>
      <c r="AL444"/>
      <c r="AM444" s="170"/>
      <c r="AN444" s="170"/>
      <c r="AO444" s="170"/>
      <c r="AP444"/>
      <c r="AQ444" s="170"/>
      <c r="AR444" s="170"/>
      <c r="AS444" s="174"/>
      <c r="AT444"/>
      <c r="AU444" s="170"/>
      <c r="AV444" s="170"/>
      <c r="AW444" s="170"/>
    </row>
    <row r="445" spans="2:49" hidden="1" x14ac:dyDescent="0.25">
      <c r="B445"/>
      <c r="C445" s="170"/>
      <c r="D445" s="171"/>
      <c r="E445" s="170"/>
      <c r="F445"/>
      <c r="G445" s="172"/>
      <c r="H445" s="173"/>
      <c r="I445" s="172"/>
      <c r="J445"/>
      <c r="K445" s="170"/>
      <c r="L445" s="171"/>
      <c r="M445" s="170"/>
      <c r="N445"/>
      <c r="O445" s="170"/>
      <c r="P445" s="171"/>
      <c r="Q445" s="170"/>
      <c r="R445"/>
      <c r="S445" s="170"/>
      <c r="T445" s="171"/>
      <c r="U445" s="170"/>
      <c r="V445"/>
      <c r="W445" s="170"/>
      <c r="X445" s="170"/>
      <c r="Y445" s="174"/>
      <c r="Z445"/>
      <c r="AA445" s="170"/>
      <c r="AB445" s="171"/>
      <c r="AC445" s="174"/>
      <c r="AD445"/>
      <c r="AE445" s="170"/>
      <c r="AF445" s="170"/>
      <c r="AG445" s="170"/>
      <c r="AH445"/>
      <c r="AI445" s="170"/>
      <c r="AJ445" s="171"/>
      <c r="AK445" s="170"/>
      <c r="AL445"/>
      <c r="AM445" s="170"/>
      <c r="AN445" s="170"/>
      <c r="AO445" s="170"/>
      <c r="AP445"/>
      <c r="AQ445" s="170"/>
      <c r="AR445" s="170"/>
      <c r="AS445" s="174"/>
      <c r="AT445"/>
      <c r="AU445" s="170"/>
      <c r="AV445" s="170"/>
      <c r="AW445" s="170"/>
    </row>
    <row r="446" spans="2:49" hidden="1" x14ac:dyDescent="0.25">
      <c r="B446"/>
      <c r="C446" s="170"/>
      <c r="D446" s="171"/>
      <c r="E446" s="170"/>
      <c r="F446"/>
      <c r="G446" s="172"/>
      <c r="H446" s="173"/>
      <c r="I446" s="172"/>
      <c r="J446"/>
      <c r="K446" s="170"/>
      <c r="L446" s="171"/>
      <c r="M446" s="170"/>
      <c r="N446"/>
      <c r="O446" s="170"/>
      <c r="P446" s="171"/>
      <c r="Q446" s="170"/>
      <c r="R446"/>
      <c r="S446" s="170"/>
      <c r="T446" s="171"/>
      <c r="U446" s="170"/>
      <c r="V446"/>
      <c r="W446" s="170"/>
      <c r="X446" s="170"/>
      <c r="Y446" s="174"/>
      <c r="Z446"/>
      <c r="AA446" s="170"/>
      <c r="AB446" s="171"/>
      <c r="AC446" s="174"/>
      <c r="AD446"/>
      <c r="AE446" s="170"/>
      <c r="AF446" s="170"/>
      <c r="AG446" s="170"/>
      <c r="AH446"/>
      <c r="AI446" s="170"/>
      <c r="AJ446" s="171"/>
      <c r="AK446" s="170"/>
      <c r="AL446"/>
      <c r="AM446" s="170"/>
      <c r="AN446" s="170"/>
      <c r="AO446" s="170"/>
      <c r="AP446"/>
      <c r="AQ446" s="170"/>
      <c r="AR446" s="170"/>
      <c r="AS446" s="174"/>
      <c r="AT446"/>
      <c r="AU446" s="170"/>
      <c r="AV446" s="170"/>
      <c r="AW446" s="170"/>
    </row>
    <row r="447" spans="2:49" hidden="1" x14ac:dyDescent="0.25">
      <c r="B447"/>
      <c r="C447" s="170"/>
      <c r="D447" s="171"/>
      <c r="E447" s="170"/>
      <c r="F447"/>
      <c r="G447" s="172"/>
      <c r="H447" s="173"/>
      <c r="I447" s="172"/>
      <c r="J447"/>
      <c r="K447" s="170"/>
      <c r="L447" s="171"/>
      <c r="M447" s="170"/>
      <c r="N447"/>
      <c r="O447" s="170"/>
      <c r="P447" s="171"/>
      <c r="Q447" s="170"/>
      <c r="R447"/>
      <c r="S447" s="170"/>
      <c r="T447" s="171"/>
      <c r="U447" s="170"/>
      <c r="V447"/>
      <c r="W447" s="170"/>
      <c r="X447" s="170"/>
      <c r="Y447" s="174"/>
      <c r="Z447"/>
      <c r="AA447" s="170"/>
      <c r="AB447" s="171"/>
      <c r="AC447" s="174"/>
      <c r="AD447"/>
      <c r="AE447" s="170"/>
      <c r="AF447" s="170"/>
      <c r="AG447" s="170"/>
      <c r="AH447"/>
      <c r="AI447" s="170"/>
      <c r="AJ447" s="171"/>
      <c r="AK447" s="170"/>
      <c r="AL447"/>
      <c r="AM447" s="170"/>
      <c r="AN447" s="170"/>
      <c r="AO447" s="170"/>
      <c r="AP447"/>
      <c r="AQ447" s="170"/>
      <c r="AR447" s="170"/>
      <c r="AS447" s="174"/>
      <c r="AT447"/>
      <c r="AU447" s="170"/>
      <c r="AV447" s="170"/>
      <c r="AW447" s="170"/>
    </row>
    <row r="448" spans="2:49" hidden="1" x14ac:dyDescent="0.25">
      <c r="B448"/>
      <c r="C448" s="170"/>
      <c r="D448" s="171"/>
      <c r="E448" s="170"/>
      <c r="F448"/>
      <c r="G448" s="172"/>
      <c r="H448" s="173"/>
      <c r="I448" s="172"/>
      <c r="J448"/>
      <c r="K448" s="170"/>
      <c r="L448" s="171"/>
      <c r="M448" s="170"/>
      <c r="N448"/>
      <c r="O448" s="170"/>
      <c r="P448" s="171"/>
      <c r="Q448" s="170"/>
      <c r="R448"/>
      <c r="S448" s="170"/>
      <c r="T448" s="171"/>
      <c r="U448" s="170"/>
      <c r="V448"/>
      <c r="W448" s="170"/>
      <c r="X448" s="170"/>
      <c r="Y448" s="174"/>
      <c r="Z448"/>
      <c r="AA448" s="170"/>
      <c r="AB448" s="171"/>
      <c r="AC448" s="174"/>
      <c r="AD448"/>
      <c r="AE448" s="170"/>
      <c r="AF448" s="170"/>
      <c r="AG448" s="170"/>
      <c r="AH448"/>
      <c r="AI448" s="170"/>
      <c r="AJ448" s="171"/>
      <c r="AK448" s="170"/>
      <c r="AL448"/>
      <c r="AM448" s="170"/>
      <c r="AN448" s="170"/>
      <c r="AO448" s="170"/>
      <c r="AP448"/>
      <c r="AQ448" s="170"/>
      <c r="AR448" s="170"/>
      <c r="AS448" s="174"/>
      <c r="AT448"/>
      <c r="AU448" s="170"/>
      <c r="AV448" s="170"/>
      <c r="AW448" s="170"/>
    </row>
    <row r="449" spans="2:49" hidden="1" x14ac:dyDescent="0.25">
      <c r="B449"/>
      <c r="C449" s="170"/>
      <c r="D449" s="171"/>
      <c r="E449" s="170"/>
      <c r="F449"/>
      <c r="G449" s="172"/>
      <c r="H449" s="173"/>
      <c r="I449" s="172"/>
      <c r="J449"/>
      <c r="K449" s="170"/>
      <c r="L449" s="171"/>
      <c r="M449" s="170"/>
      <c r="N449"/>
      <c r="O449" s="170"/>
      <c r="P449" s="171"/>
      <c r="Q449" s="170"/>
      <c r="R449"/>
      <c r="S449" s="170"/>
      <c r="T449" s="171"/>
      <c r="U449" s="170"/>
      <c r="V449"/>
      <c r="W449" s="170"/>
      <c r="X449" s="170"/>
      <c r="Y449" s="174"/>
      <c r="Z449"/>
      <c r="AA449" s="170"/>
      <c r="AB449" s="171"/>
      <c r="AC449" s="174"/>
      <c r="AD449"/>
      <c r="AE449" s="170"/>
      <c r="AF449" s="170"/>
      <c r="AG449" s="170"/>
      <c r="AH449"/>
      <c r="AI449" s="170"/>
      <c r="AJ449" s="171"/>
      <c r="AK449" s="170"/>
      <c r="AL449"/>
      <c r="AM449" s="170"/>
      <c r="AN449" s="170"/>
      <c r="AO449" s="170"/>
      <c r="AP449"/>
      <c r="AQ449" s="170"/>
      <c r="AR449" s="170"/>
      <c r="AS449" s="174"/>
      <c r="AT449"/>
      <c r="AU449" s="170"/>
      <c r="AV449" s="170"/>
      <c r="AW449" s="170"/>
    </row>
    <row r="450" spans="2:49" hidden="1" x14ac:dyDescent="0.25">
      <c r="B450"/>
      <c r="C450" s="170"/>
      <c r="D450" s="171"/>
      <c r="E450" s="170"/>
      <c r="F450"/>
      <c r="G450" s="172"/>
      <c r="H450" s="173"/>
      <c r="I450" s="172"/>
      <c r="J450"/>
      <c r="K450" s="170"/>
      <c r="L450" s="171"/>
      <c r="M450" s="170"/>
      <c r="N450"/>
      <c r="O450" s="170"/>
      <c r="P450" s="171"/>
      <c r="Q450" s="170"/>
      <c r="R450"/>
      <c r="S450" s="170"/>
      <c r="T450" s="171"/>
      <c r="U450" s="170"/>
      <c r="V450"/>
      <c r="W450" s="170"/>
      <c r="X450" s="170"/>
      <c r="Y450" s="174"/>
      <c r="Z450"/>
      <c r="AA450" s="170"/>
      <c r="AB450" s="171"/>
      <c r="AC450" s="174"/>
      <c r="AD450"/>
      <c r="AE450" s="170"/>
      <c r="AF450" s="170"/>
      <c r="AG450" s="170"/>
      <c r="AH450"/>
      <c r="AI450" s="170"/>
      <c r="AJ450" s="171"/>
      <c r="AK450" s="170"/>
      <c r="AL450"/>
      <c r="AM450" s="170"/>
      <c r="AN450" s="170"/>
      <c r="AO450" s="170"/>
      <c r="AP450"/>
      <c r="AQ450" s="170"/>
      <c r="AR450" s="170"/>
      <c r="AS450" s="174"/>
      <c r="AT450"/>
      <c r="AU450" s="170"/>
      <c r="AV450" s="170"/>
      <c r="AW450" s="170"/>
    </row>
    <row r="451" spans="2:49" hidden="1" x14ac:dyDescent="0.25">
      <c r="B451"/>
      <c r="C451" s="170"/>
      <c r="D451" s="171"/>
      <c r="E451" s="170"/>
      <c r="F451"/>
      <c r="G451" s="172"/>
      <c r="H451" s="173"/>
      <c r="I451" s="172"/>
      <c r="J451"/>
      <c r="K451" s="170"/>
      <c r="L451" s="171"/>
      <c r="M451" s="170"/>
      <c r="N451"/>
      <c r="O451" s="170"/>
      <c r="P451" s="171"/>
      <c r="Q451" s="170"/>
      <c r="R451"/>
      <c r="S451" s="170"/>
      <c r="T451" s="171"/>
      <c r="U451" s="170"/>
      <c r="V451"/>
      <c r="W451" s="170"/>
      <c r="X451" s="170"/>
      <c r="Y451" s="174"/>
      <c r="Z451"/>
      <c r="AA451" s="170"/>
      <c r="AB451" s="171"/>
      <c r="AC451" s="174"/>
      <c r="AD451"/>
      <c r="AE451" s="170"/>
      <c r="AF451" s="170"/>
      <c r="AG451" s="170"/>
      <c r="AH451"/>
      <c r="AI451" s="170"/>
      <c r="AJ451" s="171"/>
      <c r="AK451" s="170"/>
      <c r="AL451"/>
      <c r="AM451" s="170"/>
      <c r="AN451" s="170"/>
      <c r="AO451" s="170"/>
      <c r="AP451"/>
      <c r="AQ451" s="170"/>
      <c r="AR451" s="170"/>
      <c r="AS451" s="174"/>
      <c r="AT451"/>
      <c r="AU451" s="170"/>
      <c r="AV451" s="170"/>
      <c r="AW451" s="170"/>
    </row>
    <row r="452" spans="2:49" hidden="1" x14ac:dyDescent="0.25">
      <c r="B452"/>
      <c r="C452" s="170"/>
      <c r="D452" s="171"/>
      <c r="E452" s="170"/>
      <c r="F452"/>
      <c r="G452" s="172"/>
      <c r="H452" s="173"/>
      <c r="I452" s="172"/>
      <c r="J452"/>
      <c r="K452" s="170"/>
      <c r="L452" s="171"/>
      <c r="M452" s="170"/>
      <c r="N452"/>
      <c r="O452" s="170"/>
      <c r="P452" s="171"/>
      <c r="Q452" s="170"/>
      <c r="R452"/>
      <c r="S452" s="170"/>
      <c r="T452" s="171"/>
      <c r="U452" s="170"/>
      <c r="V452"/>
      <c r="W452" s="170"/>
      <c r="X452" s="170"/>
      <c r="Y452" s="174"/>
      <c r="Z452"/>
      <c r="AA452" s="170"/>
      <c r="AB452" s="171"/>
      <c r="AC452" s="174"/>
      <c r="AD452"/>
      <c r="AE452" s="170"/>
      <c r="AF452" s="170"/>
      <c r="AG452" s="170"/>
      <c r="AH452"/>
      <c r="AI452" s="170"/>
      <c r="AJ452" s="171"/>
      <c r="AK452" s="170"/>
      <c r="AL452"/>
      <c r="AM452" s="170"/>
      <c r="AN452" s="170"/>
      <c r="AO452" s="170"/>
      <c r="AP452"/>
      <c r="AQ452" s="170"/>
      <c r="AR452" s="170"/>
      <c r="AS452" s="174"/>
      <c r="AT452"/>
      <c r="AU452" s="170"/>
      <c r="AV452" s="170"/>
      <c r="AW452" s="170"/>
    </row>
    <row r="453" spans="2:49" hidden="1" x14ac:dyDescent="0.25">
      <c r="B453"/>
      <c r="C453" s="170"/>
      <c r="D453" s="171"/>
      <c r="E453" s="170"/>
      <c r="F453"/>
      <c r="G453" s="172"/>
      <c r="H453" s="173"/>
      <c r="I453" s="172"/>
      <c r="J453"/>
      <c r="K453" s="170"/>
      <c r="L453" s="171"/>
      <c r="M453" s="170"/>
      <c r="N453"/>
      <c r="O453" s="170"/>
      <c r="P453" s="171"/>
      <c r="Q453" s="170"/>
      <c r="R453"/>
      <c r="S453" s="170"/>
      <c r="T453" s="171"/>
      <c r="U453" s="170"/>
      <c r="V453"/>
      <c r="W453" s="170"/>
      <c r="X453" s="170"/>
      <c r="Y453" s="174"/>
      <c r="Z453"/>
      <c r="AA453" s="170"/>
      <c r="AB453" s="171"/>
      <c r="AC453" s="174"/>
      <c r="AD453"/>
      <c r="AE453" s="170"/>
      <c r="AF453" s="170"/>
      <c r="AG453" s="170"/>
      <c r="AH453"/>
      <c r="AI453" s="170"/>
      <c r="AJ453" s="171"/>
      <c r="AK453" s="170"/>
      <c r="AL453"/>
      <c r="AM453" s="170"/>
      <c r="AN453" s="170"/>
      <c r="AO453" s="170"/>
      <c r="AP453"/>
      <c r="AQ453" s="170"/>
      <c r="AR453" s="170"/>
      <c r="AS453" s="174"/>
      <c r="AT453"/>
      <c r="AU453" s="170"/>
      <c r="AV453" s="170"/>
      <c r="AW453" s="170"/>
    </row>
    <row r="454" spans="2:49" hidden="1" x14ac:dyDescent="0.25">
      <c r="B454"/>
      <c r="C454" s="170"/>
      <c r="D454" s="171"/>
      <c r="E454" s="170"/>
      <c r="F454"/>
      <c r="G454" s="172"/>
      <c r="H454" s="173"/>
      <c r="I454" s="172"/>
      <c r="J454"/>
      <c r="K454" s="170"/>
      <c r="L454" s="171"/>
      <c r="M454" s="170"/>
      <c r="N454"/>
      <c r="O454" s="170"/>
      <c r="P454" s="171"/>
      <c r="Q454" s="170"/>
      <c r="R454"/>
      <c r="S454" s="170"/>
      <c r="T454" s="171"/>
      <c r="U454" s="170"/>
      <c r="V454"/>
      <c r="W454" s="170"/>
      <c r="X454" s="170"/>
      <c r="Y454" s="174"/>
      <c r="Z454"/>
      <c r="AA454" s="170"/>
      <c r="AB454" s="171"/>
      <c r="AC454" s="174"/>
      <c r="AD454"/>
      <c r="AE454" s="170"/>
      <c r="AF454" s="170"/>
      <c r="AG454" s="170"/>
      <c r="AH454"/>
      <c r="AI454" s="170"/>
      <c r="AJ454" s="171"/>
      <c r="AK454" s="170"/>
      <c r="AL454"/>
      <c r="AM454" s="170"/>
      <c r="AN454" s="170"/>
      <c r="AO454" s="170"/>
      <c r="AP454"/>
      <c r="AQ454" s="170"/>
      <c r="AR454" s="170"/>
      <c r="AS454" s="174"/>
      <c r="AT454"/>
      <c r="AU454" s="170"/>
      <c r="AV454" s="170"/>
      <c r="AW454" s="170"/>
    </row>
    <row r="455" spans="2:49" hidden="1" x14ac:dyDescent="0.25">
      <c r="B455"/>
      <c r="C455" s="170"/>
      <c r="D455" s="171"/>
      <c r="E455" s="170"/>
      <c r="F455"/>
      <c r="G455" s="172"/>
      <c r="H455" s="173"/>
      <c r="I455" s="172"/>
      <c r="J455"/>
      <c r="K455" s="170"/>
      <c r="L455" s="171"/>
      <c r="M455" s="170"/>
      <c r="N455"/>
      <c r="O455" s="170"/>
      <c r="P455" s="171"/>
      <c r="Q455" s="170"/>
      <c r="R455"/>
      <c r="S455" s="170"/>
      <c r="T455" s="171"/>
      <c r="U455" s="170"/>
      <c r="V455"/>
      <c r="W455" s="170"/>
      <c r="X455" s="170"/>
      <c r="Y455" s="174"/>
      <c r="Z455"/>
      <c r="AA455" s="170"/>
      <c r="AB455" s="171"/>
      <c r="AC455" s="174"/>
      <c r="AD455"/>
      <c r="AE455" s="170"/>
      <c r="AF455" s="170"/>
      <c r="AG455" s="170"/>
      <c r="AH455"/>
      <c r="AI455" s="170"/>
      <c r="AJ455" s="171"/>
      <c r="AK455" s="170"/>
      <c r="AL455"/>
      <c r="AM455" s="170"/>
      <c r="AN455" s="170"/>
      <c r="AO455" s="170"/>
      <c r="AP455"/>
      <c r="AQ455" s="170"/>
      <c r="AR455" s="170"/>
      <c r="AS455" s="174"/>
      <c r="AT455"/>
      <c r="AU455" s="170"/>
      <c r="AV455" s="170"/>
      <c r="AW455" s="170"/>
    </row>
    <row r="456" spans="2:49" hidden="1" x14ac:dyDescent="0.25">
      <c r="B456"/>
      <c r="C456" s="170"/>
      <c r="D456" s="171"/>
      <c r="E456" s="170"/>
      <c r="F456"/>
      <c r="G456" s="172"/>
      <c r="H456" s="173"/>
      <c r="I456" s="172"/>
      <c r="J456"/>
      <c r="K456" s="170"/>
      <c r="L456" s="171"/>
      <c r="M456" s="170"/>
      <c r="N456"/>
      <c r="O456" s="170"/>
      <c r="P456" s="171"/>
      <c r="Q456" s="170"/>
      <c r="R456"/>
      <c r="S456" s="170"/>
      <c r="T456" s="171"/>
      <c r="U456" s="170"/>
      <c r="V456"/>
      <c r="W456" s="170"/>
      <c r="X456" s="170"/>
      <c r="Y456" s="174"/>
      <c r="Z456"/>
      <c r="AA456" s="170"/>
      <c r="AB456" s="171"/>
      <c r="AC456" s="174"/>
      <c r="AD456"/>
      <c r="AE456" s="170"/>
      <c r="AF456" s="170"/>
      <c r="AG456" s="170"/>
      <c r="AH456"/>
      <c r="AI456" s="170"/>
      <c r="AJ456" s="171"/>
      <c r="AK456" s="170"/>
      <c r="AL456"/>
      <c r="AM456" s="170"/>
      <c r="AN456" s="170"/>
      <c r="AO456" s="170"/>
      <c r="AP456"/>
      <c r="AQ456" s="170"/>
      <c r="AR456" s="170"/>
      <c r="AS456" s="174"/>
      <c r="AT456"/>
      <c r="AU456" s="170"/>
      <c r="AV456" s="170"/>
      <c r="AW456" s="170"/>
    </row>
    <row r="457" spans="2:49" hidden="1" x14ac:dyDescent="0.25">
      <c r="B457"/>
      <c r="C457" s="170"/>
      <c r="D457" s="171"/>
      <c r="E457" s="170"/>
      <c r="F457"/>
      <c r="G457" s="172"/>
      <c r="H457" s="173"/>
      <c r="I457" s="172"/>
      <c r="J457"/>
      <c r="K457" s="170"/>
      <c r="L457" s="171"/>
      <c r="M457" s="170"/>
      <c r="N457"/>
      <c r="O457" s="170"/>
      <c r="P457" s="171"/>
      <c r="Q457" s="170"/>
      <c r="R457"/>
      <c r="S457" s="170"/>
      <c r="T457" s="171"/>
      <c r="U457" s="170"/>
      <c r="V457"/>
      <c r="W457" s="170"/>
      <c r="X457" s="170"/>
      <c r="Y457" s="174"/>
      <c r="Z457"/>
      <c r="AA457" s="170"/>
      <c r="AB457" s="171"/>
      <c r="AC457" s="174"/>
      <c r="AD457"/>
      <c r="AE457" s="170"/>
      <c r="AF457" s="170"/>
      <c r="AG457" s="170"/>
      <c r="AH457"/>
      <c r="AI457" s="170"/>
      <c r="AJ457" s="171"/>
      <c r="AK457" s="170"/>
      <c r="AL457"/>
      <c r="AM457" s="170"/>
      <c r="AN457" s="170"/>
      <c r="AO457" s="170"/>
      <c r="AP457"/>
      <c r="AQ457" s="170"/>
      <c r="AR457" s="170"/>
      <c r="AS457" s="174"/>
      <c r="AT457"/>
      <c r="AU457" s="170"/>
      <c r="AV457" s="170"/>
      <c r="AW457" s="170"/>
    </row>
    <row r="458" spans="2:49" hidden="1" x14ac:dyDescent="0.25">
      <c r="B458"/>
      <c r="C458" s="170"/>
      <c r="D458" s="171"/>
      <c r="E458" s="170"/>
      <c r="F458"/>
      <c r="G458" s="172"/>
      <c r="H458" s="173"/>
      <c r="I458" s="172"/>
      <c r="J458"/>
      <c r="K458" s="170"/>
      <c r="L458" s="171"/>
      <c r="M458" s="170"/>
      <c r="N458"/>
      <c r="O458" s="170"/>
      <c r="P458" s="171"/>
      <c r="Q458" s="170"/>
      <c r="R458"/>
      <c r="S458" s="170"/>
      <c r="T458" s="171"/>
      <c r="U458" s="170"/>
      <c r="V458"/>
      <c r="W458" s="170"/>
      <c r="X458" s="170"/>
      <c r="Y458" s="174"/>
      <c r="Z458"/>
      <c r="AA458" s="170"/>
      <c r="AB458" s="171"/>
      <c r="AC458" s="174"/>
      <c r="AD458"/>
      <c r="AE458" s="170"/>
      <c r="AF458" s="170"/>
      <c r="AG458" s="170"/>
      <c r="AH458"/>
      <c r="AI458" s="170"/>
      <c r="AJ458" s="171"/>
      <c r="AK458" s="170"/>
      <c r="AL458"/>
      <c r="AM458" s="170"/>
      <c r="AN458" s="170"/>
      <c r="AO458" s="170"/>
      <c r="AP458"/>
      <c r="AQ458" s="170"/>
      <c r="AR458" s="170"/>
      <c r="AS458" s="174"/>
      <c r="AT458"/>
      <c r="AU458" s="170"/>
      <c r="AV458" s="170"/>
      <c r="AW458" s="170"/>
    </row>
    <row r="459" spans="2:49" hidden="1" x14ac:dyDescent="0.25">
      <c r="B459"/>
      <c r="C459" s="170"/>
      <c r="D459" s="171"/>
      <c r="E459" s="170"/>
      <c r="F459"/>
      <c r="G459" s="172"/>
      <c r="H459" s="173"/>
      <c r="I459" s="172"/>
      <c r="J459"/>
      <c r="K459" s="170"/>
      <c r="L459" s="171"/>
      <c r="M459" s="170"/>
      <c r="N459"/>
      <c r="O459" s="170"/>
      <c r="P459" s="171"/>
      <c r="Q459" s="170"/>
      <c r="R459"/>
      <c r="S459" s="170"/>
      <c r="T459" s="171"/>
      <c r="U459" s="170"/>
      <c r="V459"/>
      <c r="W459" s="170"/>
      <c r="X459" s="170"/>
      <c r="Y459" s="174"/>
      <c r="Z459"/>
      <c r="AA459" s="170"/>
      <c r="AB459" s="171"/>
      <c r="AC459" s="174"/>
      <c r="AD459"/>
      <c r="AE459" s="170"/>
      <c r="AF459" s="170"/>
      <c r="AG459" s="170"/>
      <c r="AH459"/>
      <c r="AI459" s="170"/>
      <c r="AJ459" s="171"/>
      <c r="AK459" s="170"/>
      <c r="AL459"/>
      <c r="AM459" s="170"/>
      <c r="AN459" s="170"/>
      <c r="AO459" s="170"/>
      <c r="AP459"/>
      <c r="AQ459" s="170"/>
      <c r="AR459" s="170"/>
      <c r="AS459" s="174"/>
      <c r="AT459"/>
      <c r="AU459" s="170"/>
      <c r="AV459" s="170"/>
      <c r="AW459" s="170"/>
    </row>
    <row r="460" spans="2:49" hidden="1" x14ac:dyDescent="0.25">
      <c r="B460"/>
      <c r="C460" s="170"/>
      <c r="D460" s="171"/>
      <c r="E460" s="170"/>
      <c r="F460"/>
      <c r="G460" s="172"/>
      <c r="H460" s="173"/>
      <c r="I460" s="172"/>
      <c r="J460"/>
      <c r="K460" s="170"/>
      <c r="L460" s="171"/>
      <c r="M460" s="170"/>
      <c r="N460"/>
      <c r="O460" s="170"/>
      <c r="P460" s="171"/>
      <c r="Q460" s="170"/>
      <c r="R460"/>
      <c r="S460" s="170"/>
      <c r="T460" s="171"/>
      <c r="U460" s="170"/>
      <c r="V460"/>
      <c r="W460" s="170"/>
      <c r="X460" s="170"/>
      <c r="Y460" s="174"/>
      <c r="Z460"/>
      <c r="AA460" s="170"/>
      <c r="AB460" s="171"/>
      <c r="AC460" s="174"/>
      <c r="AD460"/>
      <c r="AE460" s="170"/>
      <c r="AF460" s="170"/>
      <c r="AG460" s="170"/>
      <c r="AH460"/>
      <c r="AI460" s="170"/>
      <c r="AJ460" s="171"/>
      <c r="AK460" s="170"/>
      <c r="AL460"/>
      <c r="AM460" s="170"/>
      <c r="AN460" s="170"/>
      <c r="AO460" s="170"/>
      <c r="AP460"/>
      <c r="AQ460" s="170"/>
      <c r="AR460" s="170"/>
      <c r="AS460" s="174"/>
      <c r="AT460"/>
      <c r="AU460" s="170"/>
      <c r="AV460" s="170"/>
      <c r="AW460" s="170"/>
    </row>
    <row r="461" spans="2:49" hidden="1" x14ac:dyDescent="0.25">
      <c r="B461"/>
      <c r="C461" s="170"/>
      <c r="D461" s="171"/>
      <c r="E461" s="170"/>
      <c r="F461"/>
      <c r="G461" s="172"/>
      <c r="H461" s="173"/>
      <c r="I461" s="172"/>
      <c r="J461"/>
      <c r="K461" s="170"/>
      <c r="L461" s="171"/>
      <c r="M461" s="170"/>
      <c r="N461"/>
      <c r="O461" s="170"/>
      <c r="P461" s="171"/>
      <c r="Q461" s="170"/>
      <c r="R461"/>
      <c r="S461" s="170"/>
      <c r="T461" s="171"/>
      <c r="U461" s="170"/>
      <c r="V461"/>
      <c r="W461" s="170"/>
      <c r="X461" s="170"/>
      <c r="Y461" s="174"/>
      <c r="Z461"/>
      <c r="AA461" s="170"/>
      <c r="AB461" s="171"/>
      <c r="AC461" s="174"/>
      <c r="AD461"/>
      <c r="AE461" s="170"/>
      <c r="AF461" s="170"/>
      <c r="AG461" s="170"/>
      <c r="AH461"/>
      <c r="AI461" s="170"/>
      <c r="AJ461" s="171"/>
      <c r="AK461" s="170"/>
      <c r="AL461"/>
      <c r="AM461" s="170"/>
      <c r="AN461" s="170"/>
      <c r="AO461" s="170"/>
      <c r="AP461"/>
      <c r="AQ461" s="170"/>
      <c r="AR461" s="170"/>
      <c r="AS461" s="174"/>
      <c r="AT461"/>
      <c r="AU461" s="170"/>
      <c r="AV461" s="170"/>
      <c r="AW461" s="170"/>
    </row>
    <row r="462" spans="2:49" hidden="1" x14ac:dyDescent="0.25">
      <c r="B462"/>
      <c r="C462" s="170"/>
      <c r="D462" s="171"/>
      <c r="E462" s="170"/>
      <c r="F462"/>
      <c r="G462" s="172"/>
      <c r="H462" s="173"/>
      <c r="I462" s="172"/>
      <c r="J462"/>
      <c r="K462" s="170"/>
      <c r="L462" s="171"/>
      <c r="M462" s="170"/>
      <c r="N462"/>
      <c r="O462" s="170"/>
      <c r="P462" s="171"/>
      <c r="Q462" s="170"/>
      <c r="R462"/>
      <c r="S462" s="170"/>
      <c r="T462" s="171"/>
      <c r="U462" s="170"/>
      <c r="V462"/>
      <c r="W462" s="170"/>
      <c r="X462" s="170"/>
      <c r="Y462" s="174"/>
      <c r="Z462"/>
      <c r="AA462" s="170"/>
      <c r="AB462" s="171"/>
      <c r="AC462" s="174"/>
      <c r="AD462"/>
      <c r="AE462" s="170"/>
      <c r="AF462" s="170"/>
      <c r="AG462" s="170"/>
      <c r="AH462"/>
      <c r="AI462" s="170"/>
      <c r="AJ462" s="171"/>
      <c r="AK462" s="170"/>
      <c r="AL462"/>
      <c r="AM462" s="170"/>
      <c r="AN462" s="170"/>
      <c r="AO462" s="170"/>
      <c r="AP462"/>
      <c r="AQ462" s="170"/>
      <c r="AR462" s="170"/>
      <c r="AS462" s="174"/>
      <c r="AT462"/>
      <c r="AU462" s="170"/>
      <c r="AV462" s="170"/>
      <c r="AW462" s="170"/>
    </row>
    <row r="463" spans="2:49" hidden="1" x14ac:dyDescent="0.25">
      <c r="B463"/>
      <c r="C463" s="170"/>
      <c r="D463" s="171"/>
      <c r="E463" s="170"/>
      <c r="F463"/>
      <c r="G463" s="172"/>
      <c r="H463" s="173"/>
      <c r="I463" s="172"/>
      <c r="J463"/>
      <c r="K463" s="170"/>
      <c r="L463" s="171"/>
      <c r="M463" s="170"/>
      <c r="N463"/>
      <c r="O463" s="170"/>
      <c r="P463" s="171"/>
      <c r="Q463" s="170"/>
      <c r="R463"/>
      <c r="S463" s="170"/>
      <c r="T463" s="171"/>
      <c r="U463" s="170"/>
      <c r="V463"/>
      <c r="W463" s="170"/>
      <c r="X463" s="170"/>
      <c r="Y463" s="174"/>
      <c r="Z463"/>
      <c r="AA463" s="170"/>
      <c r="AB463" s="171"/>
      <c r="AC463" s="174"/>
      <c r="AD463"/>
      <c r="AE463" s="170"/>
      <c r="AF463" s="170"/>
      <c r="AG463" s="170"/>
      <c r="AH463"/>
      <c r="AI463" s="170"/>
      <c r="AJ463" s="171"/>
      <c r="AK463" s="170"/>
      <c r="AL463"/>
      <c r="AM463" s="170"/>
      <c r="AN463" s="170"/>
      <c r="AO463" s="170"/>
      <c r="AP463"/>
      <c r="AQ463" s="170"/>
      <c r="AR463" s="170"/>
      <c r="AS463" s="174"/>
      <c r="AT463"/>
      <c r="AU463" s="170"/>
      <c r="AV463" s="170"/>
      <c r="AW463" s="170"/>
    </row>
    <row r="464" spans="2:49" hidden="1" x14ac:dyDescent="0.25">
      <c r="B464"/>
      <c r="C464" s="170"/>
      <c r="D464" s="171"/>
      <c r="E464" s="170"/>
      <c r="F464"/>
      <c r="G464" s="172"/>
      <c r="H464" s="173"/>
      <c r="I464" s="172"/>
      <c r="J464"/>
      <c r="K464" s="170"/>
      <c r="L464" s="171"/>
      <c r="M464" s="170"/>
      <c r="N464"/>
      <c r="O464" s="170"/>
      <c r="P464" s="171"/>
      <c r="Q464" s="170"/>
      <c r="R464"/>
      <c r="S464" s="170"/>
      <c r="T464" s="171"/>
      <c r="U464" s="170"/>
      <c r="V464"/>
      <c r="W464" s="170"/>
      <c r="X464" s="170"/>
      <c r="Y464" s="174"/>
      <c r="Z464"/>
      <c r="AA464" s="170"/>
      <c r="AB464" s="171"/>
      <c r="AC464" s="174"/>
      <c r="AD464"/>
      <c r="AE464" s="170"/>
      <c r="AF464" s="170"/>
      <c r="AG464" s="170"/>
      <c r="AH464"/>
      <c r="AI464" s="170"/>
      <c r="AJ464" s="171"/>
      <c r="AK464" s="170"/>
      <c r="AL464"/>
      <c r="AM464" s="170"/>
      <c r="AN464" s="170"/>
      <c r="AO464" s="170"/>
      <c r="AP464"/>
      <c r="AQ464" s="170"/>
      <c r="AR464" s="170"/>
      <c r="AS464" s="174"/>
      <c r="AT464"/>
      <c r="AU464" s="170"/>
      <c r="AV464" s="170"/>
      <c r="AW464" s="170"/>
    </row>
    <row r="465" spans="2:49" hidden="1" x14ac:dyDescent="0.25">
      <c r="B465"/>
      <c r="C465" s="170"/>
      <c r="D465" s="171"/>
      <c r="E465" s="170"/>
      <c r="F465"/>
      <c r="G465" s="172"/>
      <c r="H465" s="173"/>
      <c r="I465" s="172"/>
      <c r="J465"/>
      <c r="K465" s="170"/>
      <c r="L465" s="171"/>
      <c r="M465" s="170"/>
      <c r="N465"/>
      <c r="O465" s="170"/>
      <c r="P465" s="171"/>
      <c r="Q465" s="170"/>
      <c r="R465"/>
      <c r="S465" s="170"/>
      <c r="T465" s="171"/>
      <c r="U465" s="170"/>
      <c r="V465"/>
      <c r="W465" s="170"/>
      <c r="X465" s="170"/>
      <c r="Y465" s="174"/>
      <c r="Z465"/>
      <c r="AA465" s="170"/>
      <c r="AB465" s="171"/>
      <c r="AC465" s="174"/>
      <c r="AD465"/>
      <c r="AE465" s="170"/>
      <c r="AF465" s="170"/>
      <c r="AG465" s="170"/>
      <c r="AH465"/>
      <c r="AI465" s="170"/>
      <c r="AJ465" s="171"/>
      <c r="AK465" s="170"/>
      <c r="AL465"/>
      <c r="AM465" s="170"/>
      <c r="AN465" s="170"/>
      <c r="AO465" s="170"/>
      <c r="AP465"/>
      <c r="AQ465" s="170"/>
      <c r="AR465" s="170"/>
      <c r="AS465" s="174"/>
      <c r="AT465"/>
      <c r="AU465" s="170"/>
      <c r="AV465" s="170"/>
      <c r="AW465" s="170"/>
    </row>
    <row r="466" spans="2:49" hidden="1" x14ac:dyDescent="0.25">
      <c r="B466"/>
      <c r="C466" s="170"/>
      <c r="D466" s="171"/>
      <c r="E466" s="170"/>
      <c r="F466"/>
      <c r="G466" s="172"/>
      <c r="H466" s="173"/>
      <c r="I466" s="172"/>
      <c r="J466"/>
      <c r="K466" s="170"/>
      <c r="L466" s="171"/>
      <c r="M466" s="170"/>
      <c r="N466"/>
      <c r="O466" s="170"/>
      <c r="P466" s="171"/>
      <c r="Q466" s="170"/>
      <c r="R466"/>
      <c r="S466" s="170"/>
      <c r="T466" s="171"/>
      <c r="U466" s="170"/>
      <c r="V466"/>
      <c r="W466" s="170"/>
      <c r="X466" s="170"/>
      <c r="Y466" s="174"/>
      <c r="Z466"/>
      <c r="AA466" s="170"/>
      <c r="AB466" s="171"/>
      <c r="AC466" s="174"/>
      <c r="AD466"/>
      <c r="AE466" s="170"/>
      <c r="AF466" s="170"/>
      <c r="AG466" s="170"/>
      <c r="AH466"/>
      <c r="AI466" s="170"/>
      <c r="AJ466" s="171"/>
      <c r="AK466" s="170"/>
      <c r="AL466"/>
      <c r="AM466" s="170"/>
      <c r="AN466" s="170"/>
      <c r="AO466" s="170"/>
      <c r="AP466"/>
      <c r="AQ466" s="170"/>
      <c r="AR466" s="170"/>
      <c r="AS466" s="174"/>
      <c r="AT466"/>
      <c r="AU466" s="170"/>
      <c r="AV466" s="170"/>
      <c r="AW466" s="170"/>
    </row>
    <row r="467" spans="2:49" hidden="1" x14ac:dyDescent="0.25">
      <c r="B467"/>
      <c r="C467" s="170"/>
      <c r="D467" s="171"/>
      <c r="E467" s="170"/>
      <c r="F467"/>
      <c r="G467" s="172"/>
      <c r="H467" s="173"/>
      <c r="I467" s="172"/>
      <c r="J467"/>
      <c r="K467" s="170"/>
      <c r="L467" s="171"/>
      <c r="M467" s="170"/>
      <c r="N467"/>
      <c r="O467" s="170"/>
      <c r="P467" s="171"/>
      <c r="Q467" s="170"/>
      <c r="R467"/>
      <c r="S467" s="170"/>
      <c r="T467" s="171"/>
      <c r="U467" s="170"/>
      <c r="V467"/>
      <c r="W467" s="170"/>
      <c r="X467" s="170"/>
      <c r="Y467" s="174"/>
      <c r="Z467"/>
      <c r="AA467" s="170"/>
      <c r="AB467" s="171"/>
      <c r="AC467" s="174"/>
      <c r="AD467"/>
      <c r="AE467" s="170"/>
      <c r="AF467" s="170"/>
      <c r="AG467" s="170"/>
      <c r="AH467"/>
      <c r="AI467" s="170"/>
      <c r="AJ467" s="171"/>
      <c r="AK467" s="170"/>
      <c r="AL467"/>
      <c r="AM467" s="170"/>
      <c r="AN467" s="170"/>
      <c r="AO467" s="170"/>
      <c r="AP467"/>
      <c r="AQ467" s="170"/>
      <c r="AR467" s="170"/>
      <c r="AS467" s="174"/>
      <c r="AT467"/>
      <c r="AU467" s="170"/>
      <c r="AV467" s="170"/>
      <c r="AW467" s="170"/>
    </row>
  </sheetData>
  <mergeCells count="28">
    <mergeCell ref="B2:AW2"/>
    <mergeCell ref="B3:AW3"/>
    <mergeCell ref="B4:AW4"/>
    <mergeCell ref="B6:AW6"/>
    <mergeCell ref="AP7:AS7"/>
    <mergeCell ref="AT7:AW7"/>
    <mergeCell ref="AL7:AO7"/>
    <mergeCell ref="B7:E7"/>
    <mergeCell ref="F7:I7"/>
    <mergeCell ref="J7:M7"/>
    <mergeCell ref="N7:Q7"/>
    <mergeCell ref="R7:U7"/>
    <mergeCell ref="V7:Y7"/>
    <mergeCell ref="Z7:AC7"/>
    <mergeCell ref="AD7:AG7"/>
    <mergeCell ref="AH7:AK7"/>
    <mergeCell ref="C40:E40"/>
    <mergeCell ref="F40:I40"/>
    <mergeCell ref="J40:M40"/>
    <mergeCell ref="N40:Q40"/>
    <mergeCell ref="R40:U40"/>
    <mergeCell ref="AP40:AS40"/>
    <mergeCell ref="AT40:AW40"/>
    <mergeCell ref="V40:Y40"/>
    <mergeCell ref="Z40:AC40"/>
    <mergeCell ref="AD40:AG40"/>
    <mergeCell ref="AH40:AK40"/>
    <mergeCell ref="AL40:AO4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8E4F-D0C9-4AD8-A8E1-E961D848BE04}">
  <sheetPr>
    <tabColor rgb="FFFFFF00"/>
  </sheetPr>
  <dimension ref="A1:BI105"/>
  <sheetViews>
    <sheetView topLeftCell="A47" zoomScale="90" zoomScaleNormal="90" workbookViewId="0">
      <selection activeCell="L1" sqref="L1:XFD1048576"/>
    </sheetView>
  </sheetViews>
  <sheetFormatPr baseColWidth="10" defaultColWidth="0" defaultRowHeight="15" zeroHeight="1" x14ac:dyDescent="0.25"/>
  <cols>
    <col min="1" max="1" width="8.28515625" customWidth="1"/>
    <col min="2" max="2" width="29" customWidth="1"/>
    <col min="3" max="3" width="16.7109375" style="7" customWidth="1"/>
    <col min="4" max="4" width="15.85546875" customWidth="1"/>
    <col min="5" max="5" width="18.140625" customWidth="1"/>
    <col min="6" max="6" width="16.85546875" customWidth="1"/>
    <col min="7" max="7" width="18.140625" customWidth="1"/>
    <col min="8" max="8" width="17.42578125" customWidth="1"/>
    <col min="9" max="9" width="15.140625" customWidth="1"/>
    <col min="10" max="10" width="16.5703125" customWidth="1"/>
    <col min="11" max="11" width="15.28515625" customWidth="1"/>
    <col min="12" max="12" width="26.28515625" hidden="1"/>
    <col min="13" max="13" width="18.85546875" hidden="1"/>
    <col min="62" max="16384" width="11.42578125" hidden="1"/>
  </cols>
  <sheetData>
    <row r="1" spans="1:61" x14ac:dyDescent="0.25">
      <c r="A1" s="37"/>
      <c r="B1" s="37"/>
      <c r="C1" s="35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</row>
    <row r="2" spans="1:61" x14ac:dyDescent="0.25">
      <c r="A2" s="37"/>
      <c r="B2" s="37"/>
      <c r="C2" s="35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</row>
    <row r="3" spans="1:61" x14ac:dyDescent="0.25">
      <c r="A3" s="37"/>
      <c r="B3" s="37"/>
      <c r="C3" s="3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</row>
    <row r="4" spans="1:61" ht="21" x14ac:dyDescent="0.35">
      <c r="A4" s="37"/>
      <c r="B4" s="1470" t="s">
        <v>73</v>
      </c>
      <c r="C4" s="1470"/>
      <c r="D4" s="1470"/>
      <c r="E4" s="1470"/>
      <c r="F4" s="1470"/>
      <c r="G4" s="1470"/>
      <c r="H4" s="1470"/>
      <c r="I4" s="1470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</row>
    <row r="5" spans="1:61" ht="21" x14ac:dyDescent="0.35">
      <c r="A5" s="37"/>
      <c r="B5" s="1470" t="s">
        <v>597</v>
      </c>
      <c r="C5" s="1470"/>
      <c r="D5" s="1470"/>
      <c r="E5" s="1470"/>
      <c r="F5" s="1470"/>
      <c r="G5" s="1470"/>
      <c r="H5" s="1470"/>
      <c r="I5" s="1470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</row>
    <row r="6" spans="1:61" ht="21" x14ac:dyDescent="0.35">
      <c r="A6" s="37"/>
      <c r="B6" s="1470" t="s">
        <v>598</v>
      </c>
      <c r="C6" s="1470"/>
      <c r="D6" s="1470"/>
      <c r="E6" s="1470"/>
      <c r="F6" s="1470"/>
      <c r="G6" s="1470"/>
      <c r="H6" s="1470"/>
      <c r="I6" s="1470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</row>
    <row r="7" spans="1:61" x14ac:dyDescent="0.25">
      <c r="A7" s="37"/>
      <c r="B7" s="37"/>
      <c r="C7" s="35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</row>
    <row r="8" spans="1:61" x14ac:dyDescent="0.25">
      <c r="A8" s="37"/>
      <c r="B8" s="37"/>
      <c r="C8" s="35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</row>
    <row r="9" spans="1:61" s="37" customFormat="1" x14ac:dyDescent="0.25">
      <c r="C9" s="35"/>
    </row>
    <row r="10" spans="1:61" ht="15.75" thickBot="1" x14ac:dyDescent="0.3">
      <c r="A10" s="37"/>
      <c r="B10" s="37"/>
      <c r="C10" s="35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</row>
    <row r="11" spans="1:61" ht="30" customHeight="1" thickBot="1" x14ac:dyDescent="0.3">
      <c r="A11" s="37"/>
      <c r="B11" s="1486" t="s">
        <v>401</v>
      </c>
      <c r="C11" s="1487"/>
      <c r="D11" s="1487"/>
      <c r="E11" s="1488"/>
      <c r="F11" s="37"/>
      <c r="G11" s="1558" t="s">
        <v>399</v>
      </c>
      <c r="H11" s="1559"/>
      <c r="I11" s="156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</row>
    <row r="12" spans="1:61" ht="40.5" customHeight="1" x14ac:dyDescent="0.25">
      <c r="A12" s="37"/>
      <c r="B12" s="347" t="s">
        <v>220</v>
      </c>
      <c r="C12" s="342" t="s">
        <v>222</v>
      </c>
      <c r="D12" s="44" t="s">
        <v>329</v>
      </c>
      <c r="E12" s="400" t="s">
        <v>216</v>
      </c>
      <c r="F12" s="37"/>
      <c r="G12" s="339" t="s">
        <v>220</v>
      </c>
      <c r="H12" s="340" t="s">
        <v>222</v>
      </c>
      <c r="I12" s="341" t="s">
        <v>216</v>
      </c>
      <c r="J12" s="22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</row>
    <row r="13" spans="1:61" ht="30" x14ac:dyDescent="0.25">
      <c r="A13" s="37"/>
      <c r="B13" s="585" t="s">
        <v>74</v>
      </c>
      <c r="C13" s="391">
        <v>1</v>
      </c>
      <c r="D13" s="391" t="s">
        <v>221</v>
      </c>
      <c r="E13" s="586" t="s">
        <v>217</v>
      </c>
      <c r="F13" s="147"/>
      <c r="G13" s="592" t="s">
        <v>75</v>
      </c>
      <c r="H13" s="391">
        <v>1</v>
      </c>
      <c r="I13" s="586" t="s">
        <v>217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</row>
    <row r="14" spans="1:61" ht="30" x14ac:dyDescent="0.25">
      <c r="A14" s="37"/>
      <c r="B14" s="585" t="s">
        <v>76</v>
      </c>
      <c r="C14" s="391" t="s">
        <v>95</v>
      </c>
      <c r="D14" s="391" t="s">
        <v>221</v>
      </c>
      <c r="E14" s="586" t="s">
        <v>221</v>
      </c>
      <c r="F14" s="147"/>
      <c r="G14" s="592" t="s">
        <v>77</v>
      </c>
      <c r="H14" s="343">
        <v>4200000</v>
      </c>
      <c r="I14" s="586" t="s">
        <v>223</v>
      </c>
      <c r="J14" s="103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</row>
    <row r="15" spans="1:61" x14ac:dyDescent="0.25">
      <c r="A15" s="37"/>
      <c r="B15" s="585" t="s">
        <v>328</v>
      </c>
      <c r="C15" s="391">
        <v>500</v>
      </c>
      <c r="D15" s="575">
        <v>1</v>
      </c>
      <c r="E15" s="586" t="s">
        <v>218</v>
      </c>
      <c r="F15" s="147"/>
      <c r="G15" s="593" t="s">
        <v>78</v>
      </c>
      <c r="H15" s="343">
        <f>+H14/C15</f>
        <v>8400</v>
      </c>
      <c r="I15" s="586" t="s">
        <v>223</v>
      </c>
      <c r="J15" s="103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</row>
    <row r="16" spans="1:61" ht="30.75" thickBot="1" x14ac:dyDescent="0.3">
      <c r="A16" s="37"/>
      <c r="B16" s="587" t="s">
        <v>330</v>
      </c>
      <c r="C16" s="577">
        <f>+$C$15*D16</f>
        <v>385</v>
      </c>
      <c r="D16" s="578">
        <v>0.77</v>
      </c>
      <c r="E16" s="586" t="s">
        <v>218</v>
      </c>
      <c r="F16" s="147"/>
      <c r="G16" s="594" t="s">
        <v>224</v>
      </c>
      <c r="H16" s="595">
        <f>+H15/2</f>
        <v>4200</v>
      </c>
      <c r="I16" s="596" t="s">
        <v>223</v>
      </c>
      <c r="J16" s="103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</row>
    <row r="17" spans="1:61" ht="30" x14ac:dyDescent="0.25">
      <c r="A17" s="37"/>
      <c r="B17" s="587" t="s">
        <v>331</v>
      </c>
      <c r="C17" s="577">
        <f t="shared" ref="C17:C18" si="0">+$C$15*D17</f>
        <v>100</v>
      </c>
      <c r="D17" s="578">
        <v>0.2</v>
      </c>
      <c r="E17" s="586" t="s">
        <v>218</v>
      </c>
      <c r="F17" s="147"/>
      <c r="G17" s="14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</row>
    <row r="18" spans="1:61" ht="15.75" thickBot="1" x14ac:dyDescent="0.3">
      <c r="A18" s="37"/>
      <c r="B18" s="588" t="s">
        <v>79</v>
      </c>
      <c r="C18" s="589">
        <f t="shared" si="0"/>
        <v>15</v>
      </c>
      <c r="D18" s="590">
        <v>0.03</v>
      </c>
      <c r="E18" s="591" t="s">
        <v>219</v>
      </c>
      <c r="F18" s="147"/>
      <c r="G18" s="147"/>
      <c r="H18" s="348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</row>
    <row r="19" spans="1:61" ht="15.75" thickBot="1" x14ac:dyDescent="0.3">
      <c r="A19" s="37"/>
      <c r="B19" s="37"/>
      <c r="C19" s="35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</row>
    <row r="20" spans="1:61" ht="15" customHeight="1" x14ac:dyDescent="0.25">
      <c r="A20" s="37"/>
      <c r="B20" s="1556" t="s">
        <v>398</v>
      </c>
      <c r="C20" s="1561"/>
      <c r="D20" s="1561"/>
      <c r="E20" s="1561"/>
      <c r="F20" s="1561"/>
      <c r="G20" s="1561"/>
      <c r="H20" s="1561"/>
      <c r="I20" s="1561"/>
      <c r="J20" s="1557"/>
      <c r="K20" s="37"/>
      <c r="L20" s="348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</row>
    <row r="21" spans="1:61" x14ac:dyDescent="0.25">
      <c r="A21" s="37"/>
      <c r="B21" s="1562"/>
      <c r="C21" s="1498"/>
      <c r="D21" s="1498"/>
      <c r="E21" s="1498"/>
      <c r="F21" s="1498"/>
      <c r="G21" s="1498"/>
      <c r="H21" s="1498"/>
      <c r="I21" s="1498"/>
      <c r="J21" s="1563"/>
      <c r="K21" s="580"/>
      <c r="L21" s="348"/>
      <c r="M21" s="348"/>
      <c r="N21" s="37"/>
      <c r="O21" s="103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</row>
    <row r="22" spans="1:61" s="7" customFormat="1" ht="60" x14ac:dyDescent="0.25">
      <c r="A22" s="35"/>
      <c r="B22" s="339" t="s">
        <v>80</v>
      </c>
      <c r="C22" s="340" t="s">
        <v>391</v>
      </c>
      <c r="D22" s="340" t="s">
        <v>393</v>
      </c>
      <c r="E22" s="340" t="s">
        <v>394</v>
      </c>
      <c r="F22" s="340" t="s">
        <v>392</v>
      </c>
      <c r="G22" s="340" t="s">
        <v>395</v>
      </c>
      <c r="H22" s="340" t="s">
        <v>396</v>
      </c>
      <c r="I22" s="340" t="s">
        <v>390</v>
      </c>
      <c r="J22" s="341" t="s">
        <v>397</v>
      </c>
      <c r="K22" s="470"/>
      <c r="L22" s="35"/>
      <c r="M22" s="35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</row>
    <row r="23" spans="1:61" ht="39" customHeight="1" x14ac:dyDescent="0.25">
      <c r="A23" s="37"/>
      <c r="B23" s="597" t="s">
        <v>225</v>
      </c>
      <c r="C23" s="577">
        <v>2</v>
      </c>
      <c r="D23" s="577">
        <v>18</v>
      </c>
      <c r="E23" s="577">
        <f>+C23*D23</f>
        <v>36</v>
      </c>
      <c r="F23" s="579">
        <f>+(E23*$D$16)/$C$16</f>
        <v>7.1999999999999995E-2</v>
      </c>
      <c r="G23" s="343">
        <f>+(F23*$H$15)+$H$15</f>
        <v>9004.7999999999993</v>
      </c>
      <c r="H23" s="343">
        <f t="shared" ref="H23:H41" si="1">+G23*E23</f>
        <v>324172.79999999999</v>
      </c>
      <c r="I23" s="104">
        <v>22000</v>
      </c>
      <c r="J23" s="598">
        <f t="shared" ref="J23:J41" si="2">+E23*I23</f>
        <v>792000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</row>
    <row r="24" spans="1:61" ht="26.25" customHeight="1" x14ac:dyDescent="0.25">
      <c r="A24" s="37"/>
      <c r="B24" s="597" t="s">
        <v>226</v>
      </c>
      <c r="C24" s="577">
        <v>2</v>
      </c>
      <c r="D24" s="577">
        <v>4</v>
      </c>
      <c r="E24" s="577">
        <f t="shared" ref="E24:E41" si="3">+C24*D24</f>
        <v>8</v>
      </c>
      <c r="F24" s="579">
        <f t="shared" ref="F24:F41" si="4">+(E24*$D$16)/$C$16</f>
        <v>1.6E-2</v>
      </c>
      <c r="G24" s="343">
        <f t="shared" ref="G24:G41" si="5">+(F24*$H$15)+$H$15</f>
        <v>8534.4</v>
      </c>
      <c r="H24" s="343">
        <f t="shared" si="1"/>
        <v>68275.199999999997</v>
      </c>
      <c r="I24" s="104">
        <v>20000</v>
      </c>
      <c r="J24" s="598">
        <f t="shared" si="2"/>
        <v>160000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</row>
    <row r="25" spans="1:61" ht="28.5" customHeight="1" x14ac:dyDescent="0.25">
      <c r="A25" s="37"/>
      <c r="B25" s="597" t="s">
        <v>239</v>
      </c>
      <c r="C25" s="577">
        <v>1</v>
      </c>
      <c r="D25" s="577">
        <v>15</v>
      </c>
      <c r="E25" s="577">
        <f t="shared" si="3"/>
        <v>15</v>
      </c>
      <c r="F25" s="579">
        <f t="shared" si="4"/>
        <v>3.0000000000000002E-2</v>
      </c>
      <c r="G25" s="343">
        <f t="shared" si="5"/>
        <v>8652</v>
      </c>
      <c r="H25" s="343">
        <f t="shared" si="1"/>
        <v>129780</v>
      </c>
      <c r="I25" s="104">
        <v>20000</v>
      </c>
      <c r="J25" s="598">
        <f t="shared" si="2"/>
        <v>300000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</row>
    <row r="26" spans="1:61" x14ac:dyDescent="0.25">
      <c r="A26" s="37"/>
      <c r="B26" s="599" t="s">
        <v>227</v>
      </c>
      <c r="C26" s="577">
        <v>2</v>
      </c>
      <c r="D26" s="577">
        <v>3</v>
      </c>
      <c r="E26" s="577">
        <f t="shared" si="3"/>
        <v>6</v>
      </c>
      <c r="F26" s="579">
        <f t="shared" si="4"/>
        <v>1.2E-2</v>
      </c>
      <c r="G26" s="343">
        <f t="shared" si="5"/>
        <v>8500.7999999999993</v>
      </c>
      <c r="H26" s="343">
        <f t="shared" si="1"/>
        <v>51004.799999999996</v>
      </c>
      <c r="I26" s="104">
        <v>22000</v>
      </c>
      <c r="J26" s="598">
        <f t="shared" si="2"/>
        <v>132000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</row>
    <row r="27" spans="1:61" x14ac:dyDescent="0.25">
      <c r="A27" s="37"/>
      <c r="B27" s="599" t="s">
        <v>228</v>
      </c>
      <c r="C27" s="577">
        <v>2</v>
      </c>
      <c r="D27" s="577">
        <v>5</v>
      </c>
      <c r="E27" s="577">
        <f t="shared" si="3"/>
        <v>10</v>
      </c>
      <c r="F27" s="579">
        <f t="shared" si="4"/>
        <v>0.02</v>
      </c>
      <c r="G27" s="343">
        <f t="shared" si="5"/>
        <v>8568</v>
      </c>
      <c r="H27" s="343">
        <f t="shared" si="1"/>
        <v>85680</v>
      </c>
      <c r="I27" s="104">
        <v>22000</v>
      </c>
      <c r="J27" s="598">
        <f t="shared" si="2"/>
        <v>220000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</row>
    <row r="28" spans="1:61" x14ac:dyDescent="0.25">
      <c r="A28" s="37"/>
      <c r="B28" s="599" t="s">
        <v>229</v>
      </c>
      <c r="C28" s="577">
        <v>2</v>
      </c>
      <c r="D28" s="577">
        <v>14</v>
      </c>
      <c r="E28" s="577">
        <f t="shared" si="3"/>
        <v>28</v>
      </c>
      <c r="F28" s="579">
        <f t="shared" si="4"/>
        <v>5.6000000000000008E-2</v>
      </c>
      <c r="G28" s="343">
        <f t="shared" si="5"/>
        <v>8870.4</v>
      </c>
      <c r="H28" s="343">
        <f t="shared" si="1"/>
        <v>248371.19999999998</v>
      </c>
      <c r="I28" s="104">
        <v>18000</v>
      </c>
      <c r="J28" s="598">
        <f t="shared" si="2"/>
        <v>504000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</row>
    <row r="29" spans="1:61" x14ac:dyDescent="0.25">
      <c r="A29" s="37"/>
      <c r="B29" s="599" t="s">
        <v>85</v>
      </c>
      <c r="C29" s="577">
        <v>2</v>
      </c>
      <c r="D29" s="577">
        <v>2</v>
      </c>
      <c r="E29" s="577">
        <f t="shared" si="3"/>
        <v>4</v>
      </c>
      <c r="F29" s="579">
        <f t="shared" si="4"/>
        <v>8.0000000000000002E-3</v>
      </c>
      <c r="G29" s="343">
        <f t="shared" si="5"/>
        <v>8467.2000000000007</v>
      </c>
      <c r="H29" s="343">
        <f t="shared" si="1"/>
        <v>33868.800000000003</v>
      </c>
      <c r="I29" s="104">
        <v>22000</v>
      </c>
      <c r="J29" s="598">
        <f t="shared" si="2"/>
        <v>88000</v>
      </c>
      <c r="K29" s="37"/>
      <c r="L29" s="582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x14ac:dyDescent="0.25">
      <c r="A30" s="37"/>
      <c r="B30" s="599" t="s">
        <v>230</v>
      </c>
      <c r="C30" s="577">
        <v>2</v>
      </c>
      <c r="D30" s="577">
        <v>4</v>
      </c>
      <c r="E30" s="577">
        <f t="shared" si="3"/>
        <v>8</v>
      </c>
      <c r="F30" s="579">
        <f t="shared" si="4"/>
        <v>1.6E-2</v>
      </c>
      <c r="G30" s="343">
        <f t="shared" si="5"/>
        <v>8534.4</v>
      </c>
      <c r="H30" s="343">
        <f t="shared" si="1"/>
        <v>68275.199999999997</v>
      </c>
      <c r="I30" s="104">
        <v>22000</v>
      </c>
      <c r="J30" s="598">
        <f t="shared" si="2"/>
        <v>176000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</row>
    <row r="31" spans="1:61" x14ac:dyDescent="0.25">
      <c r="A31" s="37"/>
      <c r="B31" s="599" t="s">
        <v>231</v>
      </c>
      <c r="C31" s="577">
        <v>2</v>
      </c>
      <c r="D31" s="577">
        <v>2</v>
      </c>
      <c r="E31" s="577">
        <f t="shared" si="3"/>
        <v>4</v>
      </c>
      <c r="F31" s="579">
        <f t="shared" si="4"/>
        <v>8.0000000000000002E-3</v>
      </c>
      <c r="G31" s="343">
        <f t="shared" si="5"/>
        <v>8467.2000000000007</v>
      </c>
      <c r="H31" s="343">
        <f t="shared" si="1"/>
        <v>33868.800000000003</v>
      </c>
      <c r="I31" s="104">
        <v>38000</v>
      </c>
      <c r="J31" s="598">
        <f t="shared" si="2"/>
        <v>152000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</row>
    <row r="32" spans="1:61" x14ac:dyDescent="0.25">
      <c r="A32" s="37"/>
      <c r="B32" s="599" t="s">
        <v>82</v>
      </c>
      <c r="C32" s="577">
        <v>1</v>
      </c>
      <c r="D32" s="577">
        <v>18</v>
      </c>
      <c r="E32" s="577">
        <f t="shared" si="3"/>
        <v>18</v>
      </c>
      <c r="F32" s="579">
        <f t="shared" si="4"/>
        <v>3.5999999999999997E-2</v>
      </c>
      <c r="G32" s="343">
        <f t="shared" si="5"/>
        <v>8702.4</v>
      </c>
      <c r="H32" s="343">
        <f t="shared" si="1"/>
        <v>156643.19999999998</v>
      </c>
      <c r="I32" s="104">
        <v>30000</v>
      </c>
      <c r="J32" s="598">
        <f t="shared" si="2"/>
        <v>540000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</row>
    <row r="33" spans="1:61" x14ac:dyDescent="0.25">
      <c r="A33" s="37"/>
      <c r="B33" s="599" t="s">
        <v>83</v>
      </c>
      <c r="C33" s="577">
        <v>2</v>
      </c>
      <c r="D33" s="577">
        <v>6</v>
      </c>
      <c r="E33" s="577">
        <f t="shared" si="3"/>
        <v>12</v>
      </c>
      <c r="F33" s="579">
        <f t="shared" si="4"/>
        <v>2.4E-2</v>
      </c>
      <c r="G33" s="343">
        <f t="shared" si="5"/>
        <v>8601.6</v>
      </c>
      <c r="H33" s="343">
        <f t="shared" si="1"/>
        <v>103219.20000000001</v>
      </c>
      <c r="I33" s="104">
        <v>18000</v>
      </c>
      <c r="J33" s="598">
        <f t="shared" si="2"/>
        <v>216000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</row>
    <row r="34" spans="1:61" x14ac:dyDescent="0.25">
      <c r="A34" s="37"/>
      <c r="B34" s="599" t="s">
        <v>84</v>
      </c>
      <c r="C34" s="577">
        <v>2</v>
      </c>
      <c r="D34" s="577">
        <v>13</v>
      </c>
      <c r="E34" s="577">
        <f t="shared" si="3"/>
        <v>26</v>
      </c>
      <c r="F34" s="579">
        <f t="shared" si="4"/>
        <v>5.1999999999999998E-2</v>
      </c>
      <c r="G34" s="343">
        <f t="shared" si="5"/>
        <v>8836.7999999999993</v>
      </c>
      <c r="H34" s="343">
        <f t="shared" si="1"/>
        <v>229756.79999999999</v>
      </c>
      <c r="I34" s="104">
        <v>24000</v>
      </c>
      <c r="J34" s="598">
        <f t="shared" si="2"/>
        <v>624000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</row>
    <row r="35" spans="1:61" x14ac:dyDescent="0.25">
      <c r="A35" s="37"/>
      <c r="B35" s="599" t="s">
        <v>232</v>
      </c>
      <c r="C35" s="577">
        <v>2</v>
      </c>
      <c r="D35" s="577">
        <v>12</v>
      </c>
      <c r="E35" s="577">
        <f t="shared" si="3"/>
        <v>24</v>
      </c>
      <c r="F35" s="579">
        <f t="shared" si="4"/>
        <v>4.8000000000000001E-2</v>
      </c>
      <c r="G35" s="343">
        <f t="shared" si="5"/>
        <v>8803.2000000000007</v>
      </c>
      <c r="H35" s="343">
        <f t="shared" si="1"/>
        <v>211276.80000000002</v>
      </c>
      <c r="I35" s="104">
        <v>24000</v>
      </c>
      <c r="J35" s="598">
        <f t="shared" si="2"/>
        <v>576000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</row>
    <row r="36" spans="1:61" x14ac:dyDescent="0.25">
      <c r="A36" s="37"/>
      <c r="B36" s="599" t="s">
        <v>238</v>
      </c>
      <c r="C36" s="577">
        <v>2</v>
      </c>
      <c r="D36" s="577">
        <v>5</v>
      </c>
      <c r="E36" s="577">
        <f t="shared" si="3"/>
        <v>10</v>
      </c>
      <c r="F36" s="579">
        <f t="shared" si="4"/>
        <v>0.02</v>
      </c>
      <c r="G36" s="343">
        <f t="shared" si="5"/>
        <v>8568</v>
      </c>
      <c r="H36" s="343">
        <f t="shared" si="1"/>
        <v>85680</v>
      </c>
      <c r="I36" s="104">
        <v>24000</v>
      </c>
      <c r="J36" s="598">
        <f t="shared" si="2"/>
        <v>240000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</row>
    <row r="37" spans="1:61" x14ac:dyDescent="0.25">
      <c r="A37" s="37"/>
      <c r="B37" s="599" t="s">
        <v>233</v>
      </c>
      <c r="C37" s="577">
        <v>2</v>
      </c>
      <c r="D37" s="577">
        <v>15</v>
      </c>
      <c r="E37" s="577">
        <f t="shared" si="3"/>
        <v>30</v>
      </c>
      <c r="F37" s="579">
        <f t="shared" si="4"/>
        <v>6.0000000000000005E-2</v>
      </c>
      <c r="G37" s="343">
        <f t="shared" si="5"/>
        <v>8904</v>
      </c>
      <c r="H37" s="343">
        <f t="shared" si="1"/>
        <v>267120</v>
      </c>
      <c r="I37" s="104">
        <v>24000</v>
      </c>
      <c r="J37" s="598">
        <f t="shared" si="2"/>
        <v>720000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1:61" x14ac:dyDescent="0.25">
      <c r="A38" s="37"/>
      <c r="B38" s="599" t="s">
        <v>234</v>
      </c>
      <c r="C38" s="577">
        <v>2</v>
      </c>
      <c r="D38" s="577">
        <v>6</v>
      </c>
      <c r="E38" s="577">
        <f t="shared" si="3"/>
        <v>12</v>
      </c>
      <c r="F38" s="579">
        <f t="shared" si="4"/>
        <v>2.4E-2</v>
      </c>
      <c r="G38" s="343">
        <f t="shared" si="5"/>
        <v>8601.6</v>
      </c>
      <c r="H38" s="343">
        <f t="shared" si="1"/>
        <v>103219.20000000001</v>
      </c>
      <c r="I38" s="104">
        <v>20000</v>
      </c>
      <c r="J38" s="598">
        <f t="shared" si="2"/>
        <v>240000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</row>
    <row r="39" spans="1:61" x14ac:dyDescent="0.25">
      <c r="A39" s="37"/>
      <c r="B39" s="599" t="s">
        <v>235</v>
      </c>
      <c r="C39" s="577">
        <v>1</v>
      </c>
      <c r="D39" s="577">
        <v>40</v>
      </c>
      <c r="E39" s="577">
        <f t="shared" si="3"/>
        <v>40</v>
      </c>
      <c r="F39" s="579">
        <f t="shared" si="4"/>
        <v>0.08</v>
      </c>
      <c r="G39" s="343">
        <f t="shared" si="5"/>
        <v>9072</v>
      </c>
      <c r="H39" s="343">
        <f t="shared" si="1"/>
        <v>362880</v>
      </c>
      <c r="I39" s="104">
        <v>6000</v>
      </c>
      <c r="J39" s="598">
        <f t="shared" si="2"/>
        <v>240000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</row>
    <row r="40" spans="1:61" x14ac:dyDescent="0.25">
      <c r="A40" s="37"/>
      <c r="B40" s="599" t="s">
        <v>86</v>
      </c>
      <c r="C40" s="577">
        <v>1</v>
      </c>
      <c r="D40" s="577">
        <v>80</v>
      </c>
      <c r="E40" s="577">
        <f t="shared" si="3"/>
        <v>80</v>
      </c>
      <c r="F40" s="579">
        <f t="shared" si="4"/>
        <v>0.16</v>
      </c>
      <c r="G40" s="343">
        <f t="shared" si="5"/>
        <v>9744</v>
      </c>
      <c r="H40" s="343">
        <f t="shared" si="1"/>
        <v>779520</v>
      </c>
      <c r="I40" s="104">
        <v>1000</v>
      </c>
      <c r="J40" s="598">
        <f t="shared" si="2"/>
        <v>80000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</row>
    <row r="41" spans="1:61" x14ac:dyDescent="0.25">
      <c r="A41" s="37"/>
      <c r="B41" s="599" t="s">
        <v>237</v>
      </c>
      <c r="C41" s="577">
        <v>1</v>
      </c>
      <c r="D41" s="577">
        <v>14</v>
      </c>
      <c r="E41" s="577">
        <f t="shared" si="3"/>
        <v>14</v>
      </c>
      <c r="F41" s="579">
        <f t="shared" si="4"/>
        <v>2.8000000000000004E-2</v>
      </c>
      <c r="G41" s="343">
        <f t="shared" si="5"/>
        <v>8635.2000000000007</v>
      </c>
      <c r="H41" s="343">
        <f t="shared" si="1"/>
        <v>120892.80000000002</v>
      </c>
      <c r="I41" s="104">
        <v>4000</v>
      </c>
      <c r="J41" s="598">
        <f t="shared" si="2"/>
        <v>56000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</row>
    <row r="42" spans="1:61" ht="15.75" thickBot="1" x14ac:dyDescent="0.3">
      <c r="A42" s="37"/>
      <c r="B42" s="613" t="s">
        <v>88</v>
      </c>
      <c r="C42" s="615">
        <f>+SUM(C23:C41)</f>
        <v>33</v>
      </c>
      <c r="D42" s="615">
        <f t="shared" ref="D42:J42" si="6">+SUM(D23:D41)</f>
        <v>276</v>
      </c>
      <c r="E42" s="615">
        <f>+SUM(E23:E41)</f>
        <v>385</v>
      </c>
      <c r="F42" s="616">
        <f t="shared" si="6"/>
        <v>0.77</v>
      </c>
      <c r="G42" s="615">
        <f t="shared" si="6"/>
        <v>166068</v>
      </c>
      <c r="H42" s="615">
        <f>+SUM(H23:H41)</f>
        <v>3463504.8</v>
      </c>
      <c r="I42" s="615">
        <f t="shared" si="6"/>
        <v>381000</v>
      </c>
      <c r="J42" s="617">
        <f t="shared" si="6"/>
        <v>6056000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</row>
    <row r="43" spans="1:61" ht="15.75" thickBot="1" x14ac:dyDescent="0.3">
      <c r="A43" s="37"/>
      <c r="B43" s="37"/>
      <c r="C43" s="35"/>
      <c r="D43" s="37"/>
      <c r="E43" s="37"/>
      <c r="F43" s="37"/>
      <c r="G43" s="37"/>
      <c r="H43" s="58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</row>
    <row r="44" spans="1:61" x14ac:dyDescent="0.25">
      <c r="A44" s="37"/>
      <c r="B44" s="1564" t="s">
        <v>240</v>
      </c>
      <c r="C44" s="1565"/>
      <c r="D44" s="1565"/>
      <c r="E44" s="1565"/>
      <c r="F44" s="1565"/>
      <c r="G44" s="1566"/>
      <c r="H44" s="572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</row>
    <row r="45" spans="1:61" x14ac:dyDescent="0.25">
      <c r="A45" s="37"/>
      <c r="B45" s="347" t="s">
        <v>241</v>
      </c>
      <c r="C45" s="44" t="s">
        <v>326</v>
      </c>
      <c r="D45" s="342" t="s">
        <v>222</v>
      </c>
      <c r="E45" s="342" t="s">
        <v>241</v>
      </c>
      <c r="F45" s="342" t="s">
        <v>327</v>
      </c>
      <c r="G45" s="600" t="s">
        <v>222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</row>
    <row r="46" spans="1:61" ht="30" x14ac:dyDescent="0.25">
      <c r="A46" s="37"/>
      <c r="B46" s="592" t="s">
        <v>236</v>
      </c>
      <c r="C46" s="391">
        <f>+C17</f>
        <v>100</v>
      </c>
      <c r="D46" s="343">
        <v>180000</v>
      </c>
      <c r="E46" s="391" t="s">
        <v>87</v>
      </c>
      <c r="F46" s="391">
        <v>1</v>
      </c>
      <c r="G46" s="365">
        <v>30000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</row>
    <row r="47" spans="1:61" ht="15.75" thickBot="1" x14ac:dyDescent="0.3">
      <c r="A47" s="37"/>
      <c r="B47" s="613" t="s">
        <v>400</v>
      </c>
      <c r="C47" s="614"/>
      <c r="D47" s="464"/>
      <c r="E47" s="1567">
        <f>+D46+G46</f>
        <v>210000</v>
      </c>
      <c r="F47" s="1485"/>
      <c r="G47" s="1568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</row>
    <row r="48" spans="1:61" x14ac:dyDescent="0.25">
      <c r="A48" s="37"/>
      <c r="B48" s="37"/>
      <c r="C48" s="35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</row>
    <row r="49" spans="1:61" ht="15.75" thickBot="1" x14ac:dyDescent="0.3">
      <c r="A49" s="37"/>
      <c r="B49" s="37"/>
      <c r="C49" s="35"/>
      <c r="D49" s="37"/>
      <c r="E49" s="37"/>
      <c r="F49" s="37"/>
      <c r="G49" s="348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</row>
    <row r="50" spans="1:61" ht="18" customHeight="1" x14ac:dyDescent="0.25">
      <c r="A50" s="37"/>
      <c r="B50" s="1569" t="s">
        <v>411</v>
      </c>
      <c r="C50" s="1570"/>
      <c r="D50" s="1570"/>
      <c r="E50" s="1571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</row>
    <row r="51" spans="1:61" ht="26.25" customHeight="1" x14ac:dyDescent="0.25">
      <c r="A51" s="37"/>
      <c r="B51" s="347" t="s">
        <v>408</v>
      </c>
      <c r="C51" s="342" t="s">
        <v>81</v>
      </c>
      <c r="D51" s="44" t="s">
        <v>407</v>
      </c>
      <c r="E51" s="400" t="s">
        <v>404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1:61" x14ac:dyDescent="0.25">
      <c r="A52" s="37"/>
      <c r="B52" s="347" t="s">
        <v>415</v>
      </c>
      <c r="C52" s="342">
        <v>1</v>
      </c>
      <c r="D52" s="44" t="s">
        <v>221</v>
      </c>
      <c r="E52" s="601">
        <v>8400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</row>
    <row r="53" spans="1:61" ht="26.25" customHeight="1" x14ac:dyDescent="0.25">
      <c r="A53" s="37"/>
      <c r="B53" s="592" t="s">
        <v>403</v>
      </c>
      <c r="C53" s="391">
        <f t="shared" ref="C53:D56" si="7">+C15</f>
        <v>500</v>
      </c>
      <c r="D53" s="575">
        <f t="shared" si="7"/>
        <v>1</v>
      </c>
      <c r="E53" s="602">
        <f>+H14</f>
        <v>4200000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</row>
    <row r="54" spans="1:61" ht="30" x14ac:dyDescent="0.25">
      <c r="A54" s="37"/>
      <c r="B54" s="592" t="s">
        <v>405</v>
      </c>
      <c r="C54" s="391">
        <f t="shared" si="7"/>
        <v>385</v>
      </c>
      <c r="D54" s="575">
        <f t="shared" si="7"/>
        <v>0.77</v>
      </c>
      <c r="E54" s="365">
        <f>+(E53*D54)</f>
        <v>3234000</v>
      </c>
      <c r="F54" s="37"/>
      <c r="G54" s="37"/>
      <c r="H54" s="348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</row>
    <row r="55" spans="1:61" ht="30" x14ac:dyDescent="0.25">
      <c r="A55" s="37"/>
      <c r="B55" s="592" t="s">
        <v>406</v>
      </c>
      <c r="C55" s="391">
        <f t="shared" si="7"/>
        <v>100</v>
      </c>
      <c r="D55" s="575">
        <f t="shared" si="7"/>
        <v>0.2</v>
      </c>
      <c r="E55" s="365">
        <f>+D55*E53</f>
        <v>840000</v>
      </c>
      <c r="F55" s="37"/>
      <c r="G55" s="348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</row>
    <row r="56" spans="1:61" ht="15.75" thickBot="1" x14ac:dyDescent="0.3">
      <c r="A56" s="37"/>
      <c r="B56" s="603" t="str">
        <f>+B18</f>
        <v xml:space="preserve">DESPERDICIO </v>
      </c>
      <c r="C56" s="589">
        <f t="shared" si="7"/>
        <v>15</v>
      </c>
      <c r="D56" s="604">
        <f t="shared" si="7"/>
        <v>0.03</v>
      </c>
      <c r="E56" s="605">
        <f>+E53*D56</f>
        <v>126000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</row>
    <row r="57" spans="1:61" ht="15.75" thickBot="1" x14ac:dyDescent="0.3">
      <c r="A57" s="37"/>
      <c r="B57" s="37"/>
      <c r="C57" s="35"/>
      <c r="D57" s="37"/>
      <c r="E57" s="37"/>
      <c r="F57" s="37"/>
      <c r="G57" s="37"/>
      <c r="H57" s="348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</row>
    <row r="58" spans="1:61" ht="30" customHeight="1" x14ac:dyDescent="0.25">
      <c r="A58" s="37"/>
      <c r="B58" s="1556" t="s">
        <v>402</v>
      </c>
      <c r="C58" s="1557"/>
      <c r="D58" s="584"/>
      <c r="E58" s="584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</row>
    <row r="59" spans="1:61" x14ac:dyDescent="0.25">
      <c r="A59" s="37"/>
      <c r="B59" s="606" t="s">
        <v>408</v>
      </c>
      <c r="C59" s="600" t="s">
        <v>413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</row>
    <row r="60" spans="1:61" x14ac:dyDescent="0.25">
      <c r="A60" s="37"/>
      <c r="B60" s="606" t="s">
        <v>414</v>
      </c>
      <c r="C60" s="607">
        <f>+C61/C54</f>
        <v>8996.1163636363635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</row>
    <row r="61" spans="1:61" ht="30" x14ac:dyDescent="0.25">
      <c r="A61" s="37"/>
      <c r="B61" s="608" t="s">
        <v>409</v>
      </c>
      <c r="C61" s="609">
        <f>+H42</f>
        <v>3463504.8</v>
      </c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</row>
    <row r="62" spans="1:61" ht="30" x14ac:dyDescent="0.25">
      <c r="A62" s="37"/>
      <c r="B62" s="610" t="s">
        <v>446</v>
      </c>
      <c r="C62" s="602">
        <f>+E47</f>
        <v>210000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</row>
    <row r="63" spans="1:61" x14ac:dyDescent="0.25">
      <c r="A63" s="37"/>
      <c r="B63" s="610" t="s">
        <v>410</v>
      </c>
      <c r="C63" s="602">
        <f>+E56</f>
        <v>126000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</row>
    <row r="64" spans="1:61" ht="30" x14ac:dyDescent="0.25">
      <c r="A64" s="37"/>
      <c r="B64" s="610" t="s">
        <v>412</v>
      </c>
      <c r="C64" s="365">
        <f>+J42</f>
        <v>6056000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</row>
    <row r="65" spans="1:61" ht="15.75" thickBot="1" x14ac:dyDescent="0.3">
      <c r="A65" s="37"/>
      <c r="B65" s="611" t="s">
        <v>242</v>
      </c>
      <c r="C65" s="612">
        <f>+(C64+C62)-(C61+C63)</f>
        <v>2676495.2000000002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</row>
    <row r="66" spans="1:61" s="37" customFormat="1" x14ac:dyDescent="0.25">
      <c r="C66" s="35"/>
    </row>
    <row r="67" spans="1:61" s="37" customFormat="1" x14ac:dyDescent="0.25">
      <c r="C67" s="35"/>
    </row>
    <row r="68" spans="1:61" s="37" customFormat="1" x14ac:dyDescent="0.25">
      <c r="C68" s="35"/>
    </row>
    <row r="69" spans="1:61" s="37" customFormat="1" hidden="1" x14ac:dyDescent="0.25">
      <c r="C69" s="35"/>
    </row>
    <row r="70" spans="1:61" s="37" customFormat="1" hidden="1" x14ac:dyDescent="0.25">
      <c r="C70" s="35"/>
    </row>
    <row r="71" spans="1:61" s="37" customFormat="1" hidden="1" x14ac:dyDescent="0.25">
      <c r="C71" s="35"/>
    </row>
    <row r="72" spans="1:61" s="37" customFormat="1" hidden="1" x14ac:dyDescent="0.25">
      <c r="C72" s="35"/>
    </row>
    <row r="73" spans="1:61" s="37" customFormat="1" hidden="1" x14ac:dyDescent="0.25">
      <c r="C73" s="35"/>
    </row>
    <row r="74" spans="1:61" s="37" customFormat="1" hidden="1" x14ac:dyDescent="0.25">
      <c r="C74" s="35"/>
    </row>
    <row r="75" spans="1:61" s="37" customFormat="1" hidden="1" x14ac:dyDescent="0.25">
      <c r="C75" s="35"/>
    </row>
    <row r="76" spans="1:61" s="37" customFormat="1" hidden="1" x14ac:dyDescent="0.25">
      <c r="C76" s="35"/>
    </row>
    <row r="77" spans="1:61" s="37" customFormat="1" hidden="1" x14ac:dyDescent="0.25">
      <c r="C77" s="35"/>
    </row>
    <row r="78" spans="1:61" s="37" customFormat="1" hidden="1" x14ac:dyDescent="0.25">
      <c r="C78" s="35"/>
    </row>
    <row r="79" spans="1:61" s="37" customFormat="1" hidden="1" x14ac:dyDescent="0.25">
      <c r="C79" s="35"/>
    </row>
    <row r="80" spans="1:61" s="37" customFormat="1" hidden="1" x14ac:dyDescent="0.25">
      <c r="C80" s="35"/>
    </row>
    <row r="81" spans="3:3" s="37" customFormat="1" hidden="1" x14ac:dyDescent="0.25">
      <c r="C81" s="35"/>
    </row>
    <row r="82" spans="3:3" s="37" customFormat="1" hidden="1" x14ac:dyDescent="0.25">
      <c r="C82" s="35"/>
    </row>
    <row r="83" spans="3:3" s="37" customFormat="1" hidden="1" x14ac:dyDescent="0.25">
      <c r="C83" s="35"/>
    </row>
    <row r="84" spans="3:3" s="37" customFormat="1" hidden="1" x14ac:dyDescent="0.25">
      <c r="C84" s="35"/>
    </row>
    <row r="85" spans="3:3" s="37" customFormat="1" hidden="1" x14ac:dyDescent="0.25">
      <c r="C85" s="35"/>
    </row>
    <row r="86" spans="3:3" s="37" customFormat="1" hidden="1" x14ac:dyDescent="0.25">
      <c r="C86" s="35"/>
    </row>
    <row r="87" spans="3:3" s="37" customFormat="1" hidden="1" x14ac:dyDescent="0.25">
      <c r="C87" s="35"/>
    </row>
    <row r="88" spans="3:3" s="37" customFormat="1" hidden="1" x14ac:dyDescent="0.25">
      <c r="C88" s="35"/>
    </row>
    <row r="89" spans="3:3" s="37" customFormat="1" hidden="1" x14ac:dyDescent="0.25">
      <c r="C89" s="35"/>
    </row>
    <row r="90" spans="3:3" s="37" customFormat="1" hidden="1" x14ac:dyDescent="0.25">
      <c r="C90" s="35"/>
    </row>
    <row r="91" spans="3:3" s="37" customFormat="1" hidden="1" x14ac:dyDescent="0.25">
      <c r="C91" s="35"/>
    </row>
    <row r="92" spans="3:3" s="37" customFormat="1" hidden="1" x14ac:dyDescent="0.25">
      <c r="C92" s="35"/>
    </row>
    <row r="93" spans="3:3" s="37" customFormat="1" hidden="1" x14ac:dyDescent="0.25">
      <c r="C93" s="35"/>
    </row>
    <row r="94" spans="3:3" s="37" customFormat="1" hidden="1" x14ac:dyDescent="0.25">
      <c r="C94" s="35"/>
    </row>
    <row r="95" spans="3:3" s="37" customFormat="1" hidden="1" x14ac:dyDescent="0.25">
      <c r="C95" s="35"/>
    </row>
    <row r="96" spans="3:3" s="37" customFormat="1" hidden="1" x14ac:dyDescent="0.25">
      <c r="C96" s="35"/>
    </row>
    <row r="97" spans="3:3" s="37" customFormat="1" hidden="1" x14ac:dyDescent="0.25">
      <c r="C97" s="35"/>
    </row>
    <row r="98" spans="3:3" s="37" customFormat="1" hidden="1" x14ac:dyDescent="0.25">
      <c r="C98" s="35"/>
    </row>
    <row r="99" spans="3:3" s="37" customFormat="1" hidden="1" x14ac:dyDescent="0.25">
      <c r="C99" s="35"/>
    </row>
    <row r="100" spans="3:3" s="37" customFormat="1" hidden="1" x14ac:dyDescent="0.25">
      <c r="C100" s="35"/>
    </row>
    <row r="101" spans="3:3" s="37" customFormat="1" hidden="1" x14ac:dyDescent="0.25">
      <c r="C101" s="35"/>
    </row>
    <row r="102" spans="3:3" s="37" customFormat="1" hidden="1" x14ac:dyDescent="0.25">
      <c r="C102" s="35"/>
    </row>
    <row r="103" spans="3:3" s="37" customFormat="1" hidden="1" x14ac:dyDescent="0.25">
      <c r="C103" s="35"/>
    </row>
    <row r="104" spans="3:3" s="37" customFormat="1" hidden="1" x14ac:dyDescent="0.25">
      <c r="C104" s="35"/>
    </row>
    <row r="105" spans="3:3" s="37" customFormat="1" hidden="1" x14ac:dyDescent="0.25">
      <c r="C105" s="35"/>
    </row>
  </sheetData>
  <mergeCells count="10">
    <mergeCell ref="B4:I4"/>
    <mergeCell ref="B5:I5"/>
    <mergeCell ref="B6:I6"/>
    <mergeCell ref="B58:C58"/>
    <mergeCell ref="B11:E11"/>
    <mergeCell ref="G11:I11"/>
    <mergeCell ref="B20:J21"/>
    <mergeCell ref="B44:G44"/>
    <mergeCell ref="E47:G47"/>
    <mergeCell ref="B50:E5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ED08-65EF-4FED-826E-8FB310E98769}">
  <sheetPr>
    <tabColor rgb="FFFF0000"/>
  </sheetPr>
  <dimension ref="A1:DP1368"/>
  <sheetViews>
    <sheetView showGridLines="0" topLeftCell="A41" zoomScale="82" zoomScaleNormal="82" workbookViewId="0">
      <selection activeCell="C64" sqref="C64"/>
    </sheetView>
  </sheetViews>
  <sheetFormatPr baseColWidth="10" defaultColWidth="0" defaultRowHeight="15" zeroHeight="1" x14ac:dyDescent="0.25"/>
  <cols>
    <col min="1" max="1" width="8.28515625" style="37" customWidth="1"/>
    <col min="2" max="2" width="42" style="105" customWidth="1"/>
    <col min="3" max="3" width="25.42578125" style="106" customWidth="1"/>
    <col min="4" max="4" width="22" style="105" customWidth="1"/>
    <col min="5" max="5" width="21.5703125" style="105" customWidth="1"/>
    <col min="6" max="6" width="19.7109375" style="105" customWidth="1"/>
    <col min="7" max="7" width="18.140625" style="105" customWidth="1"/>
    <col min="8" max="8" width="17.42578125" style="105" customWidth="1"/>
    <col min="9" max="9" width="15.140625" style="105" customWidth="1"/>
    <col min="10" max="10" width="18.140625" style="37" customWidth="1"/>
    <col min="11" max="11" width="8.42578125" style="37" customWidth="1"/>
    <col min="12" max="12" width="40" style="857" customWidth="1"/>
    <col min="13" max="13" width="24.42578125" style="68" customWidth="1"/>
    <col min="14" max="14" width="24.28515625" style="68" customWidth="1"/>
    <col min="15" max="15" width="19.42578125" style="68" customWidth="1"/>
    <col min="16" max="16" width="23.5703125" style="68" customWidth="1"/>
    <col min="17" max="17" width="18.42578125" style="68" customWidth="1"/>
    <col min="18" max="18" width="16.28515625" style="68" customWidth="1"/>
    <col min="19" max="19" width="14.28515625" style="68" customWidth="1"/>
    <col min="20" max="20" width="16.42578125" style="68" customWidth="1"/>
    <col min="21" max="21" width="11.42578125" style="37" customWidth="1"/>
    <col min="22" max="22" width="37" style="863" customWidth="1"/>
    <col min="23" max="23" width="16.7109375" style="128" customWidth="1"/>
    <col min="24" max="24" width="19.28515625" style="128" customWidth="1"/>
    <col min="25" max="25" width="18.85546875" style="128" customWidth="1"/>
    <col min="26" max="26" width="26.7109375" style="128" customWidth="1"/>
    <col min="27" max="27" width="18.42578125" style="128" customWidth="1"/>
    <col min="28" max="28" width="16.85546875" style="128" customWidth="1"/>
    <col min="29" max="29" width="14.85546875" style="128" customWidth="1"/>
    <col min="30" max="30" width="14.140625" style="128" customWidth="1"/>
    <col min="31" max="31" width="11.42578125" customWidth="1"/>
    <col min="32" max="32" width="34.5703125" style="870" customWidth="1"/>
    <col min="33" max="33" width="22.7109375" style="93" customWidth="1"/>
    <col min="34" max="34" width="21.42578125" style="93" customWidth="1"/>
    <col min="35" max="35" width="18.5703125" style="93" customWidth="1"/>
    <col min="36" max="36" width="27.28515625" style="93" customWidth="1"/>
    <col min="37" max="37" width="19" style="93" customWidth="1"/>
    <col min="38" max="38" width="15.85546875" style="93" customWidth="1"/>
    <col min="39" max="39" width="16.42578125" style="93" customWidth="1"/>
    <col min="40" max="40" width="16.85546875" style="93" customWidth="1"/>
    <col min="41" max="41" width="11.42578125" style="37" customWidth="1"/>
    <col min="42" max="42" width="32.28515625" style="877" customWidth="1"/>
    <col min="43" max="43" width="23.42578125" style="129" customWidth="1"/>
    <col min="44" max="44" width="23.5703125" style="129" customWidth="1"/>
    <col min="45" max="45" width="18.5703125" style="129" customWidth="1"/>
    <col min="46" max="46" width="23.85546875" style="129" customWidth="1"/>
    <col min="47" max="47" width="14.7109375" style="129" customWidth="1"/>
    <col min="48" max="48" width="17.140625" style="129" customWidth="1"/>
    <col min="49" max="49" width="20.140625" style="129" customWidth="1"/>
    <col min="50" max="50" width="16.42578125" style="129" customWidth="1"/>
    <col min="51" max="51" width="11.42578125" customWidth="1"/>
    <col min="52" max="52" width="41.140625" style="884" customWidth="1"/>
    <col min="53" max="53" width="23.140625" style="130" customWidth="1"/>
    <col min="54" max="54" width="24.42578125" style="130" customWidth="1"/>
    <col min="55" max="55" width="18.7109375" style="130" customWidth="1"/>
    <col min="56" max="56" width="19.140625" style="130" customWidth="1"/>
    <col min="57" max="57" width="18" style="130" customWidth="1"/>
    <col min="58" max="58" width="17.140625" style="130" customWidth="1"/>
    <col min="59" max="59" width="17.28515625" style="130" customWidth="1"/>
    <col min="60" max="60" width="16.140625" style="130" customWidth="1"/>
    <col min="61" max="61" width="11.42578125" customWidth="1"/>
    <col min="62" max="62" width="35.140625" style="886" customWidth="1"/>
    <col min="63" max="63" width="21.5703125" style="85" customWidth="1"/>
    <col min="64" max="64" width="21.7109375" style="85" customWidth="1"/>
    <col min="65" max="65" width="21" style="85" customWidth="1"/>
    <col min="66" max="66" width="19.85546875" style="85" customWidth="1"/>
    <col min="67" max="67" width="21.7109375" style="85" customWidth="1"/>
    <col min="68" max="68" width="23" style="85" customWidth="1"/>
    <col min="69" max="69" width="23.85546875" style="85" customWidth="1"/>
    <col min="70" max="70" width="22.85546875" style="85" customWidth="1"/>
    <col min="71" max="71" width="11.42578125" customWidth="1"/>
    <col min="72" max="72" width="42.85546875" style="887" customWidth="1"/>
    <col min="73" max="73" width="26.85546875" style="94" customWidth="1"/>
    <col min="74" max="74" width="25.140625" style="94" customWidth="1"/>
    <col min="75" max="75" width="26.42578125" style="94" customWidth="1"/>
    <col min="76" max="76" width="26.5703125" style="94" customWidth="1"/>
    <col min="77" max="77" width="21.42578125" style="94" customWidth="1"/>
    <col min="78" max="78" width="22" style="94" customWidth="1"/>
    <col min="79" max="80" width="23" style="94" customWidth="1"/>
    <col min="81" max="81" width="11.42578125" customWidth="1"/>
    <col min="82" max="82" width="34.42578125" style="894" customWidth="1"/>
    <col min="83" max="83" width="22.5703125" style="132" customWidth="1"/>
    <col min="84" max="85" width="19.7109375" style="132" customWidth="1"/>
    <col min="86" max="86" width="20.42578125" style="132" customWidth="1"/>
    <col min="87" max="87" width="16.140625" style="132" customWidth="1"/>
    <col min="88" max="88" width="21.28515625" style="132" customWidth="1"/>
    <col min="89" max="89" width="11.42578125" style="132" customWidth="1"/>
    <col min="90" max="90" width="18" style="132" customWidth="1"/>
    <col min="91" max="91" width="11.42578125" style="37" customWidth="1"/>
    <col min="92" max="92" width="37.7109375" style="894" customWidth="1"/>
    <col min="93" max="93" width="19.28515625" style="132" customWidth="1"/>
    <col min="94" max="94" width="24.7109375" style="132" customWidth="1"/>
    <col min="95" max="95" width="19.7109375" style="132" customWidth="1"/>
    <col min="96" max="96" width="20.42578125" style="132" customWidth="1"/>
    <col min="97" max="97" width="23.5703125" style="132" customWidth="1"/>
    <col min="98" max="98" width="14.7109375" style="132" bestFit="1" customWidth="1"/>
    <col min="99" max="99" width="16.42578125" style="132" customWidth="1"/>
    <col min="100" max="100" width="19.140625" style="132" customWidth="1"/>
    <col min="101" max="101" width="11.42578125" customWidth="1"/>
    <col min="102" max="102" width="32.7109375" style="870" customWidth="1"/>
    <col min="103" max="103" width="25.85546875" style="93" customWidth="1"/>
    <col min="104" max="104" width="24.7109375" style="93" customWidth="1"/>
    <col min="105" max="105" width="20.5703125" style="93" customWidth="1"/>
    <col min="106" max="106" width="21" style="93" customWidth="1"/>
    <col min="107" max="107" width="25.140625" style="93" customWidth="1"/>
    <col min="108" max="108" width="19.42578125" style="93" customWidth="1"/>
    <col min="109" max="109" width="19.5703125" style="93" customWidth="1"/>
    <col min="110" max="110" width="17.140625" style="93" customWidth="1"/>
    <col min="111" max="111" width="11.42578125" customWidth="1"/>
    <col min="112" max="112" width="37.140625" style="896" customWidth="1"/>
    <col min="113" max="113" width="26.42578125" style="105" customWidth="1"/>
    <col min="114" max="114" width="24.42578125" style="105" customWidth="1"/>
    <col min="115" max="115" width="19.42578125" style="105" customWidth="1"/>
    <col min="116" max="116" width="20.42578125" style="105" customWidth="1"/>
    <col min="117" max="117" width="24" style="105" customWidth="1"/>
    <col min="118" max="118" width="14.7109375" style="105" bestFit="1" customWidth="1"/>
    <col min="119" max="119" width="15.42578125" style="105" customWidth="1"/>
    <col min="120" max="120" width="17.140625" style="105" customWidth="1"/>
    <col min="121" max="122" width="11.42578125" customWidth="1"/>
    <col min="123" max="16384" width="11.42578125" hidden="1"/>
  </cols>
  <sheetData>
    <row r="1" spans="2:120" s="37" customFormat="1" x14ac:dyDescent="0.25">
      <c r="C1" s="35"/>
      <c r="L1" s="848"/>
      <c r="V1" s="304"/>
      <c r="AF1" s="304"/>
      <c r="AP1" s="304"/>
      <c r="AZ1" s="304"/>
      <c r="BJ1" s="304"/>
      <c r="BT1" s="304"/>
      <c r="CD1" s="304"/>
      <c r="CN1" s="304"/>
      <c r="CX1" s="304"/>
      <c r="DH1" s="304"/>
    </row>
    <row r="2" spans="2:120" s="37" customFormat="1" x14ac:dyDescent="0.25">
      <c r="C2" s="35"/>
      <c r="L2" s="848"/>
      <c r="V2" s="304"/>
      <c r="AF2" s="304"/>
      <c r="AP2" s="304"/>
      <c r="AZ2" s="304"/>
      <c r="BJ2" s="304"/>
      <c r="BT2" s="304"/>
      <c r="CD2" s="304"/>
      <c r="CN2" s="304"/>
      <c r="CX2" s="304"/>
      <c r="DH2" s="304"/>
    </row>
    <row r="3" spans="2:120" s="37" customFormat="1" x14ac:dyDescent="0.25">
      <c r="C3" s="35"/>
      <c r="L3" s="848"/>
      <c r="V3" s="304"/>
      <c r="AF3" s="304"/>
      <c r="AP3" s="304"/>
      <c r="AZ3" s="304"/>
      <c r="BJ3" s="304"/>
      <c r="BT3" s="304"/>
      <c r="CD3" s="304"/>
      <c r="CN3" s="304"/>
      <c r="CX3" s="304"/>
      <c r="DH3" s="304"/>
    </row>
    <row r="4" spans="2:120" s="37" customFormat="1" x14ac:dyDescent="0.25">
      <c r="C4" s="35"/>
      <c r="L4" s="848"/>
      <c r="V4" s="304"/>
      <c r="AF4" s="304"/>
      <c r="AP4" s="304"/>
      <c r="AZ4" s="304"/>
      <c r="BJ4" s="304"/>
      <c r="BT4" s="304"/>
      <c r="CD4" s="304"/>
      <c r="CN4" s="304"/>
      <c r="CX4" s="304"/>
      <c r="DH4" s="304"/>
    </row>
    <row r="5" spans="2:120" s="897" customFormat="1" ht="26.25" x14ac:dyDescent="0.4">
      <c r="B5" s="1645" t="s">
        <v>71</v>
      </c>
      <c r="C5" s="1645"/>
      <c r="D5" s="1645"/>
      <c r="E5" s="1645"/>
      <c r="F5" s="1645"/>
      <c r="G5" s="1645"/>
      <c r="H5" s="1645"/>
      <c r="I5" s="1645"/>
      <c r="J5" s="1645"/>
      <c r="K5" s="1645"/>
      <c r="L5" s="1645"/>
      <c r="M5" s="1645"/>
      <c r="N5" s="1645"/>
      <c r="O5" s="1645"/>
      <c r="P5" s="1645"/>
      <c r="Q5" s="1645"/>
      <c r="R5" s="1645"/>
      <c r="S5" s="1645"/>
      <c r="T5" s="1645"/>
      <c r="U5" s="1645"/>
      <c r="V5" s="1645"/>
      <c r="W5" s="1645"/>
      <c r="X5" s="1645"/>
      <c r="Y5" s="1645"/>
      <c r="Z5" s="1645"/>
      <c r="AA5" s="1645"/>
      <c r="AB5" s="1645"/>
      <c r="AC5" s="1645"/>
      <c r="AD5" s="1645"/>
      <c r="AF5" s="1645" t="s">
        <v>71</v>
      </c>
      <c r="AG5" s="1645"/>
      <c r="AH5" s="1645"/>
      <c r="AI5" s="1645"/>
      <c r="AJ5" s="1645"/>
      <c r="AK5" s="1645"/>
      <c r="AL5" s="1645"/>
      <c r="AM5" s="1645"/>
      <c r="AN5" s="1645"/>
      <c r="AO5" s="1645"/>
      <c r="AP5" s="1645"/>
      <c r="AQ5" s="1645"/>
      <c r="AR5" s="1645"/>
      <c r="AS5" s="1645"/>
      <c r="AT5" s="1645"/>
      <c r="AU5" s="1645"/>
      <c r="AV5" s="1645"/>
      <c r="AW5" s="1645"/>
      <c r="AX5" s="1645"/>
      <c r="AY5" s="1645"/>
      <c r="AZ5" s="1645"/>
      <c r="BA5" s="1645"/>
      <c r="BB5" s="1645"/>
      <c r="BC5" s="1645"/>
      <c r="BD5" s="1645"/>
      <c r="BE5" s="1645"/>
      <c r="BF5" s="1645"/>
      <c r="BG5" s="1645"/>
      <c r="BH5" s="1645"/>
      <c r="BJ5" s="1645" t="s">
        <v>71</v>
      </c>
      <c r="BK5" s="1645"/>
      <c r="BL5" s="1645"/>
      <c r="BM5" s="1645"/>
      <c r="BN5" s="1645"/>
      <c r="BO5" s="1645"/>
      <c r="BP5" s="1645"/>
      <c r="BQ5" s="1645"/>
      <c r="BR5" s="1645"/>
      <c r="BS5" s="1645"/>
      <c r="BT5" s="1645"/>
      <c r="BU5" s="1645"/>
      <c r="BV5" s="1645"/>
      <c r="BW5" s="1645"/>
      <c r="BX5" s="1645"/>
      <c r="BY5" s="1645"/>
      <c r="BZ5" s="1645"/>
      <c r="CA5" s="1645"/>
      <c r="CB5" s="1645"/>
      <c r="CC5" s="1645"/>
      <c r="CD5" s="1645"/>
      <c r="CE5" s="1645"/>
      <c r="CF5" s="1645"/>
      <c r="CG5" s="1645"/>
      <c r="CH5" s="1645"/>
      <c r="CI5" s="1645"/>
      <c r="CJ5" s="1645"/>
      <c r="CK5" s="1645"/>
      <c r="CL5" s="1645"/>
      <c r="CN5" s="1645" t="s">
        <v>71</v>
      </c>
      <c r="CO5" s="1645"/>
      <c r="CP5" s="1645"/>
      <c r="CQ5" s="1645"/>
      <c r="CR5" s="1645"/>
      <c r="CS5" s="1645"/>
      <c r="CT5" s="1645"/>
      <c r="CU5" s="1645"/>
      <c r="CV5" s="1645"/>
      <c r="CW5" s="1645"/>
      <c r="CX5" s="1645"/>
      <c r="CY5" s="1645"/>
      <c r="CZ5" s="1645"/>
      <c r="DA5" s="1645"/>
      <c r="DB5" s="1645"/>
      <c r="DC5" s="1645"/>
      <c r="DD5" s="1645"/>
      <c r="DE5" s="1645"/>
      <c r="DF5" s="1645"/>
      <c r="DG5" s="1645"/>
      <c r="DH5" s="1645"/>
      <c r="DI5" s="1645"/>
      <c r="DJ5" s="1645"/>
      <c r="DK5" s="1645"/>
      <c r="DL5" s="1645"/>
      <c r="DM5" s="1645"/>
      <c r="DN5" s="1645"/>
      <c r="DO5" s="1645"/>
      <c r="DP5" s="1645"/>
    </row>
    <row r="6" spans="2:120" s="897" customFormat="1" ht="26.25" x14ac:dyDescent="0.4">
      <c r="B6" s="1645" t="s">
        <v>590</v>
      </c>
      <c r="C6" s="1645"/>
      <c r="D6" s="1645"/>
      <c r="E6" s="1645"/>
      <c r="F6" s="1645"/>
      <c r="G6" s="1645"/>
      <c r="H6" s="1645"/>
      <c r="I6" s="1645"/>
      <c r="J6" s="1645"/>
      <c r="K6" s="1645"/>
      <c r="L6" s="1645"/>
      <c r="M6" s="1645"/>
      <c r="N6" s="1645"/>
      <c r="O6" s="1645"/>
      <c r="P6" s="1645"/>
      <c r="Q6" s="1645"/>
      <c r="R6" s="1645"/>
      <c r="S6" s="1645"/>
      <c r="T6" s="1645"/>
      <c r="U6" s="1645"/>
      <c r="V6" s="1645"/>
      <c r="W6" s="1645"/>
      <c r="X6" s="1645"/>
      <c r="Y6" s="1645"/>
      <c r="Z6" s="1645"/>
      <c r="AA6" s="1645"/>
      <c r="AB6" s="1645"/>
      <c r="AC6" s="1645"/>
      <c r="AD6" s="1645"/>
      <c r="AF6" s="1645" t="s">
        <v>590</v>
      </c>
      <c r="AG6" s="1645"/>
      <c r="AH6" s="1645"/>
      <c r="AI6" s="1645"/>
      <c r="AJ6" s="1645"/>
      <c r="AK6" s="1645"/>
      <c r="AL6" s="1645"/>
      <c r="AM6" s="1645"/>
      <c r="AN6" s="1645"/>
      <c r="AO6" s="1645"/>
      <c r="AP6" s="1645"/>
      <c r="AQ6" s="1645"/>
      <c r="AR6" s="1645"/>
      <c r="AS6" s="1645"/>
      <c r="AT6" s="1645"/>
      <c r="AU6" s="1645"/>
      <c r="AV6" s="1645"/>
      <c r="AW6" s="1645"/>
      <c r="AX6" s="1645"/>
      <c r="AY6" s="1645"/>
      <c r="AZ6" s="1645"/>
      <c r="BA6" s="1645"/>
      <c r="BB6" s="1645"/>
      <c r="BC6" s="1645"/>
      <c r="BD6" s="1645"/>
      <c r="BE6" s="1645"/>
      <c r="BF6" s="1645"/>
      <c r="BG6" s="1645"/>
      <c r="BH6" s="1645"/>
      <c r="BJ6" s="1645" t="s">
        <v>590</v>
      </c>
      <c r="BK6" s="1645"/>
      <c r="BL6" s="1645"/>
      <c r="BM6" s="1645"/>
      <c r="BN6" s="1645"/>
      <c r="BO6" s="1645"/>
      <c r="BP6" s="1645"/>
      <c r="BQ6" s="1645"/>
      <c r="BR6" s="1645"/>
      <c r="BS6" s="1645"/>
      <c r="BT6" s="1645"/>
      <c r="BU6" s="1645"/>
      <c r="BV6" s="1645"/>
      <c r="BW6" s="1645"/>
      <c r="BX6" s="1645"/>
      <c r="BY6" s="1645"/>
      <c r="BZ6" s="1645"/>
      <c r="CA6" s="1645"/>
      <c r="CB6" s="1645"/>
      <c r="CC6" s="1645"/>
      <c r="CD6" s="1645"/>
      <c r="CE6" s="1645"/>
      <c r="CF6" s="1645"/>
      <c r="CG6" s="1645"/>
      <c r="CH6" s="1645"/>
      <c r="CI6" s="1645"/>
      <c r="CJ6" s="1645"/>
      <c r="CK6" s="1645"/>
      <c r="CL6" s="1645"/>
      <c r="CN6" s="1645" t="s">
        <v>590</v>
      </c>
      <c r="CO6" s="1645"/>
      <c r="CP6" s="1645"/>
      <c r="CQ6" s="1645"/>
      <c r="CR6" s="1645"/>
      <c r="CS6" s="1645"/>
      <c r="CT6" s="1645"/>
      <c r="CU6" s="1645"/>
      <c r="CV6" s="1645"/>
      <c r="CW6" s="1645"/>
      <c r="CX6" s="1645"/>
      <c r="CY6" s="1645"/>
      <c r="CZ6" s="1645"/>
      <c r="DA6" s="1645"/>
      <c r="DB6" s="1645"/>
      <c r="DC6" s="1645"/>
      <c r="DD6" s="1645"/>
      <c r="DE6" s="1645"/>
      <c r="DF6" s="1645"/>
      <c r="DG6" s="1645"/>
      <c r="DH6" s="1645"/>
      <c r="DI6" s="1645"/>
      <c r="DJ6" s="1645"/>
      <c r="DK6" s="1645"/>
      <c r="DL6" s="1645"/>
      <c r="DM6" s="1645"/>
      <c r="DN6" s="1645"/>
      <c r="DO6" s="1645"/>
      <c r="DP6" s="1645"/>
    </row>
    <row r="7" spans="2:120" s="897" customFormat="1" ht="26.25" x14ac:dyDescent="0.4">
      <c r="B7" s="1645" t="s">
        <v>599</v>
      </c>
      <c r="C7" s="1645"/>
      <c r="D7" s="1645"/>
      <c r="E7" s="1645"/>
      <c r="F7" s="1645"/>
      <c r="G7" s="1645"/>
      <c r="H7" s="1645"/>
      <c r="I7" s="1645"/>
      <c r="J7" s="1645"/>
      <c r="K7" s="1645"/>
      <c r="L7" s="1645"/>
      <c r="M7" s="1645"/>
      <c r="N7" s="1645"/>
      <c r="O7" s="1645"/>
      <c r="P7" s="1645"/>
      <c r="Q7" s="1645"/>
      <c r="R7" s="1645"/>
      <c r="S7" s="1645"/>
      <c r="T7" s="1645"/>
      <c r="U7" s="1645"/>
      <c r="V7" s="1645"/>
      <c r="W7" s="1645"/>
      <c r="X7" s="1645"/>
      <c r="Y7" s="1645"/>
      <c r="Z7" s="1645"/>
      <c r="AA7" s="1645"/>
      <c r="AB7" s="1645"/>
      <c r="AC7" s="1645"/>
      <c r="AD7" s="1645"/>
      <c r="AF7" s="1645" t="s">
        <v>599</v>
      </c>
      <c r="AG7" s="1645"/>
      <c r="AH7" s="1645"/>
      <c r="AI7" s="1645"/>
      <c r="AJ7" s="1645"/>
      <c r="AK7" s="1645"/>
      <c r="AL7" s="1645"/>
      <c r="AM7" s="1645"/>
      <c r="AN7" s="1645"/>
      <c r="AO7" s="1645"/>
      <c r="AP7" s="1645"/>
      <c r="AQ7" s="1645"/>
      <c r="AR7" s="1645"/>
      <c r="AS7" s="1645"/>
      <c r="AT7" s="1645"/>
      <c r="AU7" s="1645"/>
      <c r="AV7" s="1645"/>
      <c r="AW7" s="1645"/>
      <c r="AX7" s="1645"/>
      <c r="AY7" s="1645"/>
      <c r="AZ7" s="1645"/>
      <c r="BA7" s="1645"/>
      <c r="BB7" s="1645"/>
      <c r="BC7" s="1645"/>
      <c r="BD7" s="1645"/>
      <c r="BE7" s="1645"/>
      <c r="BF7" s="1645"/>
      <c r="BG7" s="1645"/>
      <c r="BH7" s="1645"/>
      <c r="BJ7" s="1645" t="s">
        <v>599</v>
      </c>
      <c r="BK7" s="1645"/>
      <c r="BL7" s="1645"/>
      <c r="BM7" s="1645"/>
      <c r="BN7" s="1645"/>
      <c r="BO7" s="1645"/>
      <c r="BP7" s="1645"/>
      <c r="BQ7" s="1645"/>
      <c r="BR7" s="1645"/>
      <c r="BS7" s="1645"/>
      <c r="BT7" s="1645"/>
      <c r="BU7" s="1645"/>
      <c r="BV7" s="1645"/>
      <c r="BW7" s="1645"/>
      <c r="BX7" s="1645"/>
      <c r="BY7" s="1645"/>
      <c r="BZ7" s="1645"/>
      <c r="CA7" s="1645"/>
      <c r="CB7" s="1645"/>
      <c r="CC7" s="1645"/>
      <c r="CD7" s="1645"/>
      <c r="CE7" s="1645"/>
      <c r="CF7" s="1645"/>
      <c r="CG7" s="1645"/>
      <c r="CH7" s="1645"/>
      <c r="CI7" s="1645"/>
      <c r="CJ7" s="1645"/>
      <c r="CK7" s="1645"/>
      <c r="CL7" s="1645"/>
      <c r="CN7" s="1645" t="s">
        <v>599</v>
      </c>
      <c r="CO7" s="1645"/>
      <c r="CP7" s="1645"/>
      <c r="CQ7" s="1645"/>
      <c r="CR7" s="1645"/>
      <c r="CS7" s="1645"/>
      <c r="CT7" s="1645"/>
      <c r="CU7" s="1645"/>
      <c r="CV7" s="1645"/>
      <c r="CW7" s="1645"/>
      <c r="CX7" s="1645"/>
      <c r="CY7" s="1645"/>
      <c r="CZ7" s="1645"/>
      <c r="DA7" s="1645"/>
      <c r="DB7" s="1645"/>
      <c r="DC7" s="1645"/>
      <c r="DD7" s="1645"/>
      <c r="DE7" s="1645"/>
      <c r="DF7" s="1645"/>
      <c r="DG7" s="1645"/>
      <c r="DH7" s="1645"/>
      <c r="DI7" s="1645"/>
      <c r="DJ7" s="1645"/>
      <c r="DK7" s="1645"/>
      <c r="DL7" s="1645"/>
      <c r="DM7" s="1645"/>
      <c r="DN7" s="1645"/>
      <c r="DO7" s="1645"/>
      <c r="DP7" s="1645"/>
    </row>
    <row r="8" spans="2:120" s="37" customFormat="1" x14ac:dyDescent="0.25">
      <c r="B8" s="1652"/>
      <c r="C8" s="1652"/>
      <c r="D8" s="1652"/>
      <c r="E8" s="1652"/>
      <c r="F8" s="1652"/>
      <c r="G8" s="1652"/>
      <c r="H8" s="1652"/>
      <c r="I8" s="1652"/>
      <c r="L8" s="848"/>
      <c r="V8" s="304"/>
      <c r="AF8" s="304"/>
      <c r="AP8" s="304"/>
      <c r="AZ8" s="304"/>
      <c r="BJ8" s="304"/>
      <c r="BT8" s="304"/>
      <c r="CD8" s="304"/>
      <c r="CN8" s="304"/>
      <c r="CX8" s="304"/>
      <c r="DH8" s="304"/>
    </row>
    <row r="9" spans="2:120" s="37" customFormat="1" ht="21.75" thickBot="1" x14ac:dyDescent="0.4">
      <c r="B9" s="1470"/>
      <c r="C9" s="1470"/>
      <c r="D9" s="1470"/>
      <c r="E9" s="1470"/>
      <c r="F9" s="1470"/>
      <c r="G9" s="1470"/>
      <c r="H9" s="1470"/>
      <c r="L9" s="864"/>
      <c r="M9" s="229"/>
      <c r="N9" s="229"/>
      <c r="O9" s="229"/>
      <c r="P9" s="229"/>
      <c r="Q9" s="229"/>
      <c r="R9" s="229"/>
      <c r="S9" s="229"/>
      <c r="T9" s="229"/>
      <c r="V9" s="304"/>
      <c r="AF9" s="867"/>
      <c r="AG9" s="229"/>
      <c r="AH9" s="229"/>
      <c r="AI9" s="229"/>
      <c r="AJ9" s="229"/>
      <c r="AK9" s="229"/>
      <c r="AL9" s="229"/>
      <c r="AM9" s="229"/>
      <c r="AN9" s="229"/>
      <c r="AP9" s="867"/>
      <c r="AQ9" s="229"/>
      <c r="AR9" s="229"/>
      <c r="AS9" s="229"/>
      <c r="AT9" s="229"/>
      <c r="AU9" s="229"/>
      <c r="AV9" s="229"/>
      <c r="AW9" s="229"/>
      <c r="AX9" s="229"/>
      <c r="AZ9" s="304"/>
      <c r="BJ9" s="304"/>
      <c r="BT9" s="304"/>
      <c r="CD9" s="867"/>
      <c r="CE9" s="229"/>
      <c r="CF9" s="229"/>
      <c r="CG9" s="229"/>
      <c r="CH9" s="229"/>
      <c r="CI9" s="229"/>
      <c r="CJ9" s="229"/>
      <c r="CK9" s="229"/>
      <c r="CL9" s="229"/>
      <c r="CN9" s="867"/>
      <c r="CO9" s="229"/>
      <c r="CP9" s="229"/>
      <c r="CQ9" s="229"/>
      <c r="CR9" s="229"/>
      <c r="CS9" s="229"/>
      <c r="CT9" s="229"/>
      <c r="CU9" s="229"/>
      <c r="CV9" s="229"/>
      <c r="CX9" s="304"/>
      <c r="DH9" s="304"/>
    </row>
    <row r="10" spans="2:120" ht="23.25" x14ac:dyDescent="0.35">
      <c r="B10" s="1646" t="s">
        <v>416</v>
      </c>
      <c r="C10" s="1647"/>
      <c r="D10" s="1647"/>
      <c r="E10" s="1647"/>
      <c r="F10" s="1647"/>
      <c r="G10" s="1647"/>
      <c r="H10" s="1647"/>
      <c r="I10" s="1647"/>
      <c r="J10" s="1648"/>
      <c r="L10" s="1642" t="s">
        <v>417</v>
      </c>
      <c r="M10" s="1643"/>
      <c r="N10" s="1643"/>
      <c r="O10" s="1643"/>
      <c r="P10" s="1643"/>
      <c r="Q10" s="1643"/>
      <c r="R10" s="1643"/>
      <c r="S10" s="1643"/>
      <c r="T10" s="1644"/>
      <c r="V10" s="1610" t="s">
        <v>418</v>
      </c>
      <c r="W10" s="1611"/>
      <c r="X10" s="1611"/>
      <c r="Y10" s="1611"/>
      <c r="Z10" s="1611"/>
      <c r="AA10" s="1611"/>
      <c r="AB10" s="1611"/>
      <c r="AC10" s="1611"/>
      <c r="AD10" s="1612"/>
      <c r="AF10" s="1613" t="s">
        <v>419</v>
      </c>
      <c r="AG10" s="1614"/>
      <c r="AH10" s="1614"/>
      <c r="AI10" s="1614"/>
      <c r="AJ10" s="1614"/>
      <c r="AK10" s="1614"/>
      <c r="AL10" s="1614"/>
      <c r="AM10" s="1614"/>
      <c r="AN10" s="1615"/>
      <c r="AP10" s="1649" t="s">
        <v>420</v>
      </c>
      <c r="AQ10" s="1650"/>
      <c r="AR10" s="1650"/>
      <c r="AS10" s="1650"/>
      <c r="AT10" s="1650"/>
      <c r="AU10" s="1650"/>
      <c r="AV10" s="1650"/>
      <c r="AW10" s="1650"/>
      <c r="AX10" s="1651"/>
      <c r="AZ10" s="1642" t="s">
        <v>421</v>
      </c>
      <c r="BA10" s="1643"/>
      <c r="BB10" s="1643"/>
      <c r="BC10" s="1643"/>
      <c r="BD10" s="1643"/>
      <c r="BE10" s="1643"/>
      <c r="BF10" s="1643"/>
      <c r="BG10" s="1643"/>
      <c r="BH10" s="1644"/>
      <c r="BJ10" s="1610" t="s">
        <v>422</v>
      </c>
      <c r="BK10" s="1611"/>
      <c r="BL10" s="1611"/>
      <c r="BM10" s="1611"/>
      <c r="BN10" s="1611"/>
      <c r="BO10" s="1611"/>
      <c r="BP10" s="1611"/>
      <c r="BQ10" s="1611"/>
      <c r="BR10" s="1612"/>
      <c r="BT10" s="1613" t="s">
        <v>423</v>
      </c>
      <c r="BU10" s="1614"/>
      <c r="BV10" s="1614"/>
      <c r="BW10" s="1614"/>
      <c r="BX10" s="1614"/>
      <c r="BY10" s="1614"/>
      <c r="BZ10" s="1614"/>
      <c r="CA10" s="1614"/>
      <c r="CB10" s="1615"/>
      <c r="CD10" s="1607" t="s">
        <v>424</v>
      </c>
      <c r="CE10" s="1608"/>
      <c r="CF10" s="1608"/>
      <c r="CG10" s="1608"/>
      <c r="CH10" s="1608"/>
      <c r="CI10" s="1608"/>
      <c r="CJ10" s="1608"/>
      <c r="CK10" s="1608"/>
      <c r="CL10" s="1609"/>
      <c r="CN10" s="1642" t="s">
        <v>425</v>
      </c>
      <c r="CO10" s="1643"/>
      <c r="CP10" s="1643"/>
      <c r="CQ10" s="1643"/>
      <c r="CR10" s="1643"/>
      <c r="CS10" s="1643"/>
      <c r="CT10" s="1643"/>
      <c r="CU10" s="1643"/>
      <c r="CV10" s="1644"/>
      <c r="CX10" s="1610" t="s">
        <v>426</v>
      </c>
      <c r="CY10" s="1611"/>
      <c r="CZ10" s="1611"/>
      <c r="DA10" s="1611"/>
      <c r="DB10" s="1611"/>
      <c r="DC10" s="1611"/>
      <c r="DD10" s="1611"/>
      <c r="DE10" s="1611"/>
      <c r="DF10" s="1612"/>
      <c r="DH10" s="1613" t="s">
        <v>427</v>
      </c>
      <c r="DI10" s="1614"/>
      <c r="DJ10" s="1614"/>
      <c r="DK10" s="1614"/>
      <c r="DL10" s="1614"/>
      <c r="DM10" s="1614"/>
      <c r="DN10" s="1614"/>
      <c r="DO10" s="1614"/>
      <c r="DP10" s="1615"/>
    </row>
    <row r="11" spans="2:120" ht="30" customHeight="1" x14ac:dyDescent="0.25">
      <c r="B11" s="1632" t="s">
        <v>401</v>
      </c>
      <c r="C11" s="1417"/>
      <c r="D11" s="1417"/>
      <c r="E11" s="1417"/>
      <c r="F11" s="635"/>
      <c r="G11" s="1417" t="s">
        <v>399</v>
      </c>
      <c r="H11" s="1417"/>
      <c r="I11" s="1417"/>
      <c r="J11" s="634"/>
      <c r="L11" s="1633" t="s">
        <v>401</v>
      </c>
      <c r="M11" s="1634"/>
      <c r="N11" s="1634"/>
      <c r="O11" s="1635"/>
      <c r="P11" s="673"/>
      <c r="Q11" s="1636" t="s">
        <v>399</v>
      </c>
      <c r="R11" s="1634"/>
      <c r="S11" s="1635"/>
      <c r="T11" s="674"/>
      <c r="V11" s="1572" t="s">
        <v>401</v>
      </c>
      <c r="W11" s="1573"/>
      <c r="X11" s="1573"/>
      <c r="Y11" s="1573"/>
      <c r="Z11" s="708"/>
      <c r="AA11" s="1624" t="s">
        <v>399</v>
      </c>
      <c r="AB11" s="1625"/>
      <c r="AC11" s="1626"/>
      <c r="AD11" s="709"/>
      <c r="AF11" s="1627" t="s">
        <v>401</v>
      </c>
      <c r="AG11" s="1628"/>
      <c r="AH11" s="1628"/>
      <c r="AI11" s="1629"/>
      <c r="AJ11" s="745"/>
      <c r="AK11" s="1630" t="s">
        <v>399</v>
      </c>
      <c r="AL11" s="1628"/>
      <c r="AM11" s="1629"/>
      <c r="AN11" s="746"/>
      <c r="AP11" s="1617" t="s">
        <v>401</v>
      </c>
      <c r="AQ11" s="1269"/>
      <c r="AR11" s="1269"/>
      <c r="AS11" s="1269"/>
      <c r="AT11" s="779"/>
      <c r="AU11" s="1269" t="s">
        <v>399</v>
      </c>
      <c r="AV11" s="1269"/>
      <c r="AW11" s="1269"/>
      <c r="AX11" s="778"/>
      <c r="AZ11" s="1606" t="s">
        <v>401</v>
      </c>
      <c r="BA11" s="1438"/>
      <c r="BB11" s="1438"/>
      <c r="BC11" s="1438"/>
      <c r="BD11" s="673"/>
      <c r="BE11" s="1438" t="s">
        <v>399</v>
      </c>
      <c r="BF11" s="1438"/>
      <c r="BG11" s="1438"/>
      <c r="BH11" s="674"/>
      <c r="BJ11" s="1572" t="s">
        <v>401</v>
      </c>
      <c r="BK11" s="1573"/>
      <c r="BL11" s="1573"/>
      <c r="BM11" s="1573"/>
      <c r="BN11" s="708"/>
      <c r="BO11" s="1573" t="s">
        <v>399</v>
      </c>
      <c r="BP11" s="1573"/>
      <c r="BQ11" s="1573"/>
      <c r="BR11" s="709"/>
      <c r="BT11" s="1574" t="s">
        <v>401</v>
      </c>
      <c r="BU11" s="1575"/>
      <c r="BV11" s="1575"/>
      <c r="BW11" s="1575"/>
      <c r="BX11" s="745"/>
      <c r="BY11" s="1575" t="s">
        <v>399</v>
      </c>
      <c r="BZ11" s="1575"/>
      <c r="CA11" s="1575"/>
      <c r="CB11" s="746"/>
      <c r="CD11" s="1587" t="s">
        <v>401</v>
      </c>
      <c r="CE11" s="1588"/>
      <c r="CF11" s="1588"/>
      <c r="CG11" s="1588"/>
      <c r="CH11" s="68"/>
      <c r="CI11" s="1588" t="s">
        <v>399</v>
      </c>
      <c r="CJ11" s="1588"/>
      <c r="CK11" s="1588"/>
      <c r="CL11" s="619"/>
      <c r="CN11" s="1606" t="s">
        <v>401</v>
      </c>
      <c r="CO11" s="1438"/>
      <c r="CP11" s="1438"/>
      <c r="CQ11" s="1438"/>
      <c r="CR11" s="673"/>
      <c r="CS11" s="1438" t="s">
        <v>399</v>
      </c>
      <c r="CT11" s="1438"/>
      <c r="CU11" s="1438"/>
      <c r="CV11" s="674"/>
      <c r="CX11" s="1572" t="s">
        <v>401</v>
      </c>
      <c r="CY11" s="1573"/>
      <c r="CZ11" s="1573"/>
      <c r="DA11" s="1573"/>
      <c r="DB11" s="708"/>
      <c r="DC11" s="1573" t="s">
        <v>399</v>
      </c>
      <c r="DD11" s="1573"/>
      <c r="DE11" s="1573"/>
      <c r="DF11" s="709"/>
      <c r="DH11" s="1574" t="s">
        <v>401</v>
      </c>
      <c r="DI11" s="1575"/>
      <c r="DJ11" s="1575"/>
      <c r="DK11" s="1575"/>
      <c r="DL11" s="745"/>
      <c r="DM11" s="1575" t="s">
        <v>399</v>
      </c>
      <c r="DN11" s="1575"/>
      <c r="DO11" s="1575"/>
      <c r="DP11" s="746"/>
    </row>
    <row r="12" spans="2:120" ht="61.5" customHeight="1" x14ac:dyDescent="0.25">
      <c r="B12" s="840" t="s">
        <v>220</v>
      </c>
      <c r="C12" s="405" t="s">
        <v>222</v>
      </c>
      <c r="D12" s="404" t="s">
        <v>329</v>
      </c>
      <c r="E12" s="404" t="s">
        <v>216</v>
      </c>
      <c r="F12" s="635"/>
      <c r="G12" s="406" t="s">
        <v>220</v>
      </c>
      <c r="H12" s="403" t="s">
        <v>222</v>
      </c>
      <c r="I12" s="403" t="s">
        <v>216</v>
      </c>
      <c r="J12" s="636"/>
      <c r="L12" s="851" t="s">
        <v>220</v>
      </c>
      <c r="M12" s="219" t="s">
        <v>222</v>
      </c>
      <c r="N12" s="100" t="s">
        <v>329</v>
      </c>
      <c r="O12" s="100" t="s">
        <v>216</v>
      </c>
      <c r="P12" s="673"/>
      <c r="Q12" s="219" t="s">
        <v>220</v>
      </c>
      <c r="R12" s="100" t="s">
        <v>222</v>
      </c>
      <c r="S12" s="100" t="s">
        <v>216</v>
      </c>
      <c r="T12" s="675"/>
      <c r="V12" s="858" t="s">
        <v>220</v>
      </c>
      <c r="W12" s="416" t="s">
        <v>222</v>
      </c>
      <c r="X12" s="421" t="s">
        <v>329</v>
      </c>
      <c r="Y12" s="421" t="s">
        <v>216</v>
      </c>
      <c r="Z12" s="708"/>
      <c r="AA12" s="416" t="s">
        <v>220</v>
      </c>
      <c r="AB12" s="421" t="s">
        <v>222</v>
      </c>
      <c r="AC12" s="421" t="s">
        <v>216</v>
      </c>
      <c r="AD12" s="710"/>
      <c r="AF12" s="865" t="s">
        <v>220</v>
      </c>
      <c r="AG12" s="221" t="s">
        <v>222</v>
      </c>
      <c r="AH12" s="25" t="s">
        <v>329</v>
      </c>
      <c r="AI12" s="25" t="s">
        <v>216</v>
      </c>
      <c r="AJ12" s="745"/>
      <c r="AK12" s="221" t="s">
        <v>220</v>
      </c>
      <c r="AL12" s="25" t="s">
        <v>222</v>
      </c>
      <c r="AM12" s="25" t="s">
        <v>216</v>
      </c>
      <c r="AN12" s="838"/>
      <c r="AO12" s="226"/>
      <c r="AP12" s="872" t="s">
        <v>220</v>
      </c>
      <c r="AQ12" s="216" t="s">
        <v>222</v>
      </c>
      <c r="AR12" s="213" t="s">
        <v>329</v>
      </c>
      <c r="AS12" s="213" t="s">
        <v>216</v>
      </c>
      <c r="AT12" s="779"/>
      <c r="AU12" s="216" t="s">
        <v>220</v>
      </c>
      <c r="AV12" s="213" t="s">
        <v>222</v>
      </c>
      <c r="AW12" s="213" t="s">
        <v>216</v>
      </c>
      <c r="AX12" s="871"/>
      <c r="AZ12" s="851" t="s">
        <v>220</v>
      </c>
      <c r="BA12" s="219" t="s">
        <v>222</v>
      </c>
      <c r="BB12" s="100" t="s">
        <v>329</v>
      </c>
      <c r="BC12" s="100" t="s">
        <v>216</v>
      </c>
      <c r="BD12" s="673"/>
      <c r="BE12" s="219" t="s">
        <v>220</v>
      </c>
      <c r="BF12" s="100" t="s">
        <v>222</v>
      </c>
      <c r="BG12" s="100" t="s">
        <v>216</v>
      </c>
      <c r="BH12" s="675"/>
      <c r="BJ12" s="858" t="s">
        <v>220</v>
      </c>
      <c r="BK12" s="416" t="s">
        <v>222</v>
      </c>
      <c r="BL12" s="421" t="s">
        <v>329</v>
      </c>
      <c r="BM12" s="421" t="s">
        <v>216</v>
      </c>
      <c r="BN12" s="708"/>
      <c r="BO12" s="416" t="s">
        <v>220</v>
      </c>
      <c r="BP12" s="421" t="s">
        <v>222</v>
      </c>
      <c r="BQ12" s="421" t="s">
        <v>216</v>
      </c>
      <c r="BR12" s="710"/>
      <c r="BT12" s="865" t="s">
        <v>220</v>
      </c>
      <c r="BU12" s="221" t="s">
        <v>222</v>
      </c>
      <c r="BV12" s="25" t="s">
        <v>329</v>
      </c>
      <c r="BW12" s="25" t="s">
        <v>216</v>
      </c>
      <c r="BX12" s="745"/>
      <c r="BY12" s="221" t="s">
        <v>220</v>
      </c>
      <c r="BZ12" s="25" t="s">
        <v>222</v>
      </c>
      <c r="CA12" s="25" t="s">
        <v>216</v>
      </c>
      <c r="CB12" s="838"/>
      <c r="CD12" s="890" t="s">
        <v>220</v>
      </c>
      <c r="CE12" s="107" t="s">
        <v>222</v>
      </c>
      <c r="CF12" s="225" t="s">
        <v>329</v>
      </c>
      <c r="CG12" s="225" t="s">
        <v>216</v>
      </c>
      <c r="CH12" s="68"/>
      <c r="CI12" s="107" t="s">
        <v>220</v>
      </c>
      <c r="CJ12" s="225" t="s">
        <v>222</v>
      </c>
      <c r="CK12" s="225" t="s">
        <v>216</v>
      </c>
      <c r="CL12" s="888"/>
      <c r="CM12" s="226"/>
      <c r="CN12" s="851" t="s">
        <v>220</v>
      </c>
      <c r="CO12" s="219" t="s">
        <v>222</v>
      </c>
      <c r="CP12" s="100" t="s">
        <v>329</v>
      </c>
      <c r="CQ12" s="100" t="s">
        <v>216</v>
      </c>
      <c r="CR12" s="673"/>
      <c r="CS12" s="219" t="s">
        <v>220</v>
      </c>
      <c r="CT12" s="100" t="s">
        <v>222</v>
      </c>
      <c r="CU12" s="100" t="s">
        <v>216</v>
      </c>
      <c r="CV12" s="675"/>
      <c r="CX12" s="858" t="s">
        <v>220</v>
      </c>
      <c r="CY12" s="416" t="s">
        <v>222</v>
      </c>
      <c r="CZ12" s="421" t="s">
        <v>329</v>
      </c>
      <c r="DA12" s="421" t="s">
        <v>216</v>
      </c>
      <c r="DB12" s="708"/>
      <c r="DC12" s="416" t="s">
        <v>220</v>
      </c>
      <c r="DD12" s="421" t="s">
        <v>222</v>
      </c>
      <c r="DE12" s="421" t="s">
        <v>216</v>
      </c>
      <c r="DF12" s="710"/>
      <c r="DH12" s="865" t="s">
        <v>220</v>
      </c>
      <c r="DI12" s="221" t="s">
        <v>222</v>
      </c>
      <c r="DJ12" s="25" t="s">
        <v>329</v>
      </c>
      <c r="DK12" s="25" t="s">
        <v>216</v>
      </c>
      <c r="DL12" s="745"/>
      <c r="DM12" s="221" t="s">
        <v>220</v>
      </c>
      <c r="DN12" s="25" t="s">
        <v>222</v>
      </c>
      <c r="DO12" s="25" t="s">
        <v>216</v>
      </c>
      <c r="DP12" s="338"/>
    </row>
    <row r="13" spans="2:120" ht="30" x14ac:dyDescent="0.25">
      <c r="B13" s="841" t="s">
        <v>74</v>
      </c>
      <c r="C13" s="637">
        <v>1</v>
      </c>
      <c r="D13" s="637" t="s">
        <v>221</v>
      </c>
      <c r="E13" s="637" t="s">
        <v>217</v>
      </c>
      <c r="F13" s="638"/>
      <c r="G13" s="639" t="s">
        <v>75</v>
      </c>
      <c r="H13" s="637">
        <v>1</v>
      </c>
      <c r="I13" s="637" t="s">
        <v>217</v>
      </c>
      <c r="J13" s="634"/>
      <c r="L13" s="878" t="s">
        <v>74</v>
      </c>
      <c r="M13" s="676">
        <v>1</v>
      </c>
      <c r="N13" s="676" t="s">
        <v>221</v>
      </c>
      <c r="O13" s="676" t="s">
        <v>217</v>
      </c>
      <c r="P13" s="677"/>
      <c r="Q13" s="678" t="s">
        <v>75</v>
      </c>
      <c r="R13" s="676">
        <v>1</v>
      </c>
      <c r="S13" s="676" t="s">
        <v>217</v>
      </c>
      <c r="T13" s="674"/>
      <c r="V13" s="859" t="s">
        <v>74</v>
      </c>
      <c r="W13" s="415">
        <v>1</v>
      </c>
      <c r="X13" s="415" t="s">
        <v>221</v>
      </c>
      <c r="Y13" s="415" t="s">
        <v>217</v>
      </c>
      <c r="Z13" s="711"/>
      <c r="AA13" s="712" t="s">
        <v>75</v>
      </c>
      <c r="AB13" s="415">
        <v>1</v>
      </c>
      <c r="AC13" s="415" t="s">
        <v>217</v>
      </c>
      <c r="AD13" s="709"/>
      <c r="AF13" s="879" t="s">
        <v>74</v>
      </c>
      <c r="AG13" s="136">
        <v>1</v>
      </c>
      <c r="AH13" s="136" t="s">
        <v>221</v>
      </c>
      <c r="AI13" s="136" t="s">
        <v>217</v>
      </c>
      <c r="AJ13" s="425"/>
      <c r="AK13" s="747" t="s">
        <v>75</v>
      </c>
      <c r="AL13" s="136">
        <v>1</v>
      </c>
      <c r="AM13" s="136" t="s">
        <v>217</v>
      </c>
      <c r="AN13" s="746"/>
      <c r="AP13" s="873" t="s">
        <v>74</v>
      </c>
      <c r="AQ13" s="780">
        <v>1</v>
      </c>
      <c r="AR13" s="780" t="s">
        <v>221</v>
      </c>
      <c r="AS13" s="780" t="s">
        <v>217</v>
      </c>
      <c r="AT13" s="424"/>
      <c r="AU13" s="781" t="s">
        <v>75</v>
      </c>
      <c r="AV13" s="780">
        <v>1</v>
      </c>
      <c r="AW13" s="780" t="s">
        <v>217</v>
      </c>
      <c r="AX13" s="778"/>
      <c r="AZ13" s="849" t="s">
        <v>74</v>
      </c>
      <c r="BA13" s="676">
        <v>1</v>
      </c>
      <c r="BB13" s="676" t="s">
        <v>221</v>
      </c>
      <c r="BC13" s="676" t="s">
        <v>217</v>
      </c>
      <c r="BD13" s="677"/>
      <c r="BE13" s="678" t="s">
        <v>75</v>
      </c>
      <c r="BF13" s="676">
        <v>1</v>
      </c>
      <c r="BG13" s="676" t="s">
        <v>217</v>
      </c>
      <c r="BH13" s="674"/>
      <c r="BJ13" s="859" t="s">
        <v>74</v>
      </c>
      <c r="BK13" s="415">
        <v>1</v>
      </c>
      <c r="BL13" s="415" t="s">
        <v>221</v>
      </c>
      <c r="BM13" s="415" t="s">
        <v>217</v>
      </c>
      <c r="BN13" s="711"/>
      <c r="BO13" s="712" t="s">
        <v>75</v>
      </c>
      <c r="BP13" s="415">
        <v>1</v>
      </c>
      <c r="BQ13" s="415" t="s">
        <v>217</v>
      </c>
      <c r="BR13" s="709"/>
      <c r="BT13" s="865" t="s">
        <v>74</v>
      </c>
      <c r="BU13" s="136">
        <v>1</v>
      </c>
      <c r="BV13" s="136" t="s">
        <v>221</v>
      </c>
      <c r="BW13" s="136" t="s">
        <v>217</v>
      </c>
      <c r="BX13" s="425"/>
      <c r="BY13" s="747" t="s">
        <v>75</v>
      </c>
      <c r="BZ13" s="136">
        <v>1</v>
      </c>
      <c r="CA13" s="136" t="s">
        <v>217</v>
      </c>
      <c r="CB13" s="746"/>
      <c r="CD13" s="889" t="s">
        <v>74</v>
      </c>
      <c r="CE13" s="108">
        <v>1</v>
      </c>
      <c r="CF13" s="108" t="s">
        <v>221</v>
      </c>
      <c r="CG13" s="108" t="s">
        <v>217</v>
      </c>
      <c r="CH13" s="620"/>
      <c r="CI13" s="109" t="s">
        <v>75</v>
      </c>
      <c r="CJ13" s="108">
        <v>1</v>
      </c>
      <c r="CK13" s="108" t="s">
        <v>217</v>
      </c>
      <c r="CL13" s="619"/>
      <c r="CN13" s="851" t="s">
        <v>74</v>
      </c>
      <c r="CO13" s="676">
        <v>1</v>
      </c>
      <c r="CP13" s="676" t="s">
        <v>221</v>
      </c>
      <c r="CQ13" s="676" t="s">
        <v>217</v>
      </c>
      <c r="CR13" s="677"/>
      <c r="CS13" s="678" t="s">
        <v>75</v>
      </c>
      <c r="CT13" s="676">
        <v>1</v>
      </c>
      <c r="CU13" s="676" t="s">
        <v>217</v>
      </c>
      <c r="CV13" s="674"/>
      <c r="CX13" s="859" t="s">
        <v>74</v>
      </c>
      <c r="CY13" s="415">
        <v>1</v>
      </c>
      <c r="CZ13" s="415" t="s">
        <v>221</v>
      </c>
      <c r="DA13" s="415" t="s">
        <v>217</v>
      </c>
      <c r="DB13" s="711"/>
      <c r="DC13" s="712" t="s">
        <v>75</v>
      </c>
      <c r="DD13" s="415">
        <v>1</v>
      </c>
      <c r="DE13" s="415" t="s">
        <v>217</v>
      </c>
      <c r="DF13" s="709"/>
      <c r="DH13" s="879" t="s">
        <v>74</v>
      </c>
      <c r="DI13" s="136">
        <v>1</v>
      </c>
      <c r="DJ13" s="136" t="s">
        <v>221</v>
      </c>
      <c r="DK13" s="136" t="s">
        <v>217</v>
      </c>
      <c r="DL13" s="425"/>
      <c r="DM13" s="747" t="s">
        <v>75</v>
      </c>
      <c r="DN13" s="136">
        <v>1</v>
      </c>
      <c r="DO13" s="136" t="s">
        <v>217</v>
      </c>
      <c r="DP13" s="746"/>
    </row>
    <row r="14" spans="2:120" ht="34.5" customHeight="1" x14ac:dyDescent="0.25">
      <c r="B14" s="657" t="s">
        <v>76</v>
      </c>
      <c r="C14" s="637" t="s">
        <v>95</v>
      </c>
      <c r="D14" s="637" t="s">
        <v>221</v>
      </c>
      <c r="E14" s="637" t="s">
        <v>221</v>
      </c>
      <c r="F14" s="638"/>
      <c r="G14" s="639" t="s">
        <v>77</v>
      </c>
      <c r="H14" s="640">
        <f>+'COMPRA DE MP ANUAL'!C41</f>
        <v>3889866.6666666665</v>
      </c>
      <c r="I14" s="637" t="s">
        <v>223</v>
      </c>
      <c r="J14" s="641"/>
      <c r="L14" s="853" t="s">
        <v>76</v>
      </c>
      <c r="M14" s="676" t="s">
        <v>95</v>
      </c>
      <c r="N14" s="676" t="s">
        <v>221</v>
      </c>
      <c r="O14" s="676" t="s">
        <v>221</v>
      </c>
      <c r="P14" s="677"/>
      <c r="Q14" s="678" t="s">
        <v>77</v>
      </c>
      <c r="R14" s="679">
        <f>+'COMPRA DE MP ANUAL'!K41</f>
        <v>3861133.3333333335</v>
      </c>
      <c r="S14" s="676" t="s">
        <v>223</v>
      </c>
      <c r="T14" s="680"/>
      <c r="V14" s="858" t="s">
        <v>76</v>
      </c>
      <c r="W14" s="415" t="s">
        <v>95</v>
      </c>
      <c r="X14" s="415" t="s">
        <v>221</v>
      </c>
      <c r="Y14" s="415" t="s">
        <v>221</v>
      </c>
      <c r="Z14" s="711"/>
      <c r="AA14" s="712" t="s">
        <v>77</v>
      </c>
      <c r="AB14" s="713">
        <f>+'COMPRA DE MP ANUAL'!K41</f>
        <v>3861133.3333333335</v>
      </c>
      <c r="AC14" s="415" t="s">
        <v>223</v>
      </c>
      <c r="AD14" s="714"/>
      <c r="AF14" s="865" t="s">
        <v>76</v>
      </c>
      <c r="AG14" s="136" t="s">
        <v>95</v>
      </c>
      <c r="AH14" s="136" t="s">
        <v>221</v>
      </c>
      <c r="AI14" s="136" t="s">
        <v>221</v>
      </c>
      <c r="AJ14" s="425"/>
      <c r="AK14" s="747" t="s">
        <v>77</v>
      </c>
      <c r="AL14" s="748">
        <f>+'COMPRA DE MP ANUAL'!O41</f>
        <v>3878800</v>
      </c>
      <c r="AM14" s="136" t="s">
        <v>223</v>
      </c>
      <c r="AN14" s="749"/>
      <c r="AO14" s="103"/>
      <c r="AP14" s="872" t="s">
        <v>76</v>
      </c>
      <c r="AQ14" s="780" t="s">
        <v>95</v>
      </c>
      <c r="AR14" s="780" t="s">
        <v>221</v>
      </c>
      <c r="AS14" s="780" t="s">
        <v>221</v>
      </c>
      <c r="AT14" s="424"/>
      <c r="AU14" s="781" t="s">
        <v>77</v>
      </c>
      <c r="AV14" s="782">
        <f>+'COMPRA DE MP ANUAL'!S41</f>
        <v>3863933.3333333335</v>
      </c>
      <c r="AW14" s="780" t="s">
        <v>223</v>
      </c>
      <c r="AX14" s="783"/>
      <c r="AZ14" s="851" t="s">
        <v>76</v>
      </c>
      <c r="BA14" s="676" t="s">
        <v>95</v>
      </c>
      <c r="BB14" s="676" t="s">
        <v>221</v>
      </c>
      <c r="BC14" s="676" t="s">
        <v>221</v>
      </c>
      <c r="BD14" s="677"/>
      <c r="BE14" s="678" t="s">
        <v>77</v>
      </c>
      <c r="BF14" s="679">
        <f>+'COMPRA DE MP ANUAL'!W41</f>
        <v>3886516.1290322579</v>
      </c>
      <c r="BG14" s="676" t="s">
        <v>223</v>
      </c>
      <c r="BH14" s="680"/>
      <c r="BJ14" s="858" t="s">
        <v>76</v>
      </c>
      <c r="BK14" s="415" t="s">
        <v>95</v>
      </c>
      <c r="BL14" s="415" t="s">
        <v>221</v>
      </c>
      <c r="BM14" s="415" t="s">
        <v>221</v>
      </c>
      <c r="BN14" s="711"/>
      <c r="BO14" s="712" t="s">
        <v>77</v>
      </c>
      <c r="BP14" s="713">
        <f>+'COMPRA DE MP ANUAL'!AA41</f>
        <v>3849548.3870967743</v>
      </c>
      <c r="BQ14" s="415" t="s">
        <v>223</v>
      </c>
      <c r="BR14" s="714"/>
      <c r="BT14" s="865" t="s">
        <v>76</v>
      </c>
      <c r="BU14" s="136" t="s">
        <v>95</v>
      </c>
      <c r="BV14" s="136" t="s">
        <v>221</v>
      </c>
      <c r="BW14" s="136" t="s">
        <v>221</v>
      </c>
      <c r="BX14" s="425"/>
      <c r="BY14" s="747" t="s">
        <v>77</v>
      </c>
      <c r="BZ14" s="748">
        <f>+'COMPRA DE MP ANUAL'!AE41</f>
        <v>3838322.5806451612</v>
      </c>
      <c r="CA14" s="136" t="s">
        <v>223</v>
      </c>
      <c r="CB14" s="749"/>
      <c r="CD14" s="890" t="s">
        <v>76</v>
      </c>
      <c r="CE14" s="108" t="s">
        <v>95</v>
      </c>
      <c r="CF14" s="108" t="s">
        <v>221</v>
      </c>
      <c r="CG14" s="108" t="s">
        <v>221</v>
      </c>
      <c r="CH14" s="620"/>
      <c r="CI14" s="109" t="s">
        <v>77</v>
      </c>
      <c r="CJ14" s="110">
        <f>+'COMPRA DE MP ANUAL'!AI41</f>
        <v>3903419.3548387098</v>
      </c>
      <c r="CK14" s="108" t="s">
        <v>223</v>
      </c>
      <c r="CL14" s="621"/>
      <c r="CM14" s="103"/>
      <c r="CN14" s="851" t="s">
        <v>76</v>
      </c>
      <c r="CO14" s="895"/>
      <c r="CP14" s="676" t="s">
        <v>221</v>
      </c>
      <c r="CQ14" s="676" t="s">
        <v>95</v>
      </c>
      <c r="CR14" s="677"/>
      <c r="CS14" s="678" t="s">
        <v>77</v>
      </c>
      <c r="CT14" s="679">
        <f>+'COMPRA DE MP ANUAL'!AM41</f>
        <v>3904133.3333333335</v>
      </c>
      <c r="CU14" s="676" t="s">
        <v>223</v>
      </c>
      <c r="CV14" s="680"/>
      <c r="CX14" s="858" t="s">
        <v>76</v>
      </c>
      <c r="CY14" s="415" t="s">
        <v>95</v>
      </c>
      <c r="CZ14" s="415" t="s">
        <v>221</v>
      </c>
      <c r="DA14" s="415" t="s">
        <v>221</v>
      </c>
      <c r="DB14" s="711"/>
      <c r="DC14" s="712" t="s">
        <v>77</v>
      </c>
      <c r="DD14" s="713">
        <f>+'COMPRA DE MP ANUAL'!AQ41</f>
        <v>3871666.6666666665</v>
      </c>
      <c r="DE14" s="415" t="s">
        <v>223</v>
      </c>
      <c r="DF14" s="714"/>
      <c r="DH14" s="865" t="s">
        <v>76</v>
      </c>
      <c r="DI14" s="136" t="s">
        <v>95</v>
      </c>
      <c r="DJ14" s="136" t="s">
        <v>221</v>
      </c>
      <c r="DK14" s="136" t="s">
        <v>221</v>
      </c>
      <c r="DL14" s="425"/>
      <c r="DM14" s="747" t="s">
        <v>77</v>
      </c>
      <c r="DN14" s="748">
        <f>+'COMPRA DE MP ANUAL'!AU41</f>
        <v>3877096.7741935486</v>
      </c>
      <c r="DO14" s="136" t="s">
        <v>223</v>
      </c>
      <c r="DP14" s="749"/>
    </row>
    <row r="15" spans="2:120" ht="37.5" customHeight="1" x14ac:dyDescent="0.25">
      <c r="B15" s="657" t="s">
        <v>328</v>
      </c>
      <c r="C15" s="642">
        <f>+'COMPRA DE MP ANUAL'!D41</f>
        <v>483.54476414756391</v>
      </c>
      <c r="D15" s="643">
        <v>1</v>
      </c>
      <c r="E15" s="637" t="s">
        <v>218</v>
      </c>
      <c r="F15" s="638"/>
      <c r="G15" s="644" t="s">
        <v>78</v>
      </c>
      <c r="H15" s="640">
        <f>+H14/C15</f>
        <v>8044.4809975847274</v>
      </c>
      <c r="I15" s="637" t="s">
        <v>223</v>
      </c>
      <c r="J15" s="641"/>
      <c r="L15" s="853" t="s">
        <v>328</v>
      </c>
      <c r="M15" s="681">
        <f>+'COMPRA DE MP ANUAL'!H41</f>
        <v>477.52189393708778</v>
      </c>
      <c r="N15" s="682">
        <v>1</v>
      </c>
      <c r="O15" s="676" t="s">
        <v>218</v>
      </c>
      <c r="P15" s="677"/>
      <c r="Q15" s="683" t="s">
        <v>78</v>
      </c>
      <c r="R15" s="679">
        <f>+R14/M15</f>
        <v>8085.7723642761966</v>
      </c>
      <c r="S15" s="676" t="s">
        <v>223</v>
      </c>
      <c r="T15" s="680"/>
      <c r="V15" s="858" t="s">
        <v>328</v>
      </c>
      <c r="W15" s="715">
        <f>+'COMPRA DE MP ANUAL'!L41</f>
        <v>476</v>
      </c>
      <c r="X15" s="716">
        <v>1</v>
      </c>
      <c r="Y15" s="415" t="s">
        <v>218</v>
      </c>
      <c r="Z15" s="711"/>
      <c r="AA15" s="717" t="s">
        <v>78</v>
      </c>
      <c r="AB15" s="713">
        <f>+AB14/W15</f>
        <v>8111.6246498599439</v>
      </c>
      <c r="AC15" s="415" t="s">
        <v>223</v>
      </c>
      <c r="AD15" s="714"/>
      <c r="AF15" s="879" t="s">
        <v>328</v>
      </c>
      <c r="AG15" s="750">
        <f>+'COMPRA DE MP ANUAL'!P41</f>
        <v>471.66666666666669</v>
      </c>
      <c r="AH15" s="751">
        <v>1</v>
      </c>
      <c r="AI15" s="136" t="s">
        <v>218</v>
      </c>
      <c r="AJ15" s="425"/>
      <c r="AK15" s="752" t="s">
        <v>78</v>
      </c>
      <c r="AL15" s="748">
        <f>+AL14/AG15</f>
        <v>8223.6042402826861</v>
      </c>
      <c r="AM15" s="136" t="s">
        <v>223</v>
      </c>
      <c r="AN15" s="749"/>
      <c r="AO15" s="103"/>
      <c r="AP15" s="873" t="s">
        <v>328</v>
      </c>
      <c r="AQ15" s="784">
        <f>+'COMPRA DE MP ANUAL'!T41</f>
        <v>474.2726237349907</v>
      </c>
      <c r="AR15" s="785">
        <v>1</v>
      </c>
      <c r="AS15" s="780" t="s">
        <v>218</v>
      </c>
      <c r="AT15" s="424"/>
      <c r="AU15" s="786" t="s">
        <v>78</v>
      </c>
      <c r="AV15" s="782">
        <f>+AV14/AQ15</f>
        <v>8147.0722533046383</v>
      </c>
      <c r="AW15" s="780" t="s">
        <v>223</v>
      </c>
      <c r="AX15" s="783"/>
      <c r="AZ15" s="849" t="s">
        <v>328</v>
      </c>
      <c r="BA15" s="681">
        <f>+'COMPRA DE MP ANUAL'!X41</f>
        <v>469.83870967741933</v>
      </c>
      <c r="BB15" s="682">
        <v>1</v>
      </c>
      <c r="BC15" s="676" t="s">
        <v>218</v>
      </c>
      <c r="BD15" s="677"/>
      <c r="BE15" s="683" t="s">
        <v>78</v>
      </c>
      <c r="BF15" s="679">
        <f>+BF14/BA15</f>
        <v>8272.0219704771716</v>
      </c>
      <c r="BG15" s="676" t="s">
        <v>223</v>
      </c>
      <c r="BH15" s="680"/>
      <c r="BJ15" s="858" t="s">
        <v>328</v>
      </c>
      <c r="BK15" s="715">
        <f>+'COMPRA DE MP ANUAL'!AB41</f>
        <v>472.41935483870969</v>
      </c>
      <c r="BL15" s="716">
        <v>1</v>
      </c>
      <c r="BM15" s="415" t="s">
        <v>218</v>
      </c>
      <c r="BN15" s="711"/>
      <c r="BO15" s="717" t="s">
        <v>78</v>
      </c>
      <c r="BP15" s="713">
        <f>+BP14/BK15</f>
        <v>8148.5831341754865</v>
      </c>
      <c r="BQ15" s="415" t="s">
        <v>223</v>
      </c>
      <c r="BR15" s="714"/>
      <c r="BT15" s="879" t="s">
        <v>328</v>
      </c>
      <c r="BU15" s="750">
        <f>+'COMPRA DE MP ANUAL'!AF41</f>
        <v>471.07436433316786</v>
      </c>
      <c r="BV15" s="751">
        <v>1</v>
      </c>
      <c r="BW15" s="136" t="s">
        <v>218</v>
      </c>
      <c r="BX15" s="425"/>
      <c r="BY15" s="752" t="s">
        <v>78</v>
      </c>
      <c r="BZ15" s="748">
        <f>+BZ14/BU15</f>
        <v>8148.0183836335937</v>
      </c>
      <c r="CA15" s="136" t="s">
        <v>223</v>
      </c>
      <c r="CB15" s="749"/>
      <c r="CD15" s="889" t="s">
        <v>328</v>
      </c>
      <c r="CE15" s="111">
        <f>+'COMPRA DE MP ANUAL'!AJ41</f>
        <v>469.14296376150594</v>
      </c>
      <c r="CF15" s="112">
        <v>1</v>
      </c>
      <c r="CG15" s="108" t="s">
        <v>218</v>
      </c>
      <c r="CH15" s="620"/>
      <c r="CI15" s="113" t="s">
        <v>78</v>
      </c>
      <c r="CJ15" s="110">
        <f>+CJ14/CE15</f>
        <v>8320.319511011694</v>
      </c>
      <c r="CK15" s="108" t="s">
        <v>223</v>
      </c>
      <c r="CL15" s="621"/>
      <c r="CM15" s="103"/>
      <c r="CN15" s="849" t="s">
        <v>328</v>
      </c>
      <c r="CO15" s="681">
        <f>+'COMPRA DE MP ANUAL'!AN41</f>
        <v>468.16666666666669</v>
      </c>
      <c r="CP15" s="682">
        <v>1</v>
      </c>
      <c r="CQ15" s="676" t="s">
        <v>218</v>
      </c>
      <c r="CR15" s="677"/>
      <c r="CS15" s="683" t="s">
        <v>78</v>
      </c>
      <c r="CT15" s="679">
        <f>+CT14/CO15</f>
        <v>8339.1954432182265</v>
      </c>
      <c r="CU15" s="676" t="s">
        <v>223</v>
      </c>
      <c r="CV15" s="680"/>
      <c r="CX15" s="859" t="s">
        <v>328</v>
      </c>
      <c r="CY15" s="715">
        <f>+'COMPRA DE MP ANUAL'!AR41</f>
        <v>470.60595706832407</v>
      </c>
      <c r="CZ15" s="716">
        <v>1</v>
      </c>
      <c r="DA15" s="415" t="s">
        <v>218</v>
      </c>
      <c r="DB15" s="711"/>
      <c r="DC15" s="717" t="s">
        <v>78</v>
      </c>
      <c r="DD15" s="713">
        <f>+DD14/CY15</f>
        <v>8226.9818486478816</v>
      </c>
      <c r="DE15" s="415" t="s">
        <v>223</v>
      </c>
      <c r="DF15" s="714"/>
      <c r="DH15" s="879" t="s">
        <v>328</v>
      </c>
      <c r="DI15" s="750">
        <f>+'COMPRA DE MP ANUAL'!AV41</f>
        <v>469.93915063270623</v>
      </c>
      <c r="DJ15" s="751">
        <v>1</v>
      </c>
      <c r="DK15" s="136" t="s">
        <v>218</v>
      </c>
      <c r="DL15" s="425"/>
      <c r="DM15" s="752" t="s">
        <v>78</v>
      </c>
      <c r="DN15" s="748">
        <f>+DN14/DI15</f>
        <v>8250.2102005623256</v>
      </c>
      <c r="DO15" s="136" t="s">
        <v>223</v>
      </c>
      <c r="DP15" s="749"/>
    </row>
    <row r="16" spans="2:120" ht="62.25" customHeight="1" x14ac:dyDescent="0.25">
      <c r="B16" s="841" t="s">
        <v>330</v>
      </c>
      <c r="C16" s="645">
        <f>+$C$15*D16</f>
        <v>372.32946839362421</v>
      </c>
      <c r="D16" s="646">
        <v>0.77</v>
      </c>
      <c r="E16" s="637" t="s">
        <v>218</v>
      </c>
      <c r="F16" s="638"/>
      <c r="G16" s="647" t="s">
        <v>224</v>
      </c>
      <c r="H16" s="640">
        <f>+H15/2</f>
        <v>4022.2404987923637</v>
      </c>
      <c r="I16" s="637" t="s">
        <v>223</v>
      </c>
      <c r="J16" s="641"/>
      <c r="L16" s="878" t="s">
        <v>330</v>
      </c>
      <c r="M16" s="684">
        <f>+$M$15*N16</f>
        <v>367.69185833155763</v>
      </c>
      <c r="N16" s="685">
        <v>0.77</v>
      </c>
      <c r="O16" s="676" t="s">
        <v>218</v>
      </c>
      <c r="P16" s="677"/>
      <c r="Q16" s="214" t="s">
        <v>224</v>
      </c>
      <c r="R16" s="679">
        <f>+R15/2</f>
        <v>4042.8861821380983</v>
      </c>
      <c r="S16" s="676" t="s">
        <v>223</v>
      </c>
      <c r="T16" s="680"/>
      <c r="V16" s="859" t="s">
        <v>330</v>
      </c>
      <c r="W16" s="718">
        <f>$W$15*X16</f>
        <v>366.52</v>
      </c>
      <c r="X16" s="719">
        <v>0.77</v>
      </c>
      <c r="Y16" s="415" t="s">
        <v>218</v>
      </c>
      <c r="Z16" s="711"/>
      <c r="AA16" s="355" t="s">
        <v>224</v>
      </c>
      <c r="AB16" s="713">
        <f>+AB15/2</f>
        <v>4055.812324929972</v>
      </c>
      <c r="AC16" s="415" t="s">
        <v>223</v>
      </c>
      <c r="AD16" s="714"/>
      <c r="AF16" s="879" t="s">
        <v>330</v>
      </c>
      <c r="AG16" s="753">
        <f>+$AG$15*AH16</f>
        <v>363.18333333333334</v>
      </c>
      <c r="AH16" s="754">
        <v>0.77</v>
      </c>
      <c r="AI16" s="136" t="s">
        <v>218</v>
      </c>
      <c r="AJ16" s="425"/>
      <c r="AK16" s="217" t="s">
        <v>224</v>
      </c>
      <c r="AL16" s="748">
        <f>+AL15/2</f>
        <v>4111.802120141343</v>
      </c>
      <c r="AM16" s="136" t="s">
        <v>223</v>
      </c>
      <c r="AN16" s="749"/>
      <c r="AO16" s="103"/>
      <c r="AP16" s="873" t="s">
        <v>330</v>
      </c>
      <c r="AQ16" s="787">
        <f>$AQ$15*AR16</f>
        <v>365.18992027594282</v>
      </c>
      <c r="AR16" s="788">
        <v>0.77</v>
      </c>
      <c r="AS16" s="780" t="s">
        <v>218</v>
      </c>
      <c r="AT16" s="424"/>
      <c r="AU16" s="786" t="s">
        <v>224</v>
      </c>
      <c r="AV16" s="782">
        <f>+AV15/2</f>
        <v>4073.5361266523191</v>
      </c>
      <c r="AW16" s="780" t="s">
        <v>223</v>
      </c>
      <c r="AX16" s="783"/>
      <c r="AZ16" s="849" t="s">
        <v>330</v>
      </c>
      <c r="BA16" s="684">
        <f>$BA$15*BB16</f>
        <v>361.77580645161288</v>
      </c>
      <c r="BB16" s="685">
        <v>0.77</v>
      </c>
      <c r="BC16" s="676" t="s">
        <v>218</v>
      </c>
      <c r="BD16" s="677"/>
      <c r="BE16" s="214" t="s">
        <v>224</v>
      </c>
      <c r="BF16" s="679">
        <f>+BF15/2</f>
        <v>4136.0109852385858</v>
      </c>
      <c r="BG16" s="676" t="s">
        <v>223</v>
      </c>
      <c r="BH16" s="680"/>
      <c r="BJ16" s="859" t="s">
        <v>330</v>
      </c>
      <c r="BK16" s="718">
        <f>$BK$15*BL16</f>
        <v>363.7629032258065</v>
      </c>
      <c r="BL16" s="719">
        <v>0.77</v>
      </c>
      <c r="BM16" s="415" t="s">
        <v>218</v>
      </c>
      <c r="BN16" s="711"/>
      <c r="BO16" s="717" t="s">
        <v>224</v>
      </c>
      <c r="BP16" s="713">
        <f>+BP15/2</f>
        <v>4074.2915670877433</v>
      </c>
      <c r="BQ16" s="415" t="s">
        <v>223</v>
      </c>
      <c r="BR16" s="714"/>
      <c r="BT16" s="879" t="s">
        <v>330</v>
      </c>
      <c r="BU16" s="753">
        <f>$BU$15*BV16</f>
        <v>362.72726053653929</v>
      </c>
      <c r="BV16" s="754">
        <v>0.77</v>
      </c>
      <c r="BW16" s="136" t="s">
        <v>218</v>
      </c>
      <c r="BX16" s="425"/>
      <c r="BY16" s="752" t="s">
        <v>224</v>
      </c>
      <c r="BZ16" s="748">
        <f>+BZ15/2</f>
        <v>4074.0091918167968</v>
      </c>
      <c r="CA16" s="136" t="s">
        <v>223</v>
      </c>
      <c r="CB16" s="749"/>
      <c r="CD16" s="889" t="s">
        <v>330</v>
      </c>
      <c r="CE16" s="115">
        <f>+$CE$15*CF16</f>
        <v>361.24008209635957</v>
      </c>
      <c r="CF16" s="116">
        <v>0.77</v>
      </c>
      <c r="CG16" s="108" t="s">
        <v>218</v>
      </c>
      <c r="CH16" s="620"/>
      <c r="CI16" s="113" t="s">
        <v>224</v>
      </c>
      <c r="CJ16" s="110">
        <f>+CJ15/2</f>
        <v>4160.159755505847</v>
      </c>
      <c r="CK16" s="108" t="s">
        <v>223</v>
      </c>
      <c r="CL16" s="621"/>
      <c r="CM16" s="103"/>
      <c r="CN16" s="849" t="s">
        <v>330</v>
      </c>
      <c r="CO16" s="681">
        <f>+$CO$15*CP16</f>
        <v>360.48833333333334</v>
      </c>
      <c r="CP16" s="685">
        <v>0.77</v>
      </c>
      <c r="CQ16" s="676" t="s">
        <v>218</v>
      </c>
      <c r="CR16" s="677"/>
      <c r="CS16" s="214" t="s">
        <v>224</v>
      </c>
      <c r="CT16" s="679">
        <f>+CT15/2</f>
        <v>4169.5977216091133</v>
      </c>
      <c r="CU16" s="676" t="s">
        <v>223</v>
      </c>
      <c r="CV16" s="680"/>
      <c r="CX16" s="859" t="s">
        <v>330</v>
      </c>
      <c r="CY16" s="718">
        <f>$CY$15*CZ16</f>
        <v>362.36658694260956</v>
      </c>
      <c r="CZ16" s="719">
        <v>0.77</v>
      </c>
      <c r="DA16" s="415" t="s">
        <v>218</v>
      </c>
      <c r="DB16" s="711"/>
      <c r="DC16" s="355" t="s">
        <v>224</v>
      </c>
      <c r="DD16" s="713">
        <f>+DD15/2</f>
        <v>4113.4909243239408</v>
      </c>
      <c r="DE16" s="415" t="s">
        <v>223</v>
      </c>
      <c r="DF16" s="714"/>
      <c r="DH16" s="879" t="s">
        <v>330</v>
      </c>
      <c r="DI16" s="753">
        <f>+$DI$15*DJ16</f>
        <v>361.85314598718378</v>
      </c>
      <c r="DJ16" s="754">
        <v>0.77</v>
      </c>
      <c r="DK16" s="136" t="s">
        <v>218</v>
      </c>
      <c r="DL16" s="425"/>
      <c r="DM16" s="217" t="s">
        <v>224</v>
      </c>
      <c r="DN16" s="748">
        <f>+DN15/2</f>
        <v>4125.1051002811628</v>
      </c>
      <c r="DO16" s="136" t="s">
        <v>223</v>
      </c>
      <c r="DP16" s="749"/>
    </row>
    <row r="17" spans="1:120" ht="71.25" customHeight="1" x14ac:dyDescent="0.25">
      <c r="B17" s="841" t="s">
        <v>331</v>
      </c>
      <c r="C17" s="645">
        <f t="shared" ref="C17:C18" si="0">+$C$15*D17</f>
        <v>96.708952829512782</v>
      </c>
      <c r="D17" s="646">
        <v>0.2</v>
      </c>
      <c r="E17" s="637" t="s">
        <v>218</v>
      </c>
      <c r="F17" s="638"/>
      <c r="G17" s="638"/>
      <c r="H17" s="635"/>
      <c r="I17" s="635"/>
      <c r="J17" s="634"/>
      <c r="L17" s="878" t="s">
        <v>331</v>
      </c>
      <c r="M17" s="684">
        <f t="shared" ref="M17:M18" si="1">+$M$15*N17</f>
        <v>95.504378787417565</v>
      </c>
      <c r="N17" s="685">
        <v>0.2</v>
      </c>
      <c r="O17" s="676" t="s">
        <v>218</v>
      </c>
      <c r="P17" s="677"/>
      <c r="Q17" s="677"/>
      <c r="R17" s="673"/>
      <c r="S17" s="673"/>
      <c r="T17" s="674"/>
      <c r="V17" s="859" t="s">
        <v>331</v>
      </c>
      <c r="W17" s="718">
        <f t="shared" ref="W17:W18" si="2">$W$15*X17</f>
        <v>95.2</v>
      </c>
      <c r="X17" s="719">
        <v>0.2</v>
      </c>
      <c r="Y17" s="415" t="s">
        <v>218</v>
      </c>
      <c r="Z17" s="711"/>
      <c r="AA17" s="711"/>
      <c r="AB17" s="708"/>
      <c r="AC17" s="708"/>
      <c r="AD17" s="709"/>
      <c r="AF17" s="879" t="s">
        <v>331</v>
      </c>
      <c r="AG17" s="753">
        <f t="shared" ref="AG17:AG18" si="3">+$AG$15*AH17</f>
        <v>94.333333333333343</v>
      </c>
      <c r="AH17" s="754">
        <v>0.2</v>
      </c>
      <c r="AI17" s="136" t="s">
        <v>218</v>
      </c>
      <c r="AJ17" s="425"/>
      <c r="AK17" s="425"/>
      <c r="AL17" s="745"/>
      <c r="AM17" s="745"/>
      <c r="AN17" s="746"/>
      <c r="AP17" s="873" t="s">
        <v>331</v>
      </c>
      <c r="AQ17" s="787">
        <f t="shared" ref="AQ17:AQ18" si="4">$AQ$15*AR17</f>
        <v>94.854524746998152</v>
      </c>
      <c r="AR17" s="788">
        <v>0.2</v>
      </c>
      <c r="AS17" s="780" t="s">
        <v>218</v>
      </c>
      <c r="AT17" s="424"/>
      <c r="AU17" s="424"/>
      <c r="AV17" s="779"/>
      <c r="AW17" s="779"/>
      <c r="AX17" s="778"/>
      <c r="AZ17" s="849" t="s">
        <v>331</v>
      </c>
      <c r="BA17" s="684">
        <f t="shared" ref="BA17:BA18" si="5">$BA$15*BB17</f>
        <v>93.967741935483872</v>
      </c>
      <c r="BB17" s="685">
        <v>0.2</v>
      </c>
      <c r="BC17" s="676" t="s">
        <v>218</v>
      </c>
      <c r="BD17" s="677"/>
      <c r="BE17" s="677"/>
      <c r="BF17" s="673"/>
      <c r="BG17" s="673"/>
      <c r="BH17" s="674"/>
      <c r="BJ17" s="859" t="s">
        <v>331</v>
      </c>
      <c r="BK17" s="718">
        <f t="shared" ref="BK17:BK18" si="6">$BK$15*BL17</f>
        <v>94.48387096774195</v>
      </c>
      <c r="BL17" s="719">
        <v>0.2</v>
      </c>
      <c r="BM17" s="415" t="s">
        <v>218</v>
      </c>
      <c r="BN17" s="711"/>
      <c r="BO17" s="711"/>
      <c r="BP17" s="708"/>
      <c r="BQ17" s="708"/>
      <c r="BR17" s="709"/>
      <c r="BT17" s="879" t="s">
        <v>331</v>
      </c>
      <c r="BU17" s="753">
        <f t="shared" ref="BU17:BU18" si="7">$BU$15*BV17</f>
        <v>94.214872866633584</v>
      </c>
      <c r="BV17" s="754">
        <v>0.2</v>
      </c>
      <c r="BW17" s="136" t="s">
        <v>218</v>
      </c>
      <c r="BX17" s="425"/>
      <c r="BY17" s="425"/>
      <c r="BZ17" s="745"/>
      <c r="CA17" s="745"/>
      <c r="CB17" s="746"/>
      <c r="CD17" s="889" t="s">
        <v>331</v>
      </c>
      <c r="CE17" s="115">
        <f t="shared" ref="CE17:CE18" si="8">+$CE$15*CF17</f>
        <v>93.828592752301191</v>
      </c>
      <c r="CF17" s="116">
        <v>0.2</v>
      </c>
      <c r="CG17" s="108" t="s">
        <v>218</v>
      </c>
      <c r="CH17" s="620"/>
      <c r="CI17" s="620"/>
      <c r="CJ17" s="68"/>
      <c r="CK17" s="68"/>
      <c r="CL17" s="619"/>
      <c r="CN17" s="849" t="s">
        <v>331</v>
      </c>
      <c r="CO17" s="681">
        <f t="shared" ref="CO17:CO18" si="9">+$CO$15*CP17</f>
        <v>93.63333333333334</v>
      </c>
      <c r="CP17" s="685">
        <v>0.2</v>
      </c>
      <c r="CQ17" s="676" t="s">
        <v>218</v>
      </c>
      <c r="CR17" s="677"/>
      <c r="CS17" s="677"/>
      <c r="CT17" s="673"/>
      <c r="CU17" s="673"/>
      <c r="CV17" s="674"/>
      <c r="CX17" s="859" t="s">
        <v>331</v>
      </c>
      <c r="CY17" s="718">
        <f t="shared" ref="CY17:CY18" si="10">$CY$15*CZ17</f>
        <v>94.121191413664818</v>
      </c>
      <c r="CZ17" s="719">
        <v>0.2</v>
      </c>
      <c r="DA17" s="415" t="s">
        <v>218</v>
      </c>
      <c r="DB17" s="711"/>
      <c r="DC17" s="711"/>
      <c r="DD17" s="708"/>
      <c r="DE17" s="708"/>
      <c r="DF17" s="709"/>
      <c r="DH17" s="879" t="s">
        <v>331</v>
      </c>
      <c r="DI17" s="753">
        <f t="shared" ref="DI17:DI18" si="11">+$DI$15*DJ17</f>
        <v>93.987830126541255</v>
      </c>
      <c r="DJ17" s="754">
        <v>0.2</v>
      </c>
      <c r="DK17" s="136" t="s">
        <v>218</v>
      </c>
      <c r="DL17" s="425"/>
      <c r="DM17" s="425"/>
      <c r="DN17" s="745"/>
      <c r="DO17" s="745"/>
      <c r="DP17" s="746"/>
    </row>
    <row r="18" spans="1:120" x14ac:dyDescent="0.25">
      <c r="B18" s="842" t="s">
        <v>79</v>
      </c>
      <c r="C18" s="645">
        <f t="shared" si="0"/>
        <v>14.506342924426917</v>
      </c>
      <c r="D18" s="646">
        <v>0.03</v>
      </c>
      <c r="E18" s="648" t="s">
        <v>219</v>
      </c>
      <c r="F18" s="638"/>
      <c r="G18" s="638"/>
      <c r="H18" s="649"/>
      <c r="I18" s="635"/>
      <c r="J18" s="634"/>
      <c r="L18" s="849" t="s">
        <v>79</v>
      </c>
      <c r="M18" s="684">
        <f t="shared" si="1"/>
        <v>14.325656818112632</v>
      </c>
      <c r="N18" s="685">
        <v>0.03</v>
      </c>
      <c r="O18" s="686" t="s">
        <v>219</v>
      </c>
      <c r="P18" s="677"/>
      <c r="Q18" s="677"/>
      <c r="R18" s="687"/>
      <c r="S18" s="673"/>
      <c r="T18" s="674"/>
      <c r="V18" s="859" t="s">
        <v>79</v>
      </c>
      <c r="W18" s="718">
        <f t="shared" si="2"/>
        <v>14.28</v>
      </c>
      <c r="X18" s="719">
        <v>0.03</v>
      </c>
      <c r="Y18" s="720" t="s">
        <v>219</v>
      </c>
      <c r="Z18" s="711"/>
      <c r="AA18" s="711"/>
      <c r="AB18" s="721"/>
      <c r="AC18" s="708"/>
      <c r="AD18" s="709"/>
      <c r="AF18" s="879" t="s">
        <v>79</v>
      </c>
      <c r="AG18" s="753">
        <f t="shared" si="3"/>
        <v>14.15</v>
      </c>
      <c r="AH18" s="754">
        <v>0.03</v>
      </c>
      <c r="AI18" s="755" t="s">
        <v>219</v>
      </c>
      <c r="AJ18" s="425"/>
      <c r="AK18" s="425"/>
      <c r="AL18" s="756"/>
      <c r="AM18" s="745"/>
      <c r="AN18" s="746"/>
      <c r="AP18" s="873" t="s">
        <v>79</v>
      </c>
      <c r="AQ18" s="787">
        <f t="shared" si="4"/>
        <v>14.22817871204972</v>
      </c>
      <c r="AR18" s="788">
        <v>0.03</v>
      </c>
      <c r="AS18" s="790" t="s">
        <v>219</v>
      </c>
      <c r="AT18" s="424"/>
      <c r="AU18" s="424"/>
      <c r="AV18" s="791"/>
      <c r="AW18" s="779"/>
      <c r="AX18" s="778"/>
      <c r="AZ18" s="849" t="s">
        <v>79</v>
      </c>
      <c r="BA18" s="684">
        <f t="shared" si="5"/>
        <v>14.095161290322579</v>
      </c>
      <c r="BB18" s="685">
        <v>0.03</v>
      </c>
      <c r="BC18" s="686" t="s">
        <v>219</v>
      </c>
      <c r="BD18" s="677"/>
      <c r="BE18" s="677"/>
      <c r="BF18" s="687"/>
      <c r="BG18" s="673"/>
      <c r="BH18" s="674"/>
      <c r="BJ18" s="859" t="s">
        <v>79</v>
      </c>
      <c r="BK18" s="718">
        <f t="shared" si="6"/>
        <v>14.17258064516129</v>
      </c>
      <c r="BL18" s="719">
        <v>0.03</v>
      </c>
      <c r="BM18" s="720" t="s">
        <v>219</v>
      </c>
      <c r="BN18" s="711"/>
      <c r="BO18" s="711"/>
      <c r="BP18" s="721"/>
      <c r="BQ18" s="708"/>
      <c r="BR18" s="709"/>
      <c r="BT18" s="879" t="s">
        <v>79</v>
      </c>
      <c r="BU18" s="753">
        <f t="shared" si="7"/>
        <v>14.132230929995035</v>
      </c>
      <c r="BV18" s="754">
        <v>0.03</v>
      </c>
      <c r="BW18" s="755" t="s">
        <v>219</v>
      </c>
      <c r="BX18" s="425"/>
      <c r="BY18" s="425"/>
      <c r="BZ18" s="756"/>
      <c r="CA18" s="745"/>
      <c r="CB18" s="746"/>
      <c r="CD18" s="889" t="s">
        <v>79</v>
      </c>
      <c r="CE18" s="115">
        <f t="shared" si="8"/>
        <v>14.074288912845178</v>
      </c>
      <c r="CF18" s="116">
        <v>0.03</v>
      </c>
      <c r="CG18" s="118" t="s">
        <v>219</v>
      </c>
      <c r="CH18" s="620"/>
      <c r="CI18" s="620"/>
      <c r="CJ18" s="622"/>
      <c r="CK18" s="68"/>
      <c r="CL18" s="619"/>
      <c r="CN18" s="849" t="s">
        <v>79</v>
      </c>
      <c r="CO18" s="681">
        <f t="shared" si="9"/>
        <v>14.045</v>
      </c>
      <c r="CP18" s="685">
        <v>0.03</v>
      </c>
      <c r="CQ18" s="686" t="s">
        <v>219</v>
      </c>
      <c r="CR18" s="677"/>
      <c r="CS18" s="677"/>
      <c r="CT18" s="687"/>
      <c r="CU18" s="673"/>
      <c r="CV18" s="674"/>
      <c r="CX18" s="859" t="s">
        <v>79</v>
      </c>
      <c r="CY18" s="718">
        <f t="shared" si="10"/>
        <v>14.118178712049721</v>
      </c>
      <c r="CZ18" s="719">
        <v>0.03</v>
      </c>
      <c r="DA18" s="720" t="s">
        <v>219</v>
      </c>
      <c r="DB18" s="711"/>
      <c r="DC18" s="711"/>
      <c r="DD18" s="721"/>
      <c r="DE18" s="708"/>
      <c r="DF18" s="709"/>
      <c r="DH18" s="879" t="s">
        <v>79</v>
      </c>
      <c r="DI18" s="753">
        <f t="shared" si="11"/>
        <v>14.098174518981187</v>
      </c>
      <c r="DJ18" s="754">
        <v>0.03</v>
      </c>
      <c r="DK18" s="755" t="s">
        <v>219</v>
      </c>
      <c r="DL18" s="425"/>
      <c r="DM18" s="425"/>
      <c r="DN18" s="756"/>
      <c r="DO18" s="745"/>
      <c r="DP18" s="746"/>
    </row>
    <row r="19" spans="1:120" x14ac:dyDescent="0.25">
      <c r="B19" s="843"/>
      <c r="C19" s="650"/>
      <c r="D19" s="635"/>
      <c r="E19" s="635"/>
      <c r="F19" s="635"/>
      <c r="G19" s="635"/>
      <c r="H19" s="635"/>
      <c r="I19" s="635"/>
      <c r="J19" s="634"/>
      <c r="L19" s="850"/>
      <c r="M19" s="32"/>
      <c r="N19" s="673"/>
      <c r="O19" s="673"/>
      <c r="P19" s="673"/>
      <c r="Q19" s="673"/>
      <c r="R19" s="673"/>
      <c r="S19" s="673"/>
      <c r="T19" s="674"/>
      <c r="V19" s="861"/>
      <c r="W19" s="723"/>
      <c r="X19" s="708"/>
      <c r="Y19" s="708"/>
      <c r="Z19" s="708"/>
      <c r="AA19" s="708"/>
      <c r="AB19" s="708"/>
      <c r="AC19" s="708"/>
      <c r="AD19" s="709"/>
      <c r="AF19" s="868"/>
      <c r="AG19" s="758"/>
      <c r="AH19" s="745"/>
      <c r="AI19" s="745"/>
      <c r="AJ19" s="745"/>
      <c r="AK19" s="745"/>
      <c r="AL19" s="745"/>
      <c r="AM19" s="745"/>
      <c r="AN19" s="746"/>
      <c r="AP19" s="875"/>
      <c r="AQ19" s="792"/>
      <c r="AR19" s="779"/>
      <c r="AS19" s="779"/>
      <c r="AT19" s="779"/>
      <c r="AU19" s="779"/>
      <c r="AV19" s="779"/>
      <c r="AW19" s="779"/>
      <c r="AX19" s="778"/>
      <c r="AZ19" s="882"/>
      <c r="BA19" s="32"/>
      <c r="BB19" s="673"/>
      <c r="BC19" s="673"/>
      <c r="BD19" s="673"/>
      <c r="BE19" s="673"/>
      <c r="BF19" s="673"/>
      <c r="BG19" s="673"/>
      <c r="BH19" s="674"/>
      <c r="BJ19" s="861"/>
      <c r="BK19" s="723"/>
      <c r="BL19" s="708"/>
      <c r="BM19" s="708"/>
      <c r="BN19" s="708"/>
      <c r="BO19" s="708"/>
      <c r="BP19" s="708"/>
      <c r="BQ19" s="708"/>
      <c r="BR19" s="709"/>
      <c r="BT19" s="868"/>
      <c r="BU19" s="758"/>
      <c r="BV19" s="745"/>
      <c r="BW19" s="745"/>
      <c r="BX19" s="745"/>
      <c r="BY19" s="745"/>
      <c r="BZ19" s="745"/>
      <c r="CA19" s="745"/>
      <c r="CB19" s="746"/>
      <c r="CD19" s="892"/>
      <c r="CE19" s="624"/>
      <c r="CF19" s="68"/>
      <c r="CG19" s="68"/>
      <c r="CH19" s="68"/>
      <c r="CI19" s="68"/>
      <c r="CJ19" s="68"/>
      <c r="CK19" s="68"/>
      <c r="CL19" s="619"/>
      <c r="CN19" s="882"/>
      <c r="CO19" s="32"/>
      <c r="CP19" s="673"/>
      <c r="CQ19" s="673"/>
      <c r="CR19" s="673"/>
      <c r="CS19" s="673"/>
      <c r="CT19" s="673"/>
      <c r="CU19" s="673"/>
      <c r="CV19" s="674"/>
      <c r="CX19" s="861"/>
      <c r="CY19" s="723"/>
      <c r="CZ19" s="708"/>
      <c r="DA19" s="708"/>
      <c r="DB19" s="708"/>
      <c r="DC19" s="708"/>
      <c r="DD19" s="708"/>
      <c r="DE19" s="708"/>
      <c r="DF19" s="709"/>
      <c r="DH19" s="868"/>
      <c r="DI19" s="758"/>
      <c r="DJ19" s="745"/>
      <c r="DK19" s="745"/>
      <c r="DL19" s="745"/>
      <c r="DM19" s="745"/>
      <c r="DN19" s="745"/>
      <c r="DO19" s="745"/>
      <c r="DP19" s="746"/>
    </row>
    <row r="20" spans="1:120" ht="15" customHeight="1" x14ac:dyDescent="0.25">
      <c r="B20" s="1632" t="s">
        <v>398</v>
      </c>
      <c r="C20" s="1417"/>
      <c r="D20" s="1417"/>
      <c r="E20" s="1417"/>
      <c r="F20" s="1417"/>
      <c r="G20" s="1417"/>
      <c r="H20" s="1417"/>
      <c r="I20" s="1417"/>
      <c r="J20" s="1638"/>
      <c r="L20" s="1606" t="s">
        <v>398</v>
      </c>
      <c r="M20" s="1438"/>
      <c r="N20" s="1438"/>
      <c r="O20" s="1438"/>
      <c r="P20" s="1438"/>
      <c r="Q20" s="1438"/>
      <c r="R20" s="1438"/>
      <c r="S20" s="1438"/>
      <c r="T20" s="1616"/>
      <c r="V20" s="1572" t="s">
        <v>398</v>
      </c>
      <c r="W20" s="1573"/>
      <c r="X20" s="1573"/>
      <c r="Y20" s="1573"/>
      <c r="Z20" s="1573"/>
      <c r="AA20" s="1573"/>
      <c r="AB20" s="1573"/>
      <c r="AC20" s="1573"/>
      <c r="AD20" s="1576"/>
      <c r="AF20" s="1574" t="s">
        <v>398</v>
      </c>
      <c r="AG20" s="1575"/>
      <c r="AH20" s="1575"/>
      <c r="AI20" s="1575"/>
      <c r="AJ20" s="1575"/>
      <c r="AK20" s="1575"/>
      <c r="AL20" s="1575"/>
      <c r="AM20" s="1575"/>
      <c r="AN20" s="1577"/>
      <c r="AO20" s="226"/>
      <c r="AP20" s="1617" t="s">
        <v>398</v>
      </c>
      <c r="AQ20" s="1269"/>
      <c r="AR20" s="1269"/>
      <c r="AS20" s="1269"/>
      <c r="AT20" s="1269"/>
      <c r="AU20" s="1269"/>
      <c r="AV20" s="1269"/>
      <c r="AW20" s="1269"/>
      <c r="AX20" s="1618"/>
      <c r="AZ20" s="1606" t="s">
        <v>398</v>
      </c>
      <c r="BA20" s="1438"/>
      <c r="BB20" s="1438"/>
      <c r="BC20" s="1438"/>
      <c r="BD20" s="1438"/>
      <c r="BE20" s="1438"/>
      <c r="BF20" s="1438"/>
      <c r="BG20" s="1438"/>
      <c r="BH20" s="1616"/>
      <c r="BJ20" s="1572" t="s">
        <v>398</v>
      </c>
      <c r="BK20" s="1573"/>
      <c r="BL20" s="1573"/>
      <c r="BM20" s="1573"/>
      <c r="BN20" s="1573"/>
      <c r="BO20" s="1573"/>
      <c r="BP20" s="1573"/>
      <c r="BQ20" s="1573"/>
      <c r="BR20" s="1576"/>
      <c r="BT20" s="1574" t="s">
        <v>398</v>
      </c>
      <c r="BU20" s="1575"/>
      <c r="BV20" s="1575"/>
      <c r="BW20" s="1575"/>
      <c r="BX20" s="1575"/>
      <c r="BY20" s="1575"/>
      <c r="BZ20" s="1575"/>
      <c r="CA20" s="1575"/>
      <c r="CB20" s="1577"/>
      <c r="CD20" s="1587" t="s">
        <v>398</v>
      </c>
      <c r="CE20" s="1588"/>
      <c r="CF20" s="1588"/>
      <c r="CG20" s="1588"/>
      <c r="CH20" s="1588"/>
      <c r="CI20" s="1588"/>
      <c r="CJ20" s="1588"/>
      <c r="CK20" s="1588"/>
      <c r="CL20" s="1589"/>
      <c r="CM20" s="226"/>
      <c r="CN20" s="1606" t="s">
        <v>398</v>
      </c>
      <c r="CO20" s="1438"/>
      <c r="CP20" s="1438"/>
      <c r="CQ20" s="1438"/>
      <c r="CR20" s="1438"/>
      <c r="CS20" s="1438"/>
      <c r="CT20" s="1438"/>
      <c r="CU20" s="1438"/>
      <c r="CV20" s="1616"/>
      <c r="CX20" s="1572" t="s">
        <v>398</v>
      </c>
      <c r="CY20" s="1573"/>
      <c r="CZ20" s="1573"/>
      <c r="DA20" s="1573"/>
      <c r="DB20" s="1573"/>
      <c r="DC20" s="1573"/>
      <c r="DD20" s="1573"/>
      <c r="DE20" s="1573"/>
      <c r="DF20" s="1576"/>
      <c r="DH20" s="1574" t="s">
        <v>398</v>
      </c>
      <c r="DI20" s="1575"/>
      <c r="DJ20" s="1575"/>
      <c r="DK20" s="1575"/>
      <c r="DL20" s="1575"/>
      <c r="DM20" s="1575"/>
      <c r="DN20" s="1575"/>
      <c r="DO20" s="1575"/>
      <c r="DP20" s="1577"/>
    </row>
    <row r="21" spans="1:120" x14ac:dyDescent="0.25">
      <c r="B21" s="1632"/>
      <c r="C21" s="1417"/>
      <c r="D21" s="1417"/>
      <c r="E21" s="1417"/>
      <c r="F21" s="1417"/>
      <c r="G21" s="1417"/>
      <c r="H21" s="1417"/>
      <c r="I21" s="1417"/>
      <c r="J21" s="1638"/>
      <c r="K21" s="580"/>
      <c r="L21" s="1606"/>
      <c r="M21" s="1438"/>
      <c r="N21" s="1438"/>
      <c r="O21" s="1438"/>
      <c r="P21" s="1438"/>
      <c r="Q21" s="1438"/>
      <c r="R21" s="1438"/>
      <c r="S21" s="1438"/>
      <c r="T21" s="1616"/>
      <c r="V21" s="1572"/>
      <c r="W21" s="1573"/>
      <c r="X21" s="1573"/>
      <c r="Y21" s="1573"/>
      <c r="Z21" s="1573"/>
      <c r="AA21" s="1573"/>
      <c r="AB21" s="1573"/>
      <c r="AC21" s="1573"/>
      <c r="AD21" s="1576"/>
      <c r="AF21" s="1574"/>
      <c r="AG21" s="1575"/>
      <c r="AH21" s="1575"/>
      <c r="AI21" s="1575"/>
      <c r="AJ21" s="1575"/>
      <c r="AK21" s="1575"/>
      <c r="AL21" s="1575"/>
      <c r="AM21" s="1575"/>
      <c r="AN21" s="1577"/>
      <c r="AO21" s="226"/>
      <c r="AP21" s="1617"/>
      <c r="AQ21" s="1269"/>
      <c r="AR21" s="1269"/>
      <c r="AS21" s="1269"/>
      <c r="AT21" s="1269"/>
      <c r="AU21" s="1269"/>
      <c r="AV21" s="1269"/>
      <c r="AW21" s="1269"/>
      <c r="AX21" s="1618"/>
      <c r="AZ21" s="1606"/>
      <c r="BA21" s="1438"/>
      <c r="BB21" s="1438"/>
      <c r="BC21" s="1438"/>
      <c r="BD21" s="1438"/>
      <c r="BE21" s="1438"/>
      <c r="BF21" s="1438"/>
      <c r="BG21" s="1438"/>
      <c r="BH21" s="1616"/>
      <c r="BI21" s="98"/>
      <c r="BJ21" s="1572"/>
      <c r="BK21" s="1573"/>
      <c r="BL21" s="1573"/>
      <c r="BM21" s="1573"/>
      <c r="BN21" s="1573"/>
      <c r="BO21" s="1573"/>
      <c r="BP21" s="1573"/>
      <c r="BQ21" s="1573"/>
      <c r="BR21" s="1576"/>
      <c r="BT21" s="1574"/>
      <c r="BU21" s="1575"/>
      <c r="BV21" s="1575"/>
      <c r="BW21" s="1575"/>
      <c r="BX21" s="1575"/>
      <c r="BY21" s="1575"/>
      <c r="BZ21" s="1575"/>
      <c r="CA21" s="1575"/>
      <c r="CB21" s="1577"/>
      <c r="CD21" s="1587"/>
      <c r="CE21" s="1588"/>
      <c r="CF21" s="1588"/>
      <c r="CG21" s="1588"/>
      <c r="CH21" s="1588"/>
      <c r="CI21" s="1588"/>
      <c r="CJ21" s="1588"/>
      <c r="CK21" s="1588"/>
      <c r="CL21" s="1589"/>
      <c r="CM21" s="226"/>
      <c r="CN21" s="1606"/>
      <c r="CO21" s="1438"/>
      <c r="CP21" s="1438"/>
      <c r="CQ21" s="1438"/>
      <c r="CR21" s="1438"/>
      <c r="CS21" s="1438"/>
      <c r="CT21" s="1438"/>
      <c r="CU21" s="1438"/>
      <c r="CV21" s="1616"/>
      <c r="CX21" s="1572"/>
      <c r="CY21" s="1573"/>
      <c r="CZ21" s="1573"/>
      <c r="DA21" s="1573"/>
      <c r="DB21" s="1573"/>
      <c r="DC21" s="1573"/>
      <c r="DD21" s="1573"/>
      <c r="DE21" s="1573"/>
      <c r="DF21" s="1576"/>
      <c r="DH21" s="1574"/>
      <c r="DI21" s="1575"/>
      <c r="DJ21" s="1575"/>
      <c r="DK21" s="1575"/>
      <c r="DL21" s="1575"/>
      <c r="DM21" s="1575"/>
      <c r="DN21" s="1575"/>
      <c r="DO21" s="1575"/>
      <c r="DP21" s="1577"/>
    </row>
    <row r="22" spans="1:120" s="7" customFormat="1" ht="94.5" customHeight="1" x14ac:dyDescent="0.25">
      <c r="A22" s="35"/>
      <c r="B22" s="846" t="s">
        <v>80</v>
      </c>
      <c r="C22" s="403" t="s">
        <v>391</v>
      </c>
      <c r="D22" s="403" t="s">
        <v>393</v>
      </c>
      <c r="E22" s="403" t="s">
        <v>394</v>
      </c>
      <c r="F22" s="403" t="s">
        <v>392</v>
      </c>
      <c r="G22" s="403" t="s">
        <v>395</v>
      </c>
      <c r="H22" s="403" t="s">
        <v>396</v>
      </c>
      <c r="I22" s="403" t="s">
        <v>390</v>
      </c>
      <c r="J22" s="651" t="s">
        <v>397</v>
      </c>
      <c r="K22" s="470"/>
      <c r="L22" s="851" t="s">
        <v>80</v>
      </c>
      <c r="M22" s="100" t="s">
        <v>391</v>
      </c>
      <c r="N22" s="100" t="s">
        <v>393</v>
      </c>
      <c r="O22" s="100" t="s">
        <v>394</v>
      </c>
      <c r="P22" s="100" t="s">
        <v>392</v>
      </c>
      <c r="Q22" s="100" t="s">
        <v>395</v>
      </c>
      <c r="R22" s="100" t="s">
        <v>396</v>
      </c>
      <c r="S22" s="100" t="s">
        <v>390</v>
      </c>
      <c r="T22" s="689" t="s">
        <v>397</v>
      </c>
      <c r="U22" s="35"/>
      <c r="V22" s="858" t="s">
        <v>80</v>
      </c>
      <c r="W22" s="421" t="s">
        <v>391</v>
      </c>
      <c r="X22" s="421" t="s">
        <v>393</v>
      </c>
      <c r="Y22" s="421" t="s">
        <v>394</v>
      </c>
      <c r="Z22" s="421" t="s">
        <v>392</v>
      </c>
      <c r="AA22" s="421" t="s">
        <v>395</v>
      </c>
      <c r="AB22" s="421" t="s">
        <v>396</v>
      </c>
      <c r="AC22" s="421" t="s">
        <v>390</v>
      </c>
      <c r="AD22" s="724" t="s">
        <v>397</v>
      </c>
      <c r="AF22" s="865" t="s">
        <v>80</v>
      </c>
      <c r="AG22" s="25" t="s">
        <v>391</v>
      </c>
      <c r="AH22" s="25" t="s">
        <v>393</v>
      </c>
      <c r="AI22" s="25" t="s">
        <v>394</v>
      </c>
      <c r="AJ22" s="25" t="s">
        <v>392</v>
      </c>
      <c r="AK22" s="25" t="s">
        <v>395</v>
      </c>
      <c r="AL22" s="25" t="s">
        <v>396</v>
      </c>
      <c r="AM22" s="25" t="s">
        <v>390</v>
      </c>
      <c r="AN22" s="423" t="s">
        <v>397</v>
      </c>
      <c r="AO22" s="226"/>
      <c r="AP22" s="872" t="s">
        <v>80</v>
      </c>
      <c r="AQ22" s="213" t="s">
        <v>391</v>
      </c>
      <c r="AR22" s="213" t="s">
        <v>393</v>
      </c>
      <c r="AS22" s="213" t="s">
        <v>394</v>
      </c>
      <c r="AT22" s="213" t="s">
        <v>392</v>
      </c>
      <c r="AU22" s="213" t="s">
        <v>395</v>
      </c>
      <c r="AV22" s="213" t="s">
        <v>396</v>
      </c>
      <c r="AW22" s="213" t="s">
        <v>390</v>
      </c>
      <c r="AX22" s="793" t="s">
        <v>397</v>
      </c>
      <c r="AZ22" s="851" t="s">
        <v>80</v>
      </c>
      <c r="BA22" s="100" t="s">
        <v>391</v>
      </c>
      <c r="BB22" s="100" t="s">
        <v>393</v>
      </c>
      <c r="BC22" s="100" t="s">
        <v>394</v>
      </c>
      <c r="BD22" s="100" t="s">
        <v>392</v>
      </c>
      <c r="BE22" s="100" t="s">
        <v>395</v>
      </c>
      <c r="BF22" s="100" t="s">
        <v>396</v>
      </c>
      <c r="BG22" s="100" t="s">
        <v>390</v>
      </c>
      <c r="BH22" s="689" t="s">
        <v>397</v>
      </c>
      <c r="BI22" s="97"/>
      <c r="BJ22" s="858" t="s">
        <v>80</v>
      </c>
      <c r="BK22" s="421" t="s">
        <v>391</v>
      </c>
      <c r="BL22" s="421" t="s">
        <v>393</v>
      </c>
      <c r="BM22" s="421" t="s">
        <v>394</v>
      </c>
      <c r="BN22" s="421" t="s">
        <v>392</v>
      </c>
      <c r="BO22" s="421" t="s">
        <v>395</v>
      </c>
      <c r="BP22" s="421" t="s">
        <v>396</v>
      </c>
      <c r="BQ22" s="421" t="s">
        <v>390</v>
      </c>
      <c r="BR22" s="724" t="s">
        <v>397</v>
      </c>
      <c r="BT22" s="865" t="s">
        <v>80</v>
      </c>
      <c r="BU22" s="25" t="s">
        <v>391</v>
      </c>
      <c r="BV22" s="25" t="s">
        <v>393</v>
      </c>
      <c r="BW22" s="25" t="s">
        <v>394</v>
      </c>
      <c r="BX22" s="25" t="s">
        <v>392</v>
      </c>
      <c r="BY22" s="25" t="s">
        <v>395</v>
      </c>
      <c r="BZ22" s="25" t="s">
        <v>396</v>
      </c>
      <c r="CA22" s="25" t="s">
        <v>390</v>
      </c>
      <c r="CB22" s="423" t="s">
        <v>397</v>
      </c>
      <c r="CD22" s="890" t="s">
        <v>80</v>
      </c>
      <c r="CE22" s="225" t="s">
        <v>391</v>
      </c>
      <c r="CF22" s="225" t="s">
        <v>393</v>
      </c>
      <c r="CG22" s="225" t="s">
        <v>394</v>
      </c>
      <c r="CH22" s="225" t="s">
        <v>392</v>
      </c>
      <c r="CI22" s="225" t="s">
        <v>395</v>
      </c>
      <c r="CJ22" s="225" t="s">
        <v>396</v>
      </c>
      <c r="CK22" s="225" t="s">
        <v>390</v>
      </c>
      <c r="CL22" s="625" t="s">
        <v>397</v>
      </c>
      <c r="CM22" s="226"/>
      <c r="CN22" s="851" t="s">
        <v>80</v>
      </c>
      <c r="CO22" s="100" t="s">
        <v>391</v>
      </c>
      <c r="CP22" s="100" t="s">
        <v>393</v>
      </c>
      <c r="CQ22" s="100" t="s">
        <v>394</v>
      </c>
      <c r="CR22" s="100" t="s">
        <v>392</v>
      </c>
      <c r="CS22" s="100" t="s">
        <v>395</v>
      </c>
      <c r="CT22" s="100" t="s">
        <v>396</v>
      </c>
      <c r="CU22" s="100" t="s">
        <v>390</v>
      </c>
      <c r="CV22" s="689" t="s">
        <v>397</v>
      </c>
      <c r="CX22" s="858" t="s">
        <v>80</v>
      </c>
      <c r="CY22" s="421" t="s">
        <v>391</v>
      </c>
      <c r="CZ22" s="421" t="s">
        <v>393</v>
      </c>
      <c r="DA22" s="421" t="s">
        <v>394</v>
      </c>
      <c r="DB22" s="421" t="s">
        <v>392</v>
      </c>
      <c r="DC22" s="421" t="s">
        <v>395</v>
      </c>
      <c r="DD22" s="421" t="s">
        <v>396</v>
      </c>
      <c r="DE22" s="421" t="s">
        <v>390</v>
      </c>
      <c r="DF22" s="724" t="s">
        <v>397</v>
      </c>
      <c r="DH22" s="865" t="s">
        <v>80</v>
      </c>
      <c r="DI22" s="25" t="s">
        <v>391</v>
      </c>
      <c r="DJ22" s="25" t="s">
        <v>393</v>
      </c>
      <c r="DK22" s="25" t="s">
        <v>394</v>
      </c>
      <c r="DL22" s="25" t="s">
        <v>392</v>
      </c>
      <c r="DM22" s="25" t="s">
        <v>395</v>
      </c>
      <c r="DN22" s="25" t="s">
        <v>396</v>
      </c>
      <c r="DO22" s="25" t="s">
        <v>390</v>
      </c>
      <c r="DP22" s="423" t="s">
        <v>397</v>
      </c>
    </row>
    <row r="23" spans="1:120" ht="39" customHeight="1" x14ac:dyDescent="0.25">
      <c r="B23" s="844" t="s">
        <v>225</v>
      </c>
      <c r="C23" s="483">
        <v>2</v>
      </c>
      <c r="D23" s="483">
        <v>17</v>
      </c>
      <c r="E23" s="483">
        <f>+C23*D23</f>
        <v>34</v>
      </c>
      <c r="F23" s="648">
        <f>+(E23*$D$16)/$C$16</f>
        <v>7.0314069184345837E-2</v>
      </c>
      <c r="G23" s="647">
        <f>+(F23*$H$15)+$H$15</f>
        <v>8610.1211910010552</v>
      </c>
      <c r="H23" s="647">
        <f>+G23*E23</f>
        <v>292744.12049403589</v>
      </c>
      <c r="I23" s="486">
        <v>22000</v>
      </c>
      <c r="J23" s="505">
        <f>+E23*I23</f>
        <v>748000</v>
      </c>
      <c r="L23" s="690" t="s">
        <v>225</v>
      </c>
      <c r="M23" s="490">
        <v>2</v>
      </c>
      <c r="N23" s="490">
        <v>18</v>
      </c>
      <c r="O23" s="490">
        <f>+M23*N23</f>
        <v>36</v>
      </c>
      <c r="P23" s="686">
        <f>SUM(O23*$N$16)/$M$16</f>
        <v>7.5389213472886116E-2</v>
      </c>
      <c r="Q23" s="214">
        <f>+(P23*$H$15)+$H$15</f>
        <v>8650.9480927902187</v>
      </c>
      <c r="R23" s="214">
        <f>+Q23*O23</f>
        <v>311434.13134044787</v>
      </c>
      <c r="S23" s="493">
        <v>22000</v>
      </c>
      <c r="T23" s="497">
        <f t="shared" ref="T23:T41" si="12">+O23*S23</f>
        <v>792000</v>
      </c>
      <c r="V23" s="725" t="s">
        <v>225</v>
      </c>
      <c r="W23" s="726">
        <v>2</v>
      </c>
      <c r="X23" s="726">
        <v>18</v>
      </c>
      <c r="Y23" s="726">
        <f>+W23*X23</f>
        <v>36</v>
      </c>
      <c r="Z23" s="720">
        <f>SUM(Y23*$X$16)/$W$16</f>
        <v>7.5630252100840331E-2</v>
      </c>
      <c r="AA23" s="355">
        <f>+(Z23*$H$15)+$H$15</f>
        <v>8652.8871234524795</v>
      </c>
      <c r="AB23" s="355">
        <f>+AA23*Y23</f>
        <v>311503.93644428928</v>
      </c>
      <c r="AC23" s="727">
        <v>22000</v>
      </c>
      <c r="AD23" s="552">
        <f>+Y23*AC23</f>
        <v>792000</v>
      </c>
      <c r="AF23" s="759" t="s">
        <v>225</v>
      </c>
      <c r="AG23" s="760">
        <v>2</v>
      </c>
      <c r="AH23" s="760">
        <v>16</v>
      </c>
      <c r="AI23" s="760">
        <f>+AG23*AH23</f>
        <v>32</v>
      </c>
      <c r="AJ23" s="755">
        <f>SUM(AI23*$AH$16)/$AG$16</f>
        <v>6.7844522968197887E-2</v>
      </c>
      <c r="AK23" s="217">
        <f>+(AJ23*$H$15)+$H$15</f>
        <v>8590.2549733925953</v>
      </c>
      <c r="AL23" s="217">
        <f>+AK23*AI23</f>
        <v>274888.15914856305</v>
      </c>
      <c r="AM23" s="553">
        <v>22000</v>
      </c>
      <c r="AN23" s="555">
        <f t="shared" ref="AN23:AN41" si="13">+AI23*AM23</f>
        <v>704000</v>
      </c>
      <c r="AO23" s="632"/>
      <c r="AP23" s="794" t="s">
        <v>225</v>
      </c>
      <c r="AQ23" s="795">
        <v>2</v>
      </c>
      <c r="AR23" s="795">
        <v>18</v>
      </c>
      <c r="AS23" s="795">
        <f>+AQ23*AR23</f>
        <v>36</v>
      </c>
      <c r="AT23" s="790">
        <f>+(AS23*$AR$16)/$AQ$16</f>
        <v>7.5905709497826129E-2</v>
      </c>
      <c r="AU23" s="789">
        <f>+(AT23*$H$15)+$H$15</f>
        <v>8655.1030352481757</v>
      </c>
      <c r="AV23" s="789">
        <f>+AU23*AS23</f>
        <v>311583.70926893433</v>
      </c>
      <c r="AW23" s="796">
        <v>22000</v>
      </c>
      <c r="AX23" s="797">
        <f t="shared" ref="AX23:AX41" si="14">+AS23*AW23</f>
        <v>792000</v>
      </c>
      <c r="AZ23" s="690" t="s">
        <v>225</v>
      </c>
      <c r="BA23" s="490">
        <v>2</v>
      </c>
      <c r="BB23" s="490">
        <v>17</v>
      </c>
      <c r="BC23" s="490">
        <f>+BA23*BB23</f>
        <v>34</v>
      </c>
      <c r="BD23" s="686">
        <f>+(BC23*$BB$16)/$BA$16</f>
        <v>7.2365259182972888E-2</v>
      </c>
      <c r="BE23" s="214">
        <f>+(BD23*$H$15)+$H$15</f>
        <v>8626.6219499674462</v>
      </c>
      <c r="BF23" s="214">
        <f>+BE23*BC23</f>
        <v>293305.14629889315</v>
      </c>
      <c r="BG23" s="493">
        <v>22000</v>
      </c>
      <c r="BH23" s="497">
        <f t="shared" ref="BH23:BH41" si="15">+BC23*BG23</f>
        <v>748000</v>
      </c>
      <c r="BJ23" s="725" t="s">
        <v>225</v>
      </c>
      <c r="BK23" s="726">
        <v>2</v>
      </c>
      <c r="BL23" s="726">
        <v>17</v>
      </c>
      <c r="BM23" s="726">
        <f>+BK23*BL23</f>
        <v>34</v>
      </c>
      <c r="BN23" s="720">
        <f>+(BM23*$BL$16)/$BK$16</f>
        <v>7.1969955616251274E-2</v>
      </c>
      <c r="BO23" s="355">
        <f>+(BN23*$H$15)+$H$15</f>
        <v>8623.4419379366773</v>
      </c>
      <c r="BP23" s="355">
        <f>+BO23*BM23</f>
        <v>293197.02588984702</v>
      </c>
      <c r="BQ23" s="727">
        <v>22000</v>
      </c>
      <c r="BR23" s="552">
        <f>+BM23*BQ23</f>
        <v>748000</v>
      </c>
      <c r="BT23" s="759" t="s">
        <v>225</v>
      </c>
      <c r="BU23" s="760">
        <v>2</v>
      </c>
      <c r="BV23" s="760">
        <v>16</v>
      </c>
      <c r="BW23" s="760">
        <f>+BU23*BV23</f>
        <v>32</v>
      </c>
      <c r="BX23" s="755">
        <f>+(BW23*$BV$16)/$BU$16</f>
        <v>6.7929826844425695E-2</v>
      </c>
      <c r="BY23" s="217">
        <f>+(BX23*$H$15)+$H$15</f>
        <v>8590.9411988039301</v>
      </c>
      <c r="BZ23" s="217">
        <f t="shared" ref="BZ23:BZ41" si="16">+BY23*BW23</f>
        <v>274910.11836172576</v>
      </c>
      <c r="CA23" s="553">
        <v>22000</v>
      </c>
      <c r="CB23" s="555">
        <f t="shared" ref="CB23:CB41" si="17">+BW23*CA23</f>
        <v>704000</v>
      </c>
      <c r="CD23" s="626" t="s">
        <v>225</v>
      </c>
      <c r="CE23" s="72">
        <v>2</v>
      </c>
      <c r="CF23" s="72">
        <v>17</v>
      </c>
      <c r="CG23" s="72">
        <f>+CE23*CF23</f>
        <v>34</v>
      </c>
      <c r="CH23" s="118">
        <f>+(CG23*$CF$16)/$CE$16</f>
        <v>7.2472577926766646E-2</v>
      </c>
      <c r="CI23" s="117">
        <f>+(CH23*$H$15)+$H$15</f>
        <v>8627.4852735625809</v>
      </c>
      <c r="CJ23" s="117">
        <f t="shared" ref="CJ23:CJ41" si="18">+CI23*CG23</f>
        <v>293334.49930112774</v>
      </c>
      <c r="CK23" s="119">
        <v>22000</v>
      </c>
      <c r="CL23" s="566">
        <f t="shared" ref="CL23:CL41" si="19">+CG23*CK23</f>
        <v>748000</v>
      </c>
      <c r="CM23" s="632"/>
      <c r="CN23" s="690" t="s">
        <v>225</v>
      </c>
      <c r="CO23" s="490">
        <v>2</v>
      </c>
      <c r="CP23" s="490">
        <v>16</v>
      </c>
      <c r="CQ23" s="490">
        <f>+CO23*CP23</f>
        <v>32</v>
      </c>
      <c r="CR23" s="686">
        <f>(CQ23*$CP$16)/$CO$16</f>
        <v>6.8351726593093631E-2</v>
      </c>
      <c r="CS23" s="214">
        <f>+(CR23*$H$15)+$H$15</f>
        <v>8594.3351633149759</v>
      </c>
      <c r="CT23" s="214">
        <f t="shared" ref="CT23:CT41" si="20">+CS23*CQ23</f>
        <v>275018.72522607923</v>
      </c>
      <c r="CU23" s="493">
        <v>22000</v>
      </c>
      <c r="CV23" s="497">
        <f t="shared" ref="CV23:CV41" si="21">+CQ23*CU23</f>
        <v>704000</v>
      </c>
      <c r="CX23" s="725" t="s">
        <v>225</v>
      </c>
      <c r="CY23" s="726">
        <v>2</v>
      </c>
      <c r="CZ23" s="726">
        <v>16</v>
      </c>
      <c r="DA23" s="726">
        <f>+CY23*CZ23</f>
        <v>32</v>
      </c>
      <c r="DB23" s="720">
        <f>+(DA23*$CZ$16)/$CY$16</f>
        <v>6.7997439300059984E-2</v>
      </c>
      <c r="DC23" s="355">
        <f>+(DB23*$H$15)+$H$15</f>
        <v>8591.4851059184803</v>
      </c>
      <c r="DD23" s="355">
        <f t="shared" ref="DD23:DD41" si="22">+DC23*DA23</f>
        <v>274927.52338939137</v>
      </c>
      <c r="DE23" s="727">
        <v>22000</v>
      </c>
      <c r="DF23" s="552">
        <f t="shared" ref="DF23:DF41" si="23">+DA23*DE23</f>
        <v>704000</v>
      </c>
      <c r="DH23" s="759" t="s">
        <v>225</v>
      </c>
      <c r="DI23" s="760">
        <v>2</v>
      </c>
      <c r="DJ23" s="760">
        <v>16</v>
      </c>
      <c r="DK23" s="760">
        <f>+DI23*DJ23</f>
        <v>32</v>
      </c>
      <c r="DL23" s="755">
        <f>(DK23*$DJ$16)/$DI$16</f>
        <v>6.8093922281036931E-2</v>
      </c>
      <c r="DM23" s="217">
        <f>+(DL23*$H$15)+$H$15</f>
        <v>8592.2612614255395</v>
      </c>
      <c r="DN23" s="217">
        <f>+DM23*DK23</f>
        <v>274952.36036561726</v>
      </c>
      <c r="DO23" s="553">
        <v>22000</v>
      </c>
      <c r="DP23" s="555">
        <f t="shared" ref="DP23:DP41" si="24">+DK23*DO23</f>
        <v>704000</v>
      </c>
    </row>
    <row r="24" spans="1:120" ht="26.25" customHeight="1" x14ac:dyDescent="0.25">
      <c r="B24" s="844" t="s">
        <v>226</v>
      </c>
      <c r="C24" s="483">
        <v>2</v>
      </c>
      <c r="D24" s="483">
        <v>4</v>
      </c>
      <c r="E24" s="483">
        <f t="shared" ref="E24:E41" si="25">+C24*D24</f>
        <v>8</v>
      </c>
      <c r="F24" s="648">
        <f t="shared" ref="F24:F41" si="26">+(E24*$D$16)/$C$16</f>
        <v>1.6544486866904903E-2</v>
      </c>
      <c r="G24" s="647">
        <f t="shared" ref="G24:G41" si="27">+(F24*$H$15)+$H$15</f>
        <v>8177.572807800334</v>
      </c>
      <c r="H24" s="647">
        <f t="shared" ref="H24:H41" si="28">+G24*E24</f>
        <v>65420.582462402672</v>
      </c>
      <c r="I24" s="486">
        <v>20000</v>
      </c>
      <c r="J24" s="505">
        <f t="shared" ref="J24:J41" si="29">+E24*I24</f>
        <v>160000</v>
      </c>
      <c r="L24" s="690" t="s">
        <v>226</v>
      </c>
      <c r="M24" s="490">
        <v>2</v>
      </c>
      <c r="N24" s="490">
        <v>4</v>
      </c>
      <c r="O24" s="490">
        <f t="shared" ref="O24:O41" si="30">+M24*N24</f>
        <v>8</v>
      </c>
      <c r="P24" s="686">
        <f t="shared" ref="P24:P41" si="31">SUM(O24*$N$16)/$M$16</f>
        <v>1.6753158549530248E-2</v>
      </c>
      <c r="Q24" s="214">
        <f t="shared" ref="Q24:Q41" si="32">+(P24*$H$15)+$H$15</f>
        <v>8179.2514631859476</v>
      </c>
      <c r="R24" s="214">
        <f t="shared" ref="R24:R41" si="33">+Q24*O24</f>
        <v>65434.011705487581</v>
      </c>
      <c r="S24" s="493">
        <v>20000</v>
      </c>
      <c r="T24" s="497">
        <f t="shared" si="12"/>
        <v>160000</v>
      </c>
      <c r="V24" s="725" t="s">
        <v>226</v>
      </c>
      <c r="W24" s="726">
        <v>2</v>
      </c>
      <c r="X24" s="726">
        <v>4</v>
      </c>
      <c r="Y24" s="726">
        <f t="shared" ref="Y24:Y41" si="34">+W24*X24</f>
        <v>8</v>
      </c>
      <c r="Z24" s="720">
        <f t="shared" ref="Z24:Z41" si="35">SUM(Y24*$X$16)/$W$16</f>
        <v>1.6806722689075633E-2</v>
      </c>
      <c r="AA24" s="355">
        <f t="shared" ref="AA24:AA41" si="36">+(Z24*$H$15)+$H$15</f>
        <v>8179.6823588886728</v>
      </c>
      <c r="AB24" s="355">
        <f t="shared" ref="AB24:AB41" si="37">+AA24*Y24</f>
        <v>65437.458871109382</v>
      </c>
      <c r="AC24" s="727">
        <v>20000</v>
      </c>
      <c r="AD24" s="552">
        <f t="shared" ref="AD24:AD41" si="38">+Y24*AC24</f>
        <v>160000</v>
      </c>
      <c r="AF24" s="759" t="s">
        <v>226</v>
      </c>
      <c r="AG24" s="760">
        <v>2</v>
      </c>
      <c r="AH24" s="760">
        <v>4</v>
      </c>
      <c r="AI24" s="760">
        <f t="shared" ref="AI24:AI41" si="39">+AG24*AH24</f>
        <v>8</v>
      </c>
      <c r="AJ24" s="755">
        <f t="shared" ref="AJ24:AJ41" si="40">SUM(AI24*$AH$16)/$AG$16</f>
        <v>1.6961130742049472E-2</v>
      </c>
      <c r="AK24" s="217">
        <f t="shared" ref="AK24:AK41" si="41">+(AJ24*$H$15)+$H$15</f>
        <v>8180.9244915366944</v>
      </c>
      <c r="AL24" s="217">
        <f t="shared" ref="AL24:AL41" si="42">+AK24*AI24</f>
        <v>65447.395932293555</v>
      </c>
      <c r="AM24" s="553">
        <v>20000</v>
      </c>
      <c r="AN24" s="555">
        <f t="shared" si="13"/>
        <v>160000</v>
      </c>
      <c r="AO24" s="632"/>
      <c r="AP24" s="794" t="s">
        <v>226</v>
      </c>
      <c r="AQ24" s="795">
        <v>2</v>
      </c>
      <c r="AR24" s="795">
        <v>4</v>
      </c>
      <c r="AS24" s="795">
        <f t="shared" ref="AS24:AS41" si="43">+AQ24*AR24</f>
        <v>8</v>
      </c>
      <c r="AT24" s="790">
        <f t="shared" ref="AT24:AT41" si="44">+(AS24*$AR$16)/$AQ$16</f>
        <v>1.6867935443961361E-2</v>
      </c>
      <c r="AU24" s="789">
        <f t="shared" ref="AU24:AU41" si="45">+(AT24*$H$15)+$H$15</f>
        <v>8180.1747837321609</v>
      </c>
      <c r="AV24" s="789">
        <f t="shared" ref="AV24:AV41" si="46">+AU24*AS24</f>
        <v>65441.398269857287</v>
      </c>
      <c r="AW24" s="796">
        <v>20000</v>
      </c>
      <c r="AX24" s="797">
        <f t="shared" si="14"/>
        <v>160000</v>
      </c>
      <c r="AZ24" s="690" t="s">
        <v>226</v>
      </c>
      <c r="BA24" s="490">
        <v>2</v>
      </c>
      <c r="BB24" s="490">
        <v>4</v>
      </c>
      <c r="BC24" s="490">
        <f t="shared" ref="BC24:BC41" si="47">+BA24*BB24</f>
        <v>8</v>
      </c>
      <c r="BD24" s="686">
        <f t="shared" ref="BD24:BD41" si="48">+(BC24*$BB$16)/$BA$16</f>
        <v>1.7027119807758326E-2</v>
      </c>
      <c r="BE24" s="214">
        <f t="shared" ref="BE24:BE41" si="49">+(BD24*$H$15)+$H$15</f>
        <v>8181.4553393218375</v>
      </c>
      <c r="BF24" s="214">
        <f t="shared" ref="BF24:BF41" si="50">+BE24*BC24</f>
        <v>65451.6427145747</v>
      </c>
      <c r="BG24" s="493">
        <v>20000</v>
      </c>
      <c r="BH24" s="497">
        <f t="shared" si="15"/>
        <v>160000</v>
      </c>
      <c r="BJ24" s="725" t="s">
        <v>226</v>
      </c>
      <c r="BK24" s="726">
        <v>2</v>
      </c>
      <c r="BL24" s="726">
        <v>4</v>
      </c>
      <c r="BM24" s="726">
        <f t="shared" ref="BM24:BM41" si="51">+BK24*BL24</f>
        <v>8</v>
      </c>
      <c r="BN24" s="720">
        <f t="shared" ref="BN24:BN41" si="52">+(BM24*$BL$16)/$BK$16</f>
        <v>1.693410720382383E-2</v>
      </c>
      <c r="BO24" s="355">
        <f t="shared" ref="BO24:BO41" si="53">+(BN24*$H$15)+$H$15</f>
        <v>8180.707101196951</v>
      </c>
      <c r="BP24" s="355">
        <f t="shared" ref="BP24:BP41" si="54">+BO24*BM24</f>
        <v>65445.656809575608</v>
      </c>
      <c r="BQ24" s="727">
        <v>20000</v>
      </c>
      <c r="BR24" s="552">
        <f t="shared" ref="BR24:BR41" si="55">+BM24*BQ24</f>
        <v>160000</v>
      </c>
      <c r="BT24" s="759" t="s">
        <v>226</v>
      </c>
      <c r="BU24" s="760">
        <v>2</v>
      </c>
      <c r="BV24" s="760">
        <v>4</v>
      </c>
      <c r="BW24" s="760">
        <f t="shared" ref="BW24:BW41" si="56">+BU24*BV24</f>
        <v>8</v>
      </c>
      <c r="BX24" s="755">
        <f t="shared" ref="BX24:BX41" si="57">+(BW24*$BV$16)/$BU$16</f>
        <v>1.6982456711106424E-2</v>
      </c>
      <c r="BY24" s="217">
        <f t="shared" ref="BY24:BY41" si="58">+(BX24*$H$15)+$H$15</f>
        <v>8181.0960478895286</v>
      </c>
      <c r="BZ24" s="217">
        <f t="shared" si="16"/>
        <v>65448.768383116229</v>
      </c>
      <c r="CA24" s="553">
        <v>20000</v>
      </c>
      <c r="CB24" s="555">
        <f t="shared" si="17"/>
        <v>160000</v>
      </c>
      <c r="CD24" s="626" t="s">
        <v>226</v>
      </c>
      <c r="CE24" s="72">
        <v>2</v>
      </c>
      <c r="CF24" s="72">
        <v>4</v>
      </c>
      <c r="CG24" s="72">
        <f t="shared" ref="CG24:CG41" si="59">+CE24*CF24</f>
        <v>8</v>
      </c>
      <c r="CH24" s="118">
        <f t="shared" ref="CH24:CH41" si="60">+(CG24*$CF$16)/$CE$16</f>
        <v>1.7052371276886271E-2</v>
      </c>
      <c r="CI24" s="117">
        <f t="shared" ref="CI24:CI41" si="61">+(CH24*$H$15)+$H$15</f>
        <v>8181.6584742853984</v>
      </c>
      <c r="CJ24" s="117">
        <f t="shared" si="18"/>
        <v>65453.267794283187</v>
      </c>
      <c r="CK24" s="119">
        <v>20000</v>
      </c>
      <c r="CL24" s="566">
        <f t="shared" si="19"/>
        <v>160000</v>
      </c>
      <c r="CM24" s="632"/>
      <c r="CN24" s="690" t="s">
        <v>226</v>
      </c>
      <c r="CO24" s="490">
        <v>2</v>
      </c>
      <c r="CP24" s="490">
        <v>4</v>
      </c>
      <c r="CQ24" s="490">
        <f t="shared" ref="CQ24:CQ41" si="62">+CO24*CP24</f>
        <v>8</v>
      </c>
      <c r="CR24" s="686">
        <f t="shared" ref="CR24:CR41" si="63">(CQ24*$CP$16)/$CO$16</f>
        <v>1.7087931648273408E-2</v>
      </c>
      <c r="CS24" s="214">
        <f t="shared" ref="CS24:CS41" si="64">+(CR24*$H$15)+$H$15</f>
        <v>8181.9445390172896</v>
      </c>
      <c r="CT24" s="214">
        <f t="shared" si="20"/>
        <v>65455.556312138317</v>
      </c>
      <c r="CU24" s="493">
        <v>20000</v>
      </c>
      <c r="CV24" s="497">
        <f t="shared" si="21"/>
        <v>160000</v>
      </c>
      <c r="CX24" s="725" t="s">
        <v>226</v>
      </c>
      <c r="CY24" s="726">
        <v>2</v>
      </c>
      <c r="CZ24" s="726">
        <v>4</v>
      </c>
      <c r="DA24" s="726">
        <f t="shared" ref="DA24:DA41" si="65">+CY24*CZ24</f>
        <v>8</v>
      </c>
      <c r="DB24" s="720">
        <f t="shared" ref="DB24:DB41" si="66">+(DA24*$CZ$16)/$CY$16</f>
        <v>1.6999359825014996E-2</v>
      </c>
      <c r="DC24" s="355">
        <f t="shared" ref="DC24:DC41" si="67">+(DB24*$H$15)+$H$15</f>
        <v>8181.2320246681656</v>
      </c>
      <c r="DD24" s="355">
        <f t="shared" si="22"/>
        <v>65449.856197345325</v>
      </c>
      <c r="DE24" s="727">
        <v>20000</v>
      </c>
      <c r="DF24" s="552">
        <f t="shared" si="23"/>
        <v>160000</v>
      </c>
      <c r="DH24" s="759" t="s">
        <v>226</v>
      </c>
      <c r="DI24" s="760">
        <v>2</v>
      </c>
      <c r="DJ24" s="760">
        <v>5</v>
      </c>
      <c r="DK24" s="760">
        <f t="shared" ref="DK24:DK41" si="68">+DI24*DJ24</f>
        <v>10</v>
      </c>
      <c r="DL24" s="755">
        <f t="shared" ref="DL24:DL41" si="69">(DK24*$DJ$16)/$DI$16</f>
        <v>2.1279350712824038E-2</v>
      </c>
      <c r="DM24" s="217">
        <f t="shared" ref="DM24:DM41" si="70">+(DL24*$H$15)+$H$15</f>
        <v>8215.662330034982</v>
      </c>
      <c r="DN24" s="217">
        <f t="shared" ref="DN24:DN41" si="71">+DM24*DK24</f>
        <v>82156.62330034982</v>
      </c>
      <c r="DO24" s="553">
        <v>20000</v>
      </c>
      <c r="DP24" s="555">
        <f t="shared" si="24"/>
        <v>200000</v>
      </c>
    </row>
    <row r="25" spans="1:120" ht="28.5" customHeight="1" x14ac:dyDescent="0.25">
      <c r="B25" s="844" t="s">
        <v>239</v>
      </c>
      <c r="C25" s="483">
        <v>1</v>
      </c>
      <c r="D25" s="483">
        <v>14</v>
      </c>
      <c r="E25" s="483">
        <f t="shared" si="25"/>
        <v>14</v>
      </c>
      <c r="F25" s="648">
        <f t="shared" si="26"/>
        <v>2.8952852017083582E-2</v>
      </c>
      <c r="G25" s="647">
        <f t="shared" si="27"/>
        <v>8277.3916654620389</v>
      </c>
      <c r="H25" s="647">
        <f t="shared" si="28"/>
        <v>115883.48331646854</v>
      </c>
      <c r="I25" s="486">
        <v>20000</v>
      </c>
      <c r="J25" s="505">
        <f t="shared" si="29"/>
        <v>280000</v>
      </c>
      <c r="L25" s="690" t="s">
        <v>239</v>
      </c>
      <c r="M25" s="490">
        <v>1</v>
      </c>
      <c r="N25" s="490">
        <v>15</v>
      </c>
      <c r="O25" s="490">
        <f t="shared" si="30"/>
        <v>15</v>
      </c>
      <c r="P25" s="686">
        <f t="shared" si="31"/>
        <v>3.1412172280369223E-2</v>
      </c>
      <c r="Q25" s="214">
        <f t="shared" si="32"/>
        <v>8297.1756205870151</v>
      </c>
      <c r="R25" s="214">
        <f t="shared" si="33"/>
        <v>124457.63430880522</v>
      </c>
      <c r="S25" s="493">
        <v>20000</v>
      </c>
      <c r="T25" s="497">
        <f t="shared" si="12"/>
        <v>300000</v>
      </c>
      <c r="V25" s="725" t="s">
        <v>239</v>
      </c>
      <c r="W25" s="726">
        <v>1</v>
      </c>
      <c r="X25" s="726">
        <v>15</v>
      </c>
      <c r="Y25" s="726">
        <f t="shared" si="34"/>
        <v>15</v>
      </c>
      <c r="Z25" s="720">
        <f t="shared" si="35"/>
        <v>3.1512605042016813E-2</v>
      </c>
      <c r="AA25" s="355">
        <f t="shared" si="36"/>
        <v>8297.9835500296249</v>
      </c>
      <c r="AB25" s="355">
        <f t="shared" si="37"/>
        <v>124469.75325044437</v>
      </c>
      <c r="AC25" s="727">
        <v>20000</v>
      </c>
      <c r="AD25" s="552">
        <f t="shared" si="38"/>
        <v>300000</v>
      </c>
      <c r="AF25" s="759" t="s">
        <v>239</v>
      </c>
      <c r="AG25" s="760">
        <v>1</v>
      </c>
      <c r="AH25" s="760">
        <v>15</v>
      </c>
      <c r="AI25" s="760">
        <f t="shared" si="39"/>
        <v>15</v>
      </c>
      <c r="AJ25" s="755">
        <f t="shared" si="40"/>
        <v>3.180212014134276E-2</v>
      </c>
      <c r="AK25" s="217">
        <f t="shared" si="41"/>
        <v>8300.312548744665</v>
      </c>
      <c r="AL25" s="217">
        <f t="shared" si="42"/>
        <v>124504.68823116997</v>
      </c>
      <c r="AM25" s="553">
        <v>20000</v>
      </c>
      <c r="AN25" s="555">
        <f t="shared" si="13"/>
        <v>300000</v>
      </c>
      <c r="AO25" s="632"/>
      <c r="AP25" s="794" t="s">
        <v>239</v>
      </c>
      <c r="AQ25" s="795">
        <v>1</v>
      </c>
      <c r="AR25" s="795">
        <v>15</v>
      </c>
      <c r="AS25" s="795">
        <f t="shared" si="43"/>
        <v>15</v>
      </c>
      <c r="AT25" s="790">
        <f t="shared" si="44"/>
        <v>3.1627378957427559E-2</v>
      </c>
      <c r="AU25" s="789">
        <f t="shared" si="45"/>
        <v>8298.9068466111639</v>
      </c>
      <c r="AV25" s="789">
        <f t="shared" si="46"/>
        <v>124483.60269916746</v>
      </c>
      <c r="AW25" s="796">
        <v>20000</v>
      </c>
      <c r="AX25" s="797">
        <f t="shared" si="14"/>
        <v>300000</v>
      </c>
      <c r="AZ25" s="690" t="s">
        <v>239</v>
      </c>
      <c r="BA25" s="490">
        <v>1</v>
      </c>
      <c r="BB25" s="490">
        <v>14</v>
      </c>
      <c r="BC25" s="490">
        <f t="shared" si="47"/>
        <v>14</v>
      </c>
      <c r="BD25" s="686">
        <f t="shared" si="48"/>
        <v>2.9797459663577074E-2</v>
      </c>
      <c r="BE25" s="214">
        <f t="shared" si="49"/>
        <v>8284.186095624671</v>
      </c>
      <c r="BF25" s="214">
        <f t="shared" si="50"/>
        <v>115978.6053387454</v>
      </c>
      <c r="BG25" s="493">
        <v>20000</v>
      </c>
      <c r="BH25" s="497">
        <f t="shared" si="15"/>
        <v>280000</v>
      </c>
      <c r="BJ25" s="725" t="s">
        <v>239</v>
      </c>
      <c r="BK25" s="726">
        <v>1</v>
      </c>
      <c r="BL25" s="726">
        <v>14</v>
      </c>
      <c r="BM25" s="726">
        <f t="shared" si="51"/>
        <v>14</v>
      </c>
      <c r="BN25" s="720">
        <f t="shared" si="52"/>
        <v>2.9634687606691704E-2</v>
      </c>
      <c r="BO25" s="355">
        <f t="shared" si="53"/>
        <v>8282.8766789061192</v>
      </c>
      <c r="BP25" s="355">
        <f t="shared" si="54"/>
        <v>115960.27350468567</v>
      </c>
      <c r="BQ25" s="727">
        <v>20000</v>
      </c>
      <c r="BR25" s="552">
        <f t="shared" si="55"/>
        <v>280000</v>
      </c>
      <c r="BT25" s="759" t="s">
        <v>239</v>
      </c>
      <c r="BU25" s="760">
        <v>1</v>
      </c>
      <c r="BV25" s="760">
        <v>15</v>
      </c>
      <c r="BW25" s="760">
        <f t="shared" si="56"/>
        <v>15</v>
      </c>
      <c r="BX25" s="755">
        <f t="shared" si="57"/>
        <v>3.1842106333324544E-2</v>
      </c>
      <c r="BY25" s="217">
        <f t="shared" si="58"/>
        <v>8300.6342169062282</v>
      </c>
      <c r="BZ25" s="217">
        <f t="shared" si="16"/>
        <v>124509.51325359342</v>
      </c>
      <c r="CA25" s="553">
        <v>20000</v>
      </c>
      <c r="CB25" s="555">
        <f t="shared" si="17"/>
        <v>300000</v>
      </c>
      <c r="CD25" s="626" t="s">
        <v>239</v>
      </c>
      <c r="CE25" s="72">
        <v>1</v>
      </c>
      <c r="CF25" s="72">
        <v>15</v>
      </c>
      <c r="CG25" s="72">
        <f t="shared" si="59"/>
        <v>15</v>
      </c>
      <c r="CH25" s="118">
        <f t="shared" si="60"/>
        <v>3.1973196144161761E-2</v>
      </c>
      <c r="CI25" s="117">
        <f t="shared" si="61"/>
        <v>8301.6887663984853</v>
      </c>
      <c r="CJ25" s="117">
        <f t="shared" si="18"/>
        <v>124525.33149597728</v>
      </c>
      <c r="CK25" s="119">
        <v>20000</v>
      </c>
      <c r="CL25" s="566">
        <f t="shared" si="19"/>
        <v>300000</v>
      </c>
      <c r="CM25" s="632"/>
      <c r="CN25" s="690" t="s">
        <v>239</v>
      </c>
      <c r="CO25" s="490">
        <v>1</v>
      </c>
      <c r="CP25" s="490">
        <v>15</v>
      </c>
      <c r="CQ25" s="490">
        <f t="shared" si="62"/>
        <v>15</v>
      </c>
      <c r="CR25" s="686">
        <f t="shared" si="63"/>
        <v>3.2039871840512636E-2</v>
      </c>
      <c r="CS25" s="214">
        <f t="shared" si="64"/>
        <v>8302.2251377707817</v>
      </c>
      <c r="CT25" s="214">
        <f t="shared" si="20"/>
        <v>124533.37706656172</v>
      </c>
      <c r="CU25" s="493">
        <v>20000</v>
      </c>
      <c r="CV25" s="497">
        <f t="shared" si="21"/>
        <v>300000</v>
      </c>
      <c r="CX25" s="725" t="s">
        <v>239</v>
      </c>
      <c r="CY25" s="726">
        <v>1</v>
      </c>
      <c r="CZ25" s="726">
        <v>13</v>
      </c>
      <c r="DA25" s="726">
        <f t="shared" si="65"/>
        <v>13</v>
      </c>
      <c r="DB25" s="720">
        <f t="shared" si="66"/>
        <v>2.7623959715649366E-2</v>
      </c>
      <c r="DC25" s="355">
        <f t="shared" si="67"/>
        <v>8266.7014165953151</v>
      </c>
      <c r="DD25" s="355">
        <f t="shared" si="22"/>
        <v>107467.1184157391</v>
      </c>
      <c r="DE25" s="727">
        <v>20000</v>
      </c>
      <c r="DF25" s="552">
        <f t="shared" si="23"/>
        <v>260000</v>
      </c>
      <c r="DH25" s="759" t="s">
        <v>239</v>
      </c>
      <c r="DI25" s="760">
        <v>1</v>
      </c>
      <c r="DJ25" s="760">
        <v>15</v>
      </c>
      <c r="DK25" s="760">
        <f t="shared" si="68"/>
        <v>15</v>
      </c>
      <c r="DL25" s="755">
        <f t="shared" si="69"/>
        <v>3.1919026069236058E-2</v>
      </c>
      <c r="DM25" s="217">
        <f t="shared" si="70"/>
        <v>8301.2529962601093</v>
      </c>
      <c r="DN25" s="217">
        <f t="shared" si="71"/>
        <v>124518.79494390164</v>
      </c>
      <c r="DO25" s="553">
        <v>20000</v>
      </c>
      <c r="DP25" s="555">
        <f t="shared" si="24"/>
        <v>300000</v>
      </c>
    </row>
    <row r="26" spans="1:120" x14ac:dyDescent="0.25">
      <c r="B26" s="845" t="s">
        <v>227</v>
      </c>
      <c r="C26" s="483">
        <v>2</v>
      </c>
      <c r="D26" s="483">
        <v>3</v>
      </c>
      <c r="E26" s="483">
        <f t="shared" si="25"/>
        <v>6</v>
      </c>
      <c r="F26" s="648">
        <f t="shared" si="26"/>
        <v>1.2408365150178678E-2</v>
      </c>
      <c r="G26" s="647">
        <f t="shared" si="27"/>
        <v>8144.2998552464323</v>
      </c>
      <c r="H26" s="647">
        <f t="shared" si="28"/>
        <v>48865.79913147859</v>
      </c>
      <c r="I26" s="486">
        <v>22000</v>
      </c>
      <c r="J26" s="505">
        <f t="shared" si="29"/>
        <v>132000</v>
      </c>
      <c r="L26" s="852" t="s">
        <v>227</v>
      </c>
      <c r="M26" s="490">
        <v>2</v>
      </c>
      <c r="N26" s="490">
        <v>3</v>
      </c>
      <c r="O26" s="490">
        <f t="shared" si="30"/>
        <v>6</v>
      </c>
      <c r="P26" s="686">
        <f t="shared" si="31"/>
        <v>1.2564868912147687E-2</v>
      </c>
      <c r="Q26" s="214">
        <f t="shared" si="32"/>
        <v>8145.5588467856423</v>
      </c>
      <c r="R26" s="214">
        <f t="shared" si="33"/>
        <v>48873.353080713852</v>
      </c>
      <c r="S26" s="493">
        <v>22000</v>
      </c>
      <c r="T26" s="497">
        <f t="shared" si="12"/>
        <v>132000</v>
      </c>
      <c r="V26" s="725" t="s">
        <v>227</v>
      </c>
      <c r="W26" s="726">
        <v>2</v>
      </c>
      <c r="X26" s="726">
        <v>3</v>
      </c>
      <c r="Y26" s="726">
        <f t="shared" si="34"/>
        <v>6</v>
      </c>
      <c r="Z26" s="720">
        <f t="shared" si="35"/>
        <v>1.2605042016806723E-2</v>
      </c>
      <c r="AA26" s="355">
        <f t="shared" si="36"/>
        <v>8145.8820185626864</v>
      </c>
      <c r="AB26" s="355">
        <f t="shared" si="37"/>
        <v>48875.292111376119</v>
      </c>
      <c r="AC26" s="727">
        <v>22000</v>
      </c>
      <c r="AD26" s="552">
        <f t="shared" si="38"/>
        <v>132000</v>
      </c>
      <c r="AF26" s="759" t="s">
        <v>227</v>
      </c>
      <c r="AG26" s="760">
        <v>2</v>
      </c>
      <c r="AH26" s="760">
        <v>3</v>
      </c>
      <c r="AI26" s="760">
        <f t="shared" si="39"/>
        <v>6</v>
      </c>
      <c r="AJ26" s="755">
        <f t="shared" si="40"/>
        <v>1.2720848056537103E-2</v>
      </c>
      <c r="AK26" s="217">
        <f t="shared" si="41"/>
        <v>8146.8136180487027</v>
      </c>
      <c r="AL26" s="217">
        <f t="shared" si="42"/>
        <v>48880.881708292218</v>
      </c>
      <c r="AM26" s="553">
        <v>22000</v>
      </c>
      <c r="AN26" s="555">
        <f t="shared" si="13"/>
        <v>132000</v>
      </c>
      <c r="AO26" s="632"/>
      <c r="AP26" s="794" t="s">
        <v>227</v>
      </c>
      <c r="AQ26" s="795">
        <v>2</v>
      </c>
      <c r="AR26" s="795">
        <v>3</v>
      </c>
      <c r="AS26" s="795">
        <f t="shared" si="43"/>
        <v>6</v>
      </c>
      <c r="AT26" s="790">
        <f t="shared" si="44"/>
        <v>1.2650951582971021E-2</v>
      </c>
      <c r="AU26" s="789">
        <f t="shared" si="45"/>
        <v>8146.2513371953019</v>
      </c>
      <c r="AV26" s="789">
        <f t="shared" si="46"/>
        <v>48877.508023171809</v>
      </c>
      <c r="AW26" s="796">
        <v>22000</v>
      </c>
      <c r="AX26" s="797">
        <f t="shared" si="14"/>
        <v>132000</v>
      </c>
      <c r="AZ26" s="690" t="s">
        <v>227</v>
      </c>
      <c r="BA26" s="490">
        <v>2</v>
      </c>
      <c r="BB26" s="490">
        <v>3</v>
      </c>
      <c r="BC26" s="490">
        <f t="shared" si="47"/>
        <v>6</v>
      </c>
      <c r="BD26" s="686">
        <f t="shared" si="48"/>
        <v>1.2770339855818744E-2</v>
      </c>
      <c r="BE26" s="214">
        <f t="shared" si="49"/>
        <v>8147.21175388756</v>
      </c>
      <c r="BF26" s="214">
        <f t="shared" si="50"/>
        <v>48883.270523325358</v>
      </c>
      <c r="BG26" s="493">
        <v>22000</v>
      </c>
      <c r="BH26" s="497">
        <f t="shared" si="15"/>
        <v>132000</v>
      </c>
      <c r="BJ26" s="725" t="s">
        <v>227</v>
      </c>
      <c r="BK26" s="726">
        <v>2</v>
      </c>
      <c r="BL26" s="726">
        <v>3</v>
      </c>
      <c r="BM26" s="726">
        <f t="shared" si="51"/>
        <v>6</v>
      </c>
      <c r="BN26" s="720">
        <f t="shared" si="52"/>
        <v>1.2700580402867872E-2</v>
      </c>
      <c r="BO26" s="355">
        <f t="shared" si="53"/>
        <v>8146.6505752938947</v>
      </c>
      <c r="BP26" s="355">
        <f t="shared" si="54"/>
        <v>48879.90345176337</v>
      </c>
      <c r="BQ26" s="727">
        <v>22000</v>
      </c>
      <c r="BR26" s="552">
        <f t="shared" si="55"/>
        <v>132000</v>
      </c>
      <c r="BT26" s="759" t="s">
        <v>227</v>
      </c>
      <c r="BU26" s="760">
        <v>2</v>
      </c>
      <c r="BV26" s="760">
        <v>3</v>
      </c>
      <c r="BW26" s="760">
        <f t="shared" si="56"/>
        <v>6</v>
      </c>
      <c r="BX26" s="755">
        <f t="shared" si="57"/>
        <v>1.2736842533329818E-2</v>
      </c>
      <c r="BY26" s="217">
        <f t="shared" si="58"/>
        <v>8146.9422853133283</v>
      </c>
      <c r="BZ26" s="217">
        <f t="shared" si="16"/>
        <v>48881.653711879968</v>
      </c>
      <c r="CA26" s="553">
        <v>22000</v>
      </c>
      <c r="CB26" s="555">
        <f t="shared" si="17"/>
        <v>132000</v>
      </c>
      <c r="CD26" s="626" t="s">
        <v>227</v>
      </c>
      <c r="CE26" s="72">
        <v>2</v>
      </c>
      <c r="CF26" s="72">
        <v>3</v>
      </c>
      <c r="CG26" s="72">
        <f t="shared" si="59"/>
        <v>6</v>
      </c>
      <c r="CH26" s="118">
        <f t="shared" si="60"/>
        <v>1.2789278457664702E-2</v>
      </c>
      <c r="CI26" s="117">
        <f t="shared" si="61"/>
        <v>8147.3641051102304</v>
      </c>
      <c r="CJ26" s="117">
        <f t="shared" si="18"/>
        <v>48884.184630661381</v>
      </c>
      <c r="CK26" s="119">
        <v>22000</v>
      </c>
      <c r="CL26" s="566">
        <f t="shared" si="19"/>
        <v>132000</v>
      </c>
      <c r="CM26" s="632"/>
      <c r="CN26" s="690" t="s">
        <v>227</v>
      </c>
      <c r="CO26" s="490">
        <v>2</v>
      </c>
      <c r="CP26" s="490">
        <v>3</v>
      </c>
      <c r="CQ26" s="490">
        <f t="shared" si="62"/>
        <v>6</v>
      </c>
      <c r="CR26" s="686">
        <f t="shared" si="63"/>
        <v>1.2815948736205056E-2</v>
      </c>
      <c r="CS26" s="214">
        <f t="shared" si="64"/>
        <v>8147.5786536591486</v>
      </c>
      <c r="CT26" s="214">
        <f t="shared" si="20"/>
        <v>48885.471921954893</v>
      </c>
      <c r="CU26" s="493">
        <v>22000</v>
      </c>
      <c r="CV26" s="497">
        <f t="shared" si="21"/>
        <v>132000</v>
      </c>
      <c r="CX26" s="725" t="s">
        <v>227</v>
      </c>
      <c r="CY26" s="726">
        <v>2</v>
      </c>
      <c r="CZ26" s="726">
        <v>3</v>
      </c>
      <c r="DA26" s="726">
        <f t="shared" si="65"/>
        <v>6</v>
      </c>
      <c r="DB26" s="720">
        <f t="shared" si="66"/>
        <v>1.2749519868761246E-2</v>
      </c>
      <c r="DC26" s="355">
        <f t="shared" si="67"/>
        <v>8147.0442678973059</v>
      </c>
      <c r="DD26" s="355">
        <f t="shared" si="22"/>
        <v>48882.265607383837</v>
      </c>
      <c r="DE26" s="727">
        <v>22000</v>
      </c>
      <c r="DF26" s="552">
        <f t="shared" si="23"/>
        <v>132000</v>
      </c>
      <c r="DH26" s="759" t="s">
        <v>227</v>
      </c>
      <c r="DI26" s="760">
        <v>2</v>
      </c>
      <c r="DJ26" s="760">
        <v>3</v>
      </c>
      <c r="DK26" s="760">
        <f t="shared" si="68"/>
        <v>6</v>
      </c>
      <c r="DL26" s="755">
        <f t="shared" si="69"/>
        <v>1.2767610427694424E-2</v>
      </c>
      <c r="DM26" s="217">
        <f t="shared" si="70"/>
        <v>8147.1897970548798</v>
      </c>
      <c r="DN26" s="217">
        <f t="shared" si="71"/>
        <v>48883.138782329275</v>
      </c>
      <c r="DO26" s="553">
        <v>22000</v>
      </c>
      <c r="DP26" s="555">
        <f t="shared" si="24"/>
        <v>132000</v>
      </c>
    </row>
    <row r="27" spans="1:120" x14ac:dyDescent="0.25">
      <c r="B27" s="845" t="s">
        <v>228</v>
      </c>
      <c r="C27" s="483">
        <v>2</v>
      </c>
      <c r="D27" s="483">
        <v>5</v>
      </c>
      <c r="E27" s="483">
        <f t="shared" si="25"/>
        <v>10</v>
      </c>
      <c r="F27" s="648">
        <f t="shared" si="26"/>
        <v>2.0680608583631129E-2</v>
      </c>
      <c r="G27" s="647">
        <f t="shared" si="27"/>
        <v>8210.8457603542356</v>
      </c>
      <c r="H27" s="647">
        <f t="shared" si="28"/>
        <v>82108.457603542352</v>
      </c>
      <c r="I27" s="486">
        <v>22000</v>
      </c>
      <c r="J27" s="505">
        <f t="shared" si="29"/>
        <v>220000</v>
      </c>
      <c r="L27" s="852" t="s">
        <v>228</v>
      </c>
      <c r="M27" s="490">
        <v>2</v>
      </c>
      <c r="N27" s="490">
        <v>5</v>
      </c>
      <c r="O27" s="490">
        <f t="shared" si="30"/>
        <v>10</v>
      </c>
      <c r="P27" s="686">
        <f t="shared" si="31"/>
        <v>2.0941448186912813E-2</v>
      </c>
      <c r="Q27" s="214">
        <f t="shared" si="32"/>
        <v>8212.944079586252</v>
      </c>
      <c r="R27" s="214">
        <f t="shared" si="33"/>
        <v>82129.440795862523</v>
      </c>
      <c r="S27" s="493">
        <v>22000</v>
      </c>
      <c r="T27" s="497">
        <f t="shared" si="12"/>
        <v>220000</v>
      </c>
      <c r="V27" s="725" t="s">
        <v>228</v>
      </c>
      <c r="W27" s="726">
        <v>2</v>
      </c>
      <c r="X27" s="726">
        <v>5</v>
      </c>
      <c r="Y27" s="726">
        <f t="shared" si="34"/>
        <v>10</v>
      </c>
      <c r="Z27" s="720">
        <f t="shared" si="35"/>
        <v>2.100840336134454E-2</v>
      </c>
      <c r="AA27" s="355">
        <f t="shared" si="36"/>
        <v>8213.4826992146591</v>
      </c>
      <c r="AB27" s="355">
        <f t="shared" si="37"/>
        <v>82134.826992146584</v>
      </c>
      <c r="AC27" s="727">
        <v>22000</v>
      </c>
      <c r="AD27" s="552">
        <f t="shared" si="38"/>
        <v>220000</v>
      </c>
      <c r="AF27" s="759" t="s">
        <v>228</v>
      </c>
      <c r="AG27" s="760">
        <v>2</v>
      </c>
      <c r="AH27" s="760">
        <v>5</v>
      </c>
      <c r="AI27" s="760">
        <f t="shared" si="39"/>
        <v>10</v>
      </c>
      <c r="AJ27" s="755">
        <f t="shared" si="40"/>
        <v>2.1201413427561839E-2</v>
      </c>
      <c r="AK27" s="217">
        <f t="shared" si="41"/>
        <v>8215.0353650246871</v>
      </c>
      <c r="AL27" s="217">
        <f t="shared" si="42"/>
        <v>82150.353650246863</v>
      </c>
      <c r="AM27" s="553">
        <v>22000</v>
      </c>
      <c r="AN27" s="555">
        <f t="shared" si="13"/>
        <v>220000</v>
      </c>
      <c r="AO27" s="632"/>
      <c r="AP27" s="794" t="s">
        <v>228</v>
      </c>
      <c r="AQ27" s="795">
        <v>2</v>
      </c>
      <c r="AR27" s="795">
        <v>5</v>
      </c>
      <c r="AS27" s="795">
        <f t="shared" si="43"/>
        <v>10</v>
      </c>
      <c r="AT27" s="790">
        <f t="shared" si="44"/>
        <v>2.1084919304951703E-2</v>
      </c>
      <c r="AU27" s="789">
        <f t="shared" si="45"/>
        <v>8214.098230269019</v>
      </c>
      <c r="AV27" s="789">
        <f t="shared" si="46"/>
        <v>82140.982302690187</v>
      </c>
      <c r="AW27" s="796">
        <v>22000</v>
      </c>
      <c r="AX27" s="797">
        <f t="shared" si="14"/>
        <v>220000</v>
      </c>
      <c r="AZ27" s="690" t="s">
        <v>228</v>
      </c>
      <c r="BA27" s="490">
        <v>2</v>
      </c>
      <c r="BB27" s="490">
        <v>5</v>
      </c>
      <c r="BC27" s="490">
        <f t="shared" si="47"/>
        <v>10</v>
      </c>
      <c r="BD27" s="686">
        <f t="shared" si="48"/>
        <v>2.1283899759697907E-2</v>
      </c>
      <c r="BE27" s="214">
        <f t="shared" si="49"/>
        <v>8215.698924756116</v>
      </c>
      <c r="BF27" s="214">
        <f t="shared" si="50"/>
        <v>82156.989247561156</v>
      </c>
      <c r="BG27" s="493">
        <v>22000</v>
      </c>
      <c r="BH27" s="497">
        <f t="shared" si="15"/>
        <v>220000</v>
      </c>
      <c r="BJ27" s="725" t="s">
        <v>228</v>
      </c>
      <c r="BK27" s="726">
        <v>2</v>
      </c>
      <c r="BL27" s="726">
        <v>5</v>
      </c>
      <c r="BM27" s="726">
        <f t="shared" si="51"/>
        <v>10</v>
      </c>
      <c r="BN27" s="720">
        <f t="shared" si="52"/>
        <v>2.1167634004779785E-2</v>
      </c>
      <c r="BO27" s="355">
        <f t="shared" si="53"/>
        <v>8214.7636271000065</v>
      </c>
      <c r="BP27" s="355">
        <f t="shared" si="54"/>
        <v>82147.636271000069</v>
      </c>
      <c r="BQ27" s="727">
        <v>22000</v>
      </c>
      <c r="BR27" s="552">
        <f t="shared" si="55"/>
        <v>220000</v>
      </c>
      <c r="BT27" s="759" t="s">
        <v>228</v>
      </c>
      <c r="BU27" s="760">
        <v>2</v>
      </c>
      <c r="BV27" s="760">
        <v>5</v>
      </c>
      <c r="BW27" s="760">
        <f t="shared" si="56"/>
        <v>10</v>
      </c>
      <c r="BX27" s="755">
        <f t="shared" si="57"/>
        <v>2.1228070888883031E-2</v>
      </c>
      <c r="BY27" s="217">
        <f t="shared" si="58"/>
        <v>8215.2498104657279</v>
      </c>
      <c r="BZ27" s="217">
        <f t="shared" si="16"/>
        <v>82152.498104657279</v>
      </c>
      <c r="CA27" s="553">
        <v>22000</v>
      </c>
      <c r="CB27" s="555">
        <f t="shared" si="17"/>
        <v>220000</v>
      </c>
      <c r="CD27" s="626" t="s">
        <v>228</v>
      </c>
      <c r="CE27" s="72">
        <v>2</v>
      </c>
      <c r="CF27" s="72">
        <v>5</v>
      </c>
      <c r="CG27" s="72">
        <f t="shared" si="59"/>
        <v>10</v>
      </c>
      <c r="CH27" s="118">
        <f t="shared" si="60"/>
        <v>2.1315464096107836E-2</v>
      </c>
      <c r="CI27" s="117">
        <f t="shared" si="61"/>
        <v>8215.9528434605672</v>
      </c>
      <c r="CJ27" s="117">
        <f t="shared" si="18"/>
        <v>82159.528434605672</v>
      </c>
      <c r="CK27" s="119">
        <v>22000</v>
      </c>
      <c r="CL27" s="566">
        <f t="shared" si="19"/>
        <v>220000</v>
      </c>
      <c r="CM27" s="632"/>
      <c r="CN27" s="690" t="s">
        <v>228</v>
      </c>
      <c r="CO27" s="490">
        <v>2</v>
      </c>
      <c r="CP27" s="490">
        <v>4</v>
      </c>
      <c r="CQ27" s="490">
        <f t="shared" si="62"/>
        <v>8</v>
      </c>
      <c r="CR27" s="686">
        <f t="shared" si="63"/>
        <v>1.7087931648273408E-2</v>
      </c>
      <c r="CS27" s="214">
        <f t="shared" si="64"/>
        <v>8181.9445390172896</v>
      </c>
      <c r="CT27" s="214">
        <f t="shared" si="20"/>
        <v>65455.556312138317</v>
      </c>
      <c r="CU27" s="493">
        <v>22000</v>
      </c>
      <c r="CV27" s="497">
        <f t="shared" si="21"/>
        <v>176000</v>
      </c>
      <c r="CX27" s="725" t="s">
        <v>228</v>
      </c>
      <c r="CY27" s="726">
        <v>2</v>
      </c>
      <c r="CZ27" s="726">
        <v>5</v>
      </c>
      <c r="DA27" s="726">
        <f t="shared" si="65"/>
        <v>10</v>
      </c>
      <c r="DB27" s="720">
        <f t="shared" si="66"/>
        <v>2.1249199781268744E-2</v>
      </c>
      <c r="DC27" s="355">
        <f t="shared" si="67"/>
        <v>8215.4197814390245</v>
      </c>
      <c r="DD27" s="355">
        <f t="shared" si="22"/>
        <v>82154.197814390238</v>
      </c>
      <c r="DE27" s="727">
        <v>22000</v>
      </c>
      <c r="DF27" s="552">
        <f t="shared" si="23"/>
        <v>220000</v>
      </c>
      <c r="DH27" s="759" t="s">
        <v>228</v>
      </c>
      <c r="DI27" s="760">
        <v>2</v>
      </c>
      <c r="DJ27" s="760">
        <v>5</v>
      </c>
      <c r="DK27" s="760">
        <f t="shared" si="68"/>
        <v>10</v>
      </c>
      <c r="DL27" s="755">
        <f t="shared" si="69"/>
        <v>2.1279350712824038E-2</v>
      </c>
      <c r="DM27" s="217">
        <f t="shared" si="70"/>
        <v>8215.662330034982</v>
      </c>
      <c r="DN27" s="217">
        <f t="shared" si="71"/>
        <v>82156.62330034982</v>
      </c>
      <c r="DO27" s="553">
        <v>22000</v>
      </c>
      <c r="DP27" s="555">
        <f t="shared" si="24"/>
        <v>220000</v>
      </c>
    </row>
    <row r="28" spans="1:120" x14ac:dyDescent="0.25">
      <c r="B28" s="845" t="s">
        <v>229</v>
      </c>
      <c r="C28" s="483">
        <v>2</v>
      </c>
      <c r="D28" s="483">
        <v>14</v>
      </c>
      <c r="E28" s="483">
        <f t="shared" si="25"/>
        <v>28</v>
      </c>
      <c r="F28" s="648">
        <f t="shared" si="26"/>
        <v>5.7905704034167164E-2</v>
      </c>
      <c r="G28" s="647">
        <f t="shared" si="27"/>
        <v>8510.3023333393503</v>
      </c>
      <c r="H28" s="647">
        <f t="shared" si="28"/>
        <v>238288.46533350181</v>
      </c>
      <c r="I28" s="486">
        <v>18000</v>
      </c>
      <c r="J28" s="505">
        <f t="shared" si="29"/>
        <v>504000</v>
      </c>
      <c r="L28" s="852" t="s">
        <v>229</v>
      </c>
      <c r="M28" s="490">
        <v>2</v>
      </c>
      <c r="N28" s="490">
        <v>14</v>
      </c>
      <c r="O28" s="490">
        <f t="shared" si="30"/>
        <v>28</v>
      </c>
      <c r="P28" s="686">
        <f t="shared" si="31"/>
        <v>5.8636054923355878E-2</v>
      </c>
      <c r="Q28" s="214">
        <f t="shared" si="32"/>
        <v>8516.1776271889976</v>
      </c>
      <c r="R28" s="214">
        <f t="shared" si="33"/>
        <v>238452.97356129193</v>
      </c>
      <c r="S28" s="493">
        <v>18000</v>
      </c>
      <c r="T28" s="497">
        <f t="shared" si="12"/>
        <v>504000</v>
      </c>
      <c r="V28" s="725" t="s">
        <v>229</v>
      </c>
      <c r="W28" s="726">
        <v>2</v>
      </c>
      <c r="X28" s="726">
        <v>13.5</v>
      </c>
      <c r="Y28" s="726">
        <f t="shared" si="34"/>
        <v>27</v>
      </c>
      <c r="Z28" s="720">
        <f t="shared" si="35"/>
        <v>5.6722689075630252E-2</v>
      </c>
      <c r="AA28" s="355">
        <f t="shared" si="36"/>
        <v>8500.785591985541</v>
      </c>
      <c r="AB28" s="355">
        <f t="shared" si="37"/>
        <v>229521.21098360961</v>
      </c>
      <c r="AC28" s="727">
        <v>18000</v>
      </c>
      <c r="AD28" s="552">
        <f t="shared" si="38"/>
        <v>486000</v>
      </c>
      <c r="AF28" s="759" t="s">
        <v>229</v>
      </c>
      <c r="AG28" s="760">
        <v>2</v>
      </c>
      <c r="AH28" s="760">
        <v>13</v>
      </c>
      <c r="AI28" s="760">
        <f t="shared" si="39"/>
        <v>26</v>
      </c>
      <c r="AJ28" s="755">
        <f t="shared" si="40"/>
        <v>5.5123674911660779E-2</v>
      </c>
      <c r="AK28" s="217">
        <f t="shared" si="41"/>
        <v>8487.922352928621</v>
      </c>
      <c r="AL28" s="217">
        <f t="shared" si="42"/>
        <v>220685.98117614415</v>
      </c>
      <c r="AM28" s="553">
        <v>18000</v>
      </c>
      <c r="AN28" s="555">
        <f t="shared" si="13"/>
        <v>468000</v>
      </c>
      <c r="AO28" s="632"/>
      <c r="AP28" s="794" t="s">
        <v>229</v>
      </c>
      <c r="AQ28" s="795">
        <v>2</v>
      </c>
      <c r="AR28" s="795">
        <v>14</v>
      </c>
      <c r="AS28" s="795">
        <f t="shared" si="43"/>
        <v>28</v>
      </c>
      <c r="AT28" s="790">
        <f t="shared" si="44"/>
        <v>5.9037774053864775E-2</v>
      </c>
      <c r="AU28" s="789">
        <f t="shared" si="45"/>
        <v>8519.4092491007432</v>
      </c>
      <c r="AV28" s="789">
        <f t="shared" si="46"/>
        <v>238543.45897482079</v>
      </c>
      <c r="AW28" s="796">
        <v>18000</v>
      </c>
      <c r="AX28" s="797">
        <f t="shared" si="14"/>
        <v>504000</v>
      </c>
      <c r="AZ28" s="690" t="s">
        <v>229</v>
      </c>
      <c r="BA28" s="490">
        <v>2</v>
      </c>
      <c r="BB28" s="490">
        <v>13</v>
      </c>
      <c r="BC28" s="490">
        <f t="shared" si="47"/>
        <v>26</v>
      </c>
      <c r="BD28" s="686">
        <f t="shared" si="48"/>
        <v>5.5338139375214555E-2</v>
      </c>
      <c r="BE28" s="214">
        <f t="shared" si="49"/>
        <v>8489.6476082303361</v>
      </c>
      <c r="BF28" s="214">
        <f t="shared" si="50"/>
        <v>220730.83781398874</v>
      </c>
      <c r="BG28" s="493">
        <v>18000</v>
      </c>
      <c r="BH28" s="497">
        <f t="shared" si="15"/>
        <v>468000</v>
      </c>
      <c r="BJ28" s="725" t="s">
        <v>229</v>
      </c>
      <c r="BK28" s="726">
        <v>2</v>
      </c>
      <c r="BL28" s="726">
        <v>14</v>
      </c>
      <c r="BM28" s="726">
        <f t="shared" si="51"/>
        <v>28</v>
      </c>
      <c r="BN28" s="720">
        <f t="shared" si="52"/>
        <v>5.9269375213383407E-2</v>
      </c>
      <c r="BO28" s="355">
        <f t="shared" si="53"/>
        <v>8521.2723602275091</v>
      </c>
      <c r="BP28" s="355">
        <f t="shared" si="54"/>
        <v>238595.62608637026</v>
      </c>
      <c r="BQ28" s="727">
        <v>18000</v>
      </c>
      <c r="BR28" s="552">
        <f t="shared" si="55"/>
        <v>504000</v>
      </c>
      <c r="BT28" s="759" t="s">
        <v>229</v>
      </c>
      <c r="BU28" s="760">
        <v>2</v>
      </c>
      <c r="BV28" s="760">
        <v>13</v>
      </c>
      <c r="BW28" s="760">
        <f t="shared" si="56"/>
        <v>26</v>
      </c>
      <c r="BX28" s="755">
        <f t="shared" si="57"/>
        <v>5.5192984311095879E-2</v>
      </c>
      <c r="BY28" s="217">
        <f t="shared" si="58"/>
        <v>8488.4799110753302</v>
      </c>
      <c r="BZ28" s="217">
        <f t="shared" si="16"/>
        <v>220700.47768795857</v>
      </c>
      <c r="CA28" s="553">
        <v>18000</v>
      </c>
      <c r="CB28" s="555">
        <f t="shared" si="17"/>
        <v>468000</v>
      </c>
      <c r="CD28" s="626" t="s">
        <v>229</v>
      </c>
      <c r="CE28" s="72">
        <v>2</v>
      </c>
      <c r="CF28" s="72">
        <v>14</v>
      </c>
      <c r="CG28" s="72">
        <f t="shared" si="59"/>
        <v>28</v>
      </c>
      <c r="CH28" s="118">
        <f t="shared" si="60"/>
        <v>5.9683299469101954E-2</v>
      </c>
      <c r="CI28" s="117">
        <f t="shared" si="61"/>
        <v>8524.602166037077</v>
      </c>
      <c r="CJ28" s="117">
        <f t="shared" si="18"/>
        <v>238688.86064903816</v>
      </c>
      <c r="CK28" s="119">
        <v>18000</v>
      </c>
      <c r="CL28" s="566">
        <f t="shared" si="19"/>
        <v>504000</v>
      </c>
      <c r="CM28" s="632"/>
      <c r="CN28" s="690" t="s">
        <v>229</v>
      </c>
      <c r="CO28" s="490">
        <v>2</v>
      </c>
      <c r="CP28" s="490">
        <v>13</v>
      </c>
      <c r="CQ28" s="490">
        <f t="shared" si="62"/>
        <v>26</v>
      </c>
      <c r="CR28" s="686">
        <f t="shared" si="63"/>
        <v>5.5535777856888568E-2</v>
      </c>
      <c r="CS28" s="214">
        <f t="shared" si="64"/>
        <v>8491.2375072405539</v>
      </c>
      <c r="CT28" s="214">
        <f t="shared" si="20"/>
        <v>220772.17518825439</v>
      </c>
      <c r="CU28" s="493">
        <v>18000</v>
      </c>
      <c r="CV28" s="497">
        <f t="shared" si="21"/>
        <v>468000</v>
      </c>
      <c r="CX28" s="725" t="s">
        <v>229</v>
      </c>
      <c r="CY28" s="726">
        <v>2</v>
      </c>
      <c r="CZ28" s="726">
        <v>14</v>
      </c>
      <c r="DA28" s="726">
        <f t="shared" si="65"/>
        <v>28</v>
      </c>
      <c r="DB28" s="720">
        <f t="shared" si="66"/>
        <v>5.9497759387552487E-2</v>
      </c>
      <c r="DC28" s="355">
        <f t="shared" si="67"/>
        <v>8523.1095923767625</v>
      </c>
      <c r="DD28" s="355">
        <f t="shared" si="22"/>
        <v>238647.06858654934</v>
      </c>
      <c r="DE28" s="727">
        <v>18000</v>
      </c>
      <c r="DF28" s="552">
        <f t="shared" si="23"/>
        <v>504000</v>
      </c>
      <c r="DH28" s="759" t="s">
        <v>229</v>
      </c>
      <c r="DI28" s="760">
        <v>2</v>
      </c>
      <c r="DJ28" s="760">
        <v>14</v>
      </c>
      <c r="DK28" s="760">
        <f t="shared" si="68"/>
        <v>28</v>
      </c>
      <c r="DL28" s="755">
        <f t="shared" si="69"/>
        <v>5.9582181995907313E-2</v>
      </c>
      <c r="DM28" s="217">
        <f t="shared" si="70"/>
        <v>8523.7887284454391</v>
      </c>
      <c r="DN28" s="217">
        <f t="shared" si="71"/>
        <v>238666.08439647229</v>
      </c>
      <c r="DO28" s="553">
        <v>18000</v>
      </c>
      <c r="DP28" s="555">
        <f t="shared" si="24"/>
        <v>504000</v>
      </c>
    </row>
    <row r="29" spans="1:120" x14ac:dyDescent="0.25">
      <c r="B29" s="845" t="s">
        <v>85</v>
      </c>
      <c r="C29" s="483">
        <v>2</v>
      </c>
      <c r="D29" s="483">
        <v>2</v>
      </c>
      <c r="E29" s="483">
        <f t="shared" si="25"/>
        <v>4</v>
      </c>
      <c r="F29" s="648">
        <f t="shared" si="26"/>
        <v>8.2722434334524513E-3</v>
      </c>
      <c r="G29" s="647">
        <f t="shared" si="27"/>
        <v>8111.0269026925307</v>
      </c>
      <c r="H29" s="647">
        <f t="shared" si="28"/>
        <v>32444.107610770123</v>
      </c>
      <c r="I29" s="486">
        <v>22000</v>
      </c>
      <c r="J29" s="505">
        <f t="shared" si="29"/>
        <v>88000</v>
      </c>
      <c r="L29" s="852" t="s">
        <v>85</v>
      </c>
      <c r="M29" s="490">
        <v>2</v>
      </c>
      <c r="N29" s="490">
        <v>2</v>
      </c>
      <c r="O29" s="490">
        <f t="shared" si="30"/>
        <v>4</v>
      </c>
      <c r="P29" s="686">
        <f t="shared" si="31"/>
        <v>8.3765792747651242E-3</v>
      </c>
      <c r="Q29" s="214">
        <f t="shared" si="32"/>
        <v>8111.866230385338</v>
      </c>
      <c r="R29" s="214">
        <f t="shared" si="33"/>
        <v>32447.464921541352</v>
      </c>
      <c r="S29" s="493">
        <v>22000</v>
      </c>
      <c r="T29" s="497">
        <f t="shared" si="12"/>
        <v>88000</v>
      </c>
      <c r="V29" s="725" t="s">
        <v>85</v>
      </c>
      <c r="W29" s="726">
        <v>2</v>
      </c>
      <c r="X29" s="726">
        <v>2</v>
      </c>
      <c r="Y29" s="726">
        <f t="shared" si="34"/>
        <v>4</v>
      </c>
      <c r="Z29" s="720">
        <f t="shared" si="35"/>
        <v>8.4033613445378165E-3</v>
      </c>
      <c r="AA29" s="355">
        <f t="shared" si="36"/>
        <v>8112.0816782367001</v>
      </c>
      <c r="AB29" s="355">
        <f t="shared" si="37"/>
        <v>32448.3267129468</v>
      </c>
      <c r="AC29" s="727">
        <v>22000</v>
      </c>
      <c r="AD29" s="552">
        <f t="shared" si="38"/>
        <v>88000</v>
      </c>
      <c r="AF29" s="759" t="s">
        <v>85</v>
      </c>
      <c r="AG29" s="760">
        <v>2</v>
      </c>
      <c r="AH29" s="760">
        <v>2</v>
      </c>
      <c r="AI29" s="760">
        <f t="shared" si="39"/>
        <v>4</v>
      </c>
      <c r="AJ29" s="755">
        <f t="shared" si="40"/>
        <v>8.4805653710247359E-3</v>
      </c>
      <c r="AK29" s="217">
        <f t="shared" si="41"/>
        <v>8112.7027445607109</v>
      </c>
      <c r="AL29" s="217">
        <f t="shared" si="42"/>
        <v>32450.810978242844</v>
      </c>
      <c r="AM29" s="553">
        <v>22000</v>
      </c>
      <c r="AN29" s="555">
        <f t="shared" si="13"/>
        <v>88000</v>
      </c>
      <c r="AO29" s="632"/>
      <c r="AP29" s="794" t="s">
        <v>85</v>
      </c>
      <c r="AQ29" s="795">
        <v>2</v>
      </c>
      <c r="AR29" s="795">
        <v>2</v>
      </c>
      <c r="AS29" s="795">
        <f t="shared" si="43"/>
        <v>4</v>
      </c>
      <c r="AT29" s="790">
        <f t="shared" si="44"/>
        <v>8.4339677219806806E-3</v>
      </c>
      <c r="AU29" s="789">
        <f t="shared" si="45"/>
        <v>8112.3278906584437</v>
      </c>
      <c r="AV29" s="789">
        <f t="shared" si="46"/>
        <v>32449.311562633775</v>
      </c>
      <c r="AW29" s="796">
        <v>22000</v>
      </c>
      <c r="AX29" s="797">
        <f t="shared" si="14"/>
        <v>88000</v>
      </c>
      <c r="AZ29" s="690" t="s">
        <v>85</v>
      </c>
      <c r="BA29" s="490">
        <v>2</v>
      </c>
      <c r="BB29" s="490">
        <v>2.5</v>
      </c>
      <c r="BC29" s="490">
        <f t="shared" si="47"/>
        <v>5</v>
      </c>
      <c r="BD29" s="686">
        <f t="shared" si="48"/>
        <v>1.0641949879848954E-2</v>
      </c>
      <c r="BE29" s="214">
        <f t="shared" si="49"/>
        <v>8130.0899611704217</v>
      </c>
      <c r="BF29" s="214">
        <f t="shared" si="50"/>
        <v>40650.449805852106</v>
      </c>
      <c r="BG29" s="493">
        <v>22000</v>
      </c>
      <c r="BH29" s="497">
        <f t="shared" si="15"/>
        <v>110000</v>
      </c>
      <c r="BJ29" s="725" t="s">
        <v>85</v>
      </c>
      <c r="BK29" s="726">
        <v>2</v>
      </c>
      <c r="BL29" s="726">
        <v>2</v>
      </c>
      <c r="BM29" s="726">
        <f t="shared" si="51"/>
        <v>4</v>
      </c>
      <c r="BN29" s="720">
        <f t="shared" si="52"/>
        <v>8.4670536019119148E-3</v>
      </c>
      <c r="BO29" s="355">
        <f t="shared" si="53"/>
        <v>8112.5940493908392</v>
      </c>
      <c r="BP29" s="355">
        <f t="shared" si="54"/>
        <v>32450.376197563357</v>
      </c>
      <c r="BQ29" s="727">
        <v>22000</v>
      </c>
      <c r="BR29" s="552">
        <f t="shared" si="55"/>
        <v>88000</v>
      </c>
      <c r="BT29" s="759" t="s">
        <v>85</v>
      </c>
      <c r="BU29" s="760">
        <v>2</v>
      </c>
      <c r="BV29" s="760">
        <v>2</v>
      </c>
      <c r="BW29" s="760">
        <f t="shared" si="56"/>
        <v>4</v>
      </c>
      <c r="BX29" s="755">
        <f t="shared" si="57"/>
        <v>8.4912283555532118E-3</v>
      </c>
      <c r="BY29" s="217">
        <f t="shared" si="58"/>
        <v>8112.788522737128</v>
      </c>
      <c r="BZ29" s="217">
        <f t="shared" si="16"/>
        <v>32451.154090948512</v>
      </c>
      <c r="CA29" s="553">
        <v>22000</v>
      </c>
      <c r="CB29" s="555">
        <f t="shared" si="17"/>
        <v>88000</v>
      </c>
      <c r="CD29" s="626" t="s">
        <v>85</v>
      </c>
      <c r="CE29" s="72">
        <v>2</v>
      </c>
      <c r="CF29" s="72">
        <v>2</v>
      </c>
      <c r="CG29" s="72">
        <f t="shared" si="59"/>
        <v>4</v>
      </c>
      <c r="CH29" s="118">
        <f t="shared" si="60"/>
        <v>8.5261856384431355E-3</v>
      </c>
      <c r="CI29" s="117">
        <f t="shared" si="61"/>
        <v>8113.0697359350634</v>
      </c>
      <c r="CJ29" s="117">
        <f t="shared" si="18"/>
        <v>32452.278943740253</v>
      </c>
      <c r="CK29" s="119">
        <v>22000</v>
      </c>
      <c r="CL29" s="566">
        <f t="shared" si="19"/>
        <v>88000</v>
      </c>
      <c r="CM29" s="632"/>
      <c r="CN29" s="690" t="s">
        <v>85</v>
      </c>
      <c r="CO29" s="490">
        <v>2</v>
      </c>
      <c r="CP29" s="490">
        <v>2</v>
      </c>
      <c r="CQ29" s="490">
        <f t="shared" si="62"/>
        <v>4</v>
      </c>
      <c r="CR29" s="686">
        <f t="shared" si="63"/>
        <v>8.5439658241367039E-3</v>
      </c>
      <c r="CS29" s="214">
        <f t="shared" si="64"/>
        <v>8113.2127683010085</v>
      </c>
      <c r="CT29" s="214">
        <f t="shared" si="20"/>
        <v>32452.851073204034</v>
      </c>
      <c r="CU29" s="493">
        <v>22000</v>
      </c>
      <c r="CV29" s="497">
        <f t="shared" si="21"/>
        <v>88000</v>
      </c>
      <c r="CX29" s="725" t="s">
        <v>85</v>
      </c>
      <c r="CY29" s="726">
        <v>2</v>
      </c>
      <c r="CZ29" s="726">
        <v>2</v>
      </c>
      <c r="DA29" s="726">
        <f t="shared" si="65"/>
        <v>4</v>
      </c>
      <c r="DB29" s="720">
        <f t="shared" si="66"/>
        <v>8.499679912507498E-3</v>
      </c>
      <c r="DC29" s="355">
        <f t="shared" si="67"/>
        <v>8112.856511126447</v>
      </c>
      <c r="DD29" s="355">
        <f t="shared" si="22"/>
        <v>32451.426044505788</v>
      </c>
      <c r="DE29" s="727">
        <v>22000</v>
      </c>
      <c r="DF29" s="552">
        <f t="shared" si="23"/>
        <v>88000</v>
      </c>
      <c r="DH29" s="759" t="s">
        <v>85</v>
      </c>
      <c r="DI29" s="760">
        <v>2</v>
      </c>
      <c r="DJ29" s="760">
        <v>2</v>
      </c>
      <c r="DK29" s="760">
        <f t="shared" si="68"/>
        <v>4</v>
      </c>
      <c r="DL29" s="755">
        <f t="shared" si="69"/>
        <v>8.5117402851296164E-3</v>
      </c>
      <c r="DM29" s="217">
        <f t="shared" si="70"/>
        <v>8112.9535305648287</v>
      </c>
      <c r="DN29" s="217">
        <f t="shared" si="71"/>
        <v>32451.814122259315</v>
      </c>
      <c r="DO29" s="553">
        <v>22000</v>
      </c>
      <c r="DP29" s="555">
        <f t="shared" si="24"/>
        <v>88000</v>
      </c>
    </row>
    <row r="30" spans="1:120" x14ac:dyDescent="0.25">
      <c r="B30" s="845" t="s">
        <v>230</v>
      </c>
      <c r="C30" s="483">
        <v>2</v>
      </c>
      <c r="D30" s="483">
        <v>4</v>
      </c>
      <c r="E30" s="483">
        <f t="shared" si="25"/>
        <v>8</v>
      </c>
      <c r="F30" s="648">
        <f t="shared" si="26"/>
        <v>1.6544486866904903E-2</v>
      </c>
      <c r="G30" s="647">
        <f t="shared" si="27"/>
        <v>8177.572807800334</v>
      </c>
      <c r="H30" s="647">
        <f t="shared" si="28"/>
        <v>65420.582462402672</v>
      </c>
      <c r="I30" s="486">
        <v>22000</v>
      </c>
      <c r="J30" s="505">
        <f t="shared" si="29"/>
        <v>176000</v>
      </c>
      <c r="L30" s="852" t="s">
        <v>230</v>
      </c>
      <c r="M30" s="490">
        <v>2</v>
      </c>
      <c r="N30" s="490">
        <v>4</v>
      </c>
      <c r="O30" s="490">
        <f t="shared" si="30"/>
        <v>8</v>
      </c>
      <c r="P30" s="686">
        <f t="shared" si="31"/>
        <v>1.6753158549530248E-2</v>
      </c>
      <c r="Q30" s="214">
        <f t="shared" si="32"/>
        <v>8179.2514631859476</v>
      </c>
      <c r="R30" s="214">
        <f t="shared" si="33"/>
        <v>65434.011705487581</v>
      </c>
      <c r="S30" s="493">
        <v>22000</v>
      </c>
      <c r="T30" s="497">
        <f t="shared" si="12"/>
        <v>176000</v>
      </c>
      <c r="V30" s="725" t="s">
        <v>230</v>
      </c>
      <c r="W30" s="726">
        <v>2</v>
      </c>
      <c r="X30" s="726">
        <v>4</v>
      </c>
      <c r="Y30" s="726">
        <f t="shared" si="34"/>
        <v>8</v>
      </c>
      <c r="Z30" s="720">
        <f t="shared" si="35"/>
        <v>1.6806722689075633E-2</v>
      </c>
      <c r="AA30" s="355">
        <f t="shared" si="36"/>
        <v>8179.6823588886728</v>
      </c>
      <c r="AB30" s="355">
        <f t="shared" si="37"/>
        <v>65437.458871109382</v>
      </c>
      <c r="AC30" s="727">
        <v>22000</v>
      </c>
      <c r="AD30" s="552">
        <f t="shared" si="38"/>
        <v>176000</v>
      </c>
      <c r="AF30" s="759" t="s">
        <v>230</v>
      </c>
      <c r="AG30" s="760">
        <v>2</v>
      </c>
      <c r="AH30" s="760">
        <v>3</v>
      </c>
      <c r="AI30" s="760">
        <f t="shared" si="39"/>
        <v>6</v>
      </c>
      <c r="AJ30" s="755">
        <f t="shared" si="40"/>
        <v>1.2720848056537103E-2</v>
      </c>
      <c r="AK30" s="217">
        <f t="shared" si="41"/>
        <v>8146.8136180487027</v>
      </c>
      <c r="AL30" s="217">
        <f t="shared" si="42"/>
        <v>48880.881708292218</v>
      </c>
      <c r="AM30" s="553">
        <v>22000</v>
      </c>
      <c r="AN30" s="555">
        <f t="shared" si="13"/>
        <v>132000</v>
      </c>
      <c r="AO30" s="632"/>
      <c r="AP30" s="794" t="s">
        <v>230</v>
      </c>
      <c r="AQ30" s="795">
        <v>2</v>
      </c>
      <c r="AR30" s="795">
        <v>4</v>
      </c>
      <c r="AS30" s="795">
        <f t="shared" si="43"/>
        <v>8</v>
      </c>
      <c r="AT30" s="790">
        <f t="shared" si="44"/>
        <v>1.6867935443961361E-2</v>
      </c>
      <c r="AU30" s="789">
        <f t="shared" si="45"/>
        <v>8180.1747837321609</v>
      </c>
      <c r="AV30" s="789">
        <f t="shared" si="46"/>
        <v>65441.398269857287</v>
      </c>
      <c r="AW30" s="796">
        <v>22000</v>
      </c>
      <c r="AX30" s="797">
        <f t="shared" si="14"/>
        <v>176000</v>
      </c>
      <c r="AZ30" s="690" t="s">
        <v>230</v>
      </c>
      <c r="BA30" s="490">
        <v>2</v>
      </c>
      <c r="BB30" s="490">
        <v>4</v>
      </c>
      <c r="BC30" s="490">
        <f t="shared" si="47"/>
        <v>8</v>
      </c>
      <c r="BD30" s="686">
        <f t="shared" si="48"/>
        <v>1.7027119807758326E-2</v>
      </c>
      <c r="BE30" s="214">
        <f t="shared" si="49"/>
        <v>8181.4553393218375</v>
      </c>
      <c r="BF30" s="214">
        <f t="shared" si="50"/>
        <v>65451.6427145747</v>
      </c>
      <c r="BG30" s="493">
        <v>22000</v>
      </c>
      <c r="BH30" s="497">
        <f t="shared" si="15"/>
        <v>176000</v>
      </c>
      <c r="BJ30" s="725" t="s">
        <v>230</v>
      </c>
      <c r="BK30" s="726">
        <v>2</v>
      </c>
      <c r="BL30" s="726">
        <v>4</v>
      </c>
      <c r="BM30" s="726">
        <f t="shared" si="51"/>
        <v>8</v>
      </c>
      <c r="BN30" s="720">
        <f t="shared" si="52"/>
        <v>1.693410720382383E-2</v>
      </c>
      <c r="BO30" s="355">
        <f t="shared" si="53"/>
        <v>8180.707101196951</v>
      </c>
      <c r="BP30" s="355">
        <f t="shared" si="54"/>
        <v>65445.656809575608</v>
      </c>
      <c r="BQ30" s="727">
        <v>22000</v>
      </c>
      <c r="BR30" s="552">
        <f t="shared" si="55"/>
        <v>176000</v>
      </c>
      <c r="BT30" s="759" t="s">
        <v>230</v>
      </c>
      <c r="BU30" s="760">
        <v>2</v>
      </c>
      <c r="BV30" s="760">
        <v>4</v>
      </c>
      <c r="BW30" s="760">
        <f t="shared" si="56"/>
        <v>8</v>
      </c>
      <c r="BX30" s="755">
        <f t="shared" si="57"/>
        <v>1.6982456711106424E-2</v>
      </c>
      <c r="BY30" s="217">
        <f t="shared" si="58"/>
        <v>8181.0960478895286</v>
      </c>
      <c r="BZ30" s="217">
        <f t="shared" si="16"/>
        <v>65448.768383116229</v>
      </c>
      <c r="CA30" s="553">
        <v>22000</v>
      </c>
      <c r="CB30" s="555">
        <f t="shared" si="17"/>
        <v>176000</v>
      </c>
      <c r="CD30" s="626" t="s">
        <v>230</v>
      </c>
      <c r="CE30" s="72">
        <v>2</v>
      </c>
      <c r="CF30" s="72">
        <v>4</v>
      </c>
      <c r="CG30" s="72">
        <f t="shared" si="59"/>
        <v>8</v>
      </c>
      <c r="CH30" s="118">
        <f t="shared" si="60"/>
        <v>1.7052371276886271E-2</v>
      </c>
      <c r="CI30" s="117">
        <f t="shared" si="61"/>
        <v>8181.6584742853984</v>
      </c>
      <c r="CJ30" s="117">
        <f t="shared" si="18"/>
        <v>65453.267794283187</v>
      </c>
      <c r="CK30" s="119">
        <v>22000</v>
      </c>
      <c r="CL30" s="566">
        <f t="shared" si="19"/>
        <v>176000</v>
      </c>
      <c r="CM30" s="632"/>
      <c r="CN30" s="690" t="s">
        <v>230</v>
      </c>
      <c r="CO30" s="490">
        <v>2</v>
      </c>
      <c r="CP30" s="490">
        <v>2</v>
      </c>
      <c r="CQ30" s="490">
        <f t="shared" si="62"/>
        <v>4</v>
      </c>
      <c r="CR30" s="686">
        <f t="shared" si="63"/>
        <v>8.5439658241367039E-3</v>
      </c>
      <c r="CS30" s="214">
        <f t="shared" si="64"/>
        <v>8113.2127683010085</v>
      </c>
      <c r="CT30" s="214">
        <f t="shared" si="20"/>
        <v>32452.851073204034</v>
      </c>
      <c r="CU30" s="493">
        <v>22000</v>
      </c>
      <c r="CV30" s="497">
        <f t="shared" si="21"/>
        <v>88000</v>
      </c>
      <c r="CX30" s="725" t="s">
        <v>230</v>
      </c>
      <c r="CY30" s="726">
        <v>2</v>
      </c>
      <c r="CZ30" s="726">
        <v>4</v>
      </c>
      <c r="DA30" s="726">
        <f t="shared" si="65"/>
        <v>8</v>
      </c>
      <c r="DB30" s="720">
        <f t="shared" si="66"/>
        <v>1.6999359825014996E-2</v>
      </c>
      <c r="DC30" s="355">
        <f t="shared" si="67"/>
        <v>8181.2320246681656</v>
      </c>
      <c r="DD30" s="355">
        <f t="shared" si="22"/>
        <v>65449.856197345325</v>
      </c>
      <c r="DE30" s="727">
        <v>22000</v>
      </c>
      <c r="DF30" s="552">
        <f t="shared" si="23"/>
        <v>176000</v>
      </c>
      <c r="DH30" s="759" t="s">
        <v>230</v>
      </c>
      <c r="DI30" s="760">
        <v>2</v>
      </c>
      <c r="DJ30" s="760">
        <v>3.5</v>
      </c>
      <c r="DK30" s="760">
        <f t="shared" si="68"/>
        <v>7</v>
      </c>
      <c r="DL30" s="755">
        <f t="shared" si="69"/>
        <v>1.4895545498976828E-2</v>
      </c>
      <c r="DM30" s="217">
        <f t="shared" si="70"/>
        <v>8164.3079302999049</v>
      </c>
      <c r="DN30" s="217">
        <f t="shared" si="71"/>
        <v>57150.155512099336</v>
      </c>
      <c r="DO30" s="553">
        <v>22000</v>
      </c>
      <c r="DP30" s="555">
        <f t="shared" si="24"/>
        <v>154000</v>
      </c>
    </row>
    <row r="31" spans="1:120" x14ac:dyDescent="0.25">
      <c r="B31" s="845" t="s">
        <v>231</v>
      </c>
      <c r="C31" s="483">
        <v>2</v>
      </c>
      <c r="D31" s="483">
        <v>2</v>
      </c>
      <c r="E31" s="483">
        <f t="shared" si="25"/>
        <v>4</v>
      </c>
      <c r="F31" s="648">
        <f t="shared" si="26"/>
        <v>8.2722434334524513E-3</v>
      </c>
      <c r="G31" s="647">
        <f t="shared" si="27"/>
        <v>8111.0269026925307</v>
      </c>
      <c r="H31" s="647">
        <f t="shared" si="28"/>
        <v>32444.107610770123</v>
      </c>
      <c r="I31" s="486">
        <v>38000</v>
      </c>
      <c r="J31" s="505">
        <f t="shared" si="29"/>
        <v>152000</v>
      </c>
      <c r="L31" s="852" t="s">
        <v>231</v>
      </c>
      <c r="M31" s="490">
        <v>2</v>
      </c>
      <c r="N31" s="490">
        <v>2</v>
      </c>
      <c r="O31" s="490">
        <f t="shared" si="30"/>
        <v>4</v>
      </c>
      <c r="P31" s="686">
        <f t="shared" si="31"/>
        <v>8.3765792747651242E-3</v>
      </c>
      <c r="Q31" s="214">
        <f t="shared" si="32"/>
        <v>8111.866230385338</v>
      </c>
      <c r="R31" s="214">
        <f t="shared" si="33"/>
        <v>32447.464921541352</v>
      </c>
      <c r="S31" s="493">
        <v>38000</v>
      </c>
      <c r="T31" s="497">
        <f t="shared" si="12"/>
        <v>152000</v>
      </c>
      <c r="V31" s="725" t="s">
        <v>231</v>
      </c>
      <c r="W31" s="726">
        <v>2</v>
      </c>
      <c r="X31" s="726">
        <v>2</v>
      </c>
      <c r="Y31" s="726">
        <f t="shared" si="34"/>
        <v>4</v>
      </c>
      <c r="Z31" s="720">
        <f t="shared" si="35"/>
        <v>8.4033613445378165E-3</v>
      </c>
      <c r="AA31" s="355">
        <f t="shared" si="36"/>
        <v>8112.0816782367001</v>
      </c>
      <c r="AB31" s="355">
        <f t="shared" si="37"/>
        <v>32448.3267129468</v>
      </c>
      <c r="AC31" s="727">
        <v>38000</v>
      </c>
      <c r="AD31" s="552">
        <f t="shared" si="38"/>
        <v>152000</v>
      </c>
      <c r="AF31" s="759" t="s">
        <v>231</v>
      </c>
      <c r="AG31" s="760">
        <v>2</v>
      </c>
      <c r="AH31" s="760">
        <v>2</v>
      </c>
      <c r="AI31" s="760">
        <f t="shared" si="39"/>
        <v>4</v>
      </c>
      <c r="AJ31" s="755">
        <f t="shared" si="40"/>
        <v>8.4805653710247359E-3</v>
      </c>
      <c r="AK31" s="217">
        <f t="shared" si="41"/>
        <v>8112.7027445607109</v>
      </c>
      <c r="AL31" s="217">
        <f t="shared" si="42"/>
        <v>32450.810978242844</v>
      </c>
      <c r="AM31" s="553">
        <v>38000</v>
      </c>
      <c r="AN31" s="555">
        <f t="shared" si="13"/>
        <v>152000</v>
      </c>
      <c r="AO31" s="632"/>
      <c r="AP31" s="794" t="s">
        <v>231</v>
      </c>
      <c r="AQ31" s="795">
        <v>2</v>
      </c>
      <c r="AR31" s="795">
        <v>2</v>
      </c>
      <c r="AS31" s="795">
        <f t="shared" si="43"/>
        <v>4</v>
      </c>
      <c r="AT31" s="790">
        <f t="shared" si="44"/>
        <v>8.4339677219806806E-3</v>
      </c>
      <c r="AU31" s="789">
        <f t="shared" si="45"/>
        <v>8112.3278906584437</v>
      </c>
      <c r="AV31" s="789">
        <f t="shared" si="46"/>
        <v>32449.311562633775</v>
      </c>
      <c r="AW31" s="796">
        <v>38000</v>
      </c>
      <c r="AX31" s="797">
        <f t="shared" si="14"/>
        <v>152000</v>
      </c>
      <c r="AZ31" s="690" t="s">
        <v>231</v>
      </c>
      <c r="BA31" s="490">
        <v>2</v>
      </c>
      <c r="BB31" s="490">
        <v>2</v>
      </c>
      <c r="BC31" s="490">
        <f t="shared" si="47"/>
        <v>4</v>
      </c>
      <c r="BD31" s="686">
        <f t="shared" si="48"/>
        <v>8.5135599038791629E-3</v>
      </c>
      <c r="BE31" s="214">
        <f t="shared" si="49"/>
        <v>8112.9681684532825</v>
      </c>
      <c r="BF31" s="214">
        <f t="shared" si="50"/>
        <v>32451.87267381313</v>
      </c>
      <c r="BG31" s="493">
        <v>38000</v>
      </c>
      <c r="BH31" s="497">
        <f t="shared" si="15"/>
        <v>152000</v>
      </c>
      <c r="BJ31" s="725" t="s">
        <v>231</v>
      </c>
      <c r="BK31" s="726">
        <v>2</v>
      </c>
      <c r="BL31" s="726">
        <v>2</v>
      </c>
      <c r="BM31" s="726">
        <f t="shared" si="51"/>
        <v>4</v>
      </c>
      <c r="BN31" s="720">
        <f t="shared" si="52"/>
        <v>8.4670536019119148E-3</v>
      </c>
      <c r="BO31" s="355">
        <f t="shared" si="53"/>
        <v>8112.5940493908392</v>
      </c>
      <c r="BP31" s="355">
        <f t="shared" si="54"/>
        <v>32450.376197563357</v>
      </c>
      <c r="BQ31" s="727">
        <v>38000</v>
      </c>
      <c r="BR31" s="552">
        <f t="shared" si="55"/>
        <v>152000</v>
      </c>
      <c r="BT31" s="759" t="s">
        <v>231</v>
      </c>
      <c r="BU31" s="760">
        <v>2</v>
      </c>
      <c r="BV31" s="760">
        <v>2</v>
      </c>
      <c r="BW31" s="760">
        <f t="shared" si="56"/>
        <v>4</v>
      </c>
      <c r="BX31" s="755">
        <f t="shared" si="57"/>
        <v>8.4912283555532118E-3</v>
      </c>
      <c r="BY31" s="217">
        <f t="shared" si="58"/>
        <v>8112.788522737128</v>
      </c>
      <c r="BZ31" s="217">
        <f t="shared" si="16"/>
        <v>32451.154090948512</v>
      </c>
      <c r="CA31" s="553">
        <v>38000</v>
      </c>
      <c r="CB31" s="555">
        <f t="shared" si="17"/>
        <v>152000</v>
      </c>
      <c r="CD31" s="626" t="s">
        <v>231</v>
      </c>
      <c r="CE31" s="72">
        <v>2</v>
      </c>
      <c r="CF31" s="72">
        <v>2</v>
      </c>
      <c r="CG31" s="72">
        <f t="shared" si="59"/>
        <v>4</v>
      </c>
      <c r="CH31" s="118">
        <f t="shared" si="60"/>
        <v>8.5261856384431355E-3</v>
      </c>
      <c r="CI31" s="117">
        <f t="shared" si="61"/>
        <v>8113.0697359350634</v>
      </c>
      <c r="CJ31" s="117">
        <f t="shared" si="18"/>
        <v>32452.278943740253</v>
      </c>
      <c r="CK31" s="119">
        <v>38000</v>
      </c>
      <c r="CL31" s="566">
        <f t="shared" si="19"/>
        <v>152000</v>
      </c>
      <c r="CM31" s="632"/>
      <c r="CN31" s="690" t="s">
        <v>231</v>
      </c>
      <c r="CO31" s="490">
        <v>2</v>
      </c>
      <c r="CP31" s="490">
        <v>2</v>
      </c>
      <c r="CQ31" s="490">
        <f t="shared" si="62"/>
        <v>4</v>
      </c>
      <c r="CR31" s="686">
        <f t="shared" si="63"/>
        <v>8.5439658241367039E-3</v>
      </c>
      <c r="CS31" s="214">
        <f t="shared" si="64"/>
        <v>8113.2127683010085</v>
      </c>
      <c r="CT31" s="214">
        <f t="shared" si="20"/>
        <v>32452.851073204034</v>
      </c>
      <c r="CU31" s="493">
        <v>38000</v>
      </c>
      <c r="CV31" s="497">
        <f t="shared" si="21"/>
        <v>152000</v>
      </c>
      <c r="CX31" s="725" t="s">
        <v>231</v>
      </c>
      <c r="CY31" s="726">
        <v>2</v>
      </c>
      <c r="CZ31" s="726">
        <v>2</v>
      </c>
      <c r="DA31" s="726">
        <f t="shared" si="65"/>
        <v>4</v>
      </c>
      <c r="DB31" s="720">
        <f t="shared" si="66"/>
        <v>8.499679912507498E-3</v>
      </c>
      <c r="DC31" s="355">
        <f t="shared" si="67"/>
        <v>8112.856511126447</v>
      </c>
      <c r="DD31" s="355">
        <f t="shared" si="22"/>
        <v>32451.426044505788</v>
      </c>
      <c r="DE31" s="727">
        <v>38000</v>
      </c>
      <c r="DF31" s="552">
        <f t="shared" si="23"/>
        <v>152000</v>
      </c>
      <c r="DH31" s="759" t="s">
        <v>231</v>
      </c>
      <c r="DI31" s="760">
        <v>2</v>
      </c>
      <c r="DJ31" s="760">
        <v>2</v>
      </c>
      <c r="DK31" s="760">
        <f t="shared" si="68"/>
        <v>4</v>
      </c>
      <c r="DL31" s="755">
        <f t="shared" si="69"/>
        <v>8.5117402851296164E-3</v>
      </c>
      <c r="DM31" s="217">
        <f t="shared" si="70"/>
        <v>8112.9535305648287</v>
      </c>
      <c r="DN31" s="217">
        <f t="shared" si="71"/>
        <v>32451.814122259315</v>
      </c>
      <c r="DO31" s="553">
        <v>38000</v>
      </c>
      <c r="DP31" s="555">
        <f t="shared" si="24"/>
        <v>152000</v>
      </c>
    </row>
    <row r="32" spans="1:120" x14ac:dyDescent="0.25">
      <c r="B32" s="845" t="s">
        <v>82</v>
      </c>
      <c r="C32" s="483">
        <v>1</v>
      </c>
      <c r="D32" s="483">
        <v>18</v>
      </c>
      <c r="E32" s="483">
        <f t="shared" si="25"/>
        <v>18</v>
      </c>
      <c r="F32" s="648">
        <f t="shared" si="26"/>
        <v>3.7225095450536032E-2</v>
      </c>
      <c r="G32" s="647">
        <f t="shared" si="27"/>
        <v>8343.9375705698421</v>
      </c>
      <c r="H32" s="647">
        <f t="shared" si="28"/>
        <v>150190.87627025717</v>
      </c>
      <c r="I32" s="486">
        <v>30000</v>
      </c>
      <c r="J32" s="505">
        <f t="shared" si="29"/>
        <v>540000</v>
      </c>
      <c r="L32" s="852" t="s">
        <v>82</v>
      </c>
      <c r="M32" s="490">
        <v>1</v>
      </c>
      <c r="N32" s="490">
        <v>15</v>
      </c>
      <c r="O32" s="490">
        <f t="shared" si="30"/>
        <v>15</v>
      </c>
      <c r="P32" s="686">
        <f t="shared" si="31"/>
        <v>3.1412172280369223E-2</v>
      </c>
      <c r="Q32" s="214">
        <f t="shared" si="32"/>
        <v>8297.1756205870151</v>
      </c>
      <c r="R32" s="214">
        <f t="shared" si="33"/>
        <v>124457.63430880522</v>
      </c>
      <c r="S32" s="493">
        <v>30000</v>
      </c>
      <c r="T32" s="497">
        <f t="shared" si="12"/>
        <v>450000</v>
      </c>
      <c r="V32" s="725" t="s">
        <v>82</v>
      </c>
      <c r="W32" s="726">
        <v>1</v>
      </c>
      <c r="X32" s="726">
        <v>16</v>
      </c>
      <c r="Y32" s="726">
        <f t="shared" si="34"/>
        <v>16</v>
      </c>
      <c r="Z32" s="720">
        <f t="shared" si="35"/>
        <v>3.3613445378151266E-2</v>
      </c>
      <c r="AA32" s="355">
        <f t="shared" si="36"/>
        <v>8314.8837201926181</v>
      </c>
      <c r="AB32" s="355">
        <f t="shared" si="37"/>
        <v>133038.13952308189</v>
      </c>
      <c r="AC32" s="727">
        <v>30000</v>
      </c>
      <c r="AD32" s="552">
        <f t="shared" si="38"/>
        <v>480000</v>
      </c>
      <c r="AF32" s="759" t="s">
        <v>82</v>
      </c>
      <c r="AG32" s="760">
        <v>1</v>
      </c>
      <c r="AH32" s="760">
        <v>16</v>
      </c>
      <c r="AI32" s="760">
        <f t="shared" si="39"/>
        <v>16</v>
      </c>
      <c r="AJ32" s="755">
        <f t="shared" si="40"/>
        <v>3.3922261484098944E-2</v>
      </c>
      <c r="AK32" s="217">
        <f t="shared" si="41"/>
        <v>8317.3679854886614</v>
      </c>
      <c r="AL32" s="217">
        <f t="shared" si="42"/>
        <v>133077.88776781858</v>
      </c>
      <c r="AM32" s="553">
        <v>30000</v>
      </c>
      <c r="AN32" s="555">
        <f t="shared" si="13"/>
        <v>480000</v>
      </c>
      <c r="AO32" s="632"/>
      <c r="AP32" s="794" t="s">
        <v>82</v>
      </c>
      <c r="AQ32" s="795">
        <v>1</v>
      </c>
      <c r="AR32" s="795">
        <v>18</v>
      </c>
      <c r="AS32" s="795">
        <f t="shared" si="43"/>
        <v>18</v>
      </c>
      <c r="AT32" s="790">
        <f t="shared" si="44"/>
        <v>3.7952854748913065E-2</v>
      </c>
      <c r="AU32" s="789">
        <f t="shared" si="45"/>
        <v>8349.7920164164516</v>
      </c>
      <c r="AV32" s="789">
        <f t="shared" si="46"/>
        <v>150296.25629549613</v>
      </c>
      <c r="AW32" s="796">
        <v>30000</v>
      </c>
      <c r="AX32" s="797">
        <f t="shared" si="14"/>
        <v>540000</v>
      </c>
      <c r="AZ32" s="690" t="s">
        <v>82</v>
      </c>
      <c r="BA32" s="490">
        <v>1</v>
      </c>
      <c r="BB32" s="490">
        <v>16</v>
      </c>
      <c r="BC32" s="490">
        <f t="shared" si="47"/>
        <v>16</v>
      </c>
      <c r="BD32" s="686">
        <f t="shared" si="48"/>
        <v>3.4054239615516652E-2</v>
      </c>
      <c r="BE32" s="214">
        <f t="shared" si="49"/>
        <v>8318.4296810589476</v>
      </c>
      <c r="BF32" s="214">
        <f t="shared" si="50"/>
        <v>133094.87489694316</v>
      </c>
      <c r="BG32" s="493">
        <v>30000</v>
      </c>
      <c r="BH32" s="497">
        <f t="shared" si="15"/>
        <v>480000</v>
      </c>
      <c r="BJ32" s="725" t="s">
        <v>82</v>
      </c>
      <c r="BK32" s="726">
        <v>1</v>
      </c>
      <c r="BL32" s="726">
        <v>16</v>
      </c>
      <c r="BM32" s="726">
        <f t="shared" si="51"/>
        <v>16</v>
      </c>
      <c r="BN32" s="720">
        <f t="shared" si="52"/>
        <v>3.3868214407647659E-2</v>
      </c>
      <c r="BO32" s="355">
        <f t="shared" si="53"/>
        <v>8316.9332048091746</v>
      </c>
      <c r="BP32" s="355">
        <f t="shared" si="54"/>
        <v>133070.93127694679</v>
      </c>
      <c r="BQ32" s="727">
        <v>30000</v>
      </c>
      <c r="BR32" s="552">
        <f t="shared" si="55"/>
        <v>480000</v>
      </c>
      <c r="BT32" s="759" t="s">
        <v>82</v>
      </c>
      <c r="BU32" s="760">
        <v>1</v>
      </c>
      <c r="BV32" s="760">
        <v>17</v>
      </c>
      <c r="BW32" s="760">
        <f t="shared" si="56"/>
        <v>17</v>
      </c>
      <c r="BX32" s="755">
        <f t="shared" si="57"/>
        <v>3.6087720511101151E-2</v>
      </c>
      <c r="BY32" s="217">
        <f t="shared" si="58"/>
        <v>8334.7879794824294</v>
      </c>
      <c r="BZ32" s="217">
        <f t="shared" si="16"/>
        <v>141691.39565120131</v>
      </c>
      <c r="CA32" s="553">
        <v>30000</v>
      </c>
      <c r="CB32" s="555">
        <f t="shared" si="17"/>
        <v>510000</v>
      </c>
      <c r="CD32" s="626" t="s">
        <v>82</v>
      </c>
      <c r="CE32" s="72">
        <v>1</v>
      </c>
      <c r="CF32" s="72">
        <v>16</v>
      </c>
      <c r="CG32" s="72">
        <f t="shared" si="59"/>
        <v>16</v>
      </c>
      <c r="CH32" s="118">
        <f t="shared" si="60"/>
        <v>3.4104742553772542E-2</v>
      </c>
      <c r="CI32" s="117">
        <f t="shared" si="61"/>
        <v>8318.8359509860693</v>
      </c>
      <c r="CJ32" s="117">
        <f t="shared" si="18"/>
        <v>133101.37521577711</v>
      </c>
      <c r="CK32" s="119">
        <v>30000</v>
      </c>
      <c r="CL32" s="566">
        <f t="shared" si="19"/>
        <v>480000</v>
      </c>
      <c r="CM32" s="632"/>
      <c r="CN32" s="690" t="s">
        <v>82</v>
      </c>
      <c r="CO32" s="490">
        <v>1</v>
      </c>
      <c r="CP32" s="490">
        <v>16</v>
      </c>
      <c r="CQ32" s="490">
        <f t="shared" si="62"/>
        <v>16</v>
      </c>
      <c r="CR32" s="686">
        <f t="shared" si="63"/>
        <v>3.4175863296546816E-2</v>
      </c>
      <c r="CS32" s="214">
        <f t="shared" si="64"/>
        <v>8319.4080804498517</v>
      </c>
      <c r="CT32" s="214">
        <f t="shared" si="20"/>
        <v>133110.52928719763</v>
      </c>
      <c r="CU32" s="493">
        <v>30000</v>
      </c>
      <c r="CV32" s="497">
        <f t="shared" si="21"/>
        <v>480000</v>
      </c>
      <c r="CX32" s="725" t="s">
        <v>82</v>
      </c>
      <c r="CY32" s="726">
        <v>1</v>
      </c>
      <c r="CZ32" s="726">
        <v>16</v>
      </c>
      <c r="DA32" s="726">
        <f t="shared" si="65"/>
        <v>16</v>
      </c>
      <c r="DB32" s="720">
        <f t="shared" si="66"/>
        <v>3.3998719650029992E-2</v>
      </c>
      <c r="DC32" s="355">
        <f t="shared" si="67"/>
        <v>8317.9830517516039</v>
      </c>
      <c r="DD32" s="355">
        <f t="shared" si="22"/>
        <v>133087.72882802566</v>
      </c>
      <c r="DE32" s="727">
        <v>30000</v>
      </c>
      <c r="DF32" s="552">
        <f t="shared" si="23"/>
        <v>480000</v>
      </c>
      <c r="DH32" s="759" t="s">
        <v>82</v>
      </c>
      <c r="DI32" s="760">
        <v>1</v>
      </c>
      <c r="DJ32" s="760">
        <v>18</v>
      </c>
      <c r="DK32" s="760">
        <f t="shared" si="68"/>
        <v>18</v>
      </c>
      <c r="DL32" s="755">
        <f t="shared" si="69"/>
        <v>3.8302831283083268E-2</v>
      </c>
      <c r="DM32" s="217">
        <f t="shared" si="70"/>
        <v>8352.6073959951846</v>
      </c>
      <c r="DN32" s="217">
        <f t="shared" si="71"/>
        <v>150346.93312791333</v>
      </c>
      <c r="DO32" s="553">
        <v>30000</v>
      </c>
      <c r="DP32" s="555">
        <f t="shared" si="24"/>
        <v>540000</v>
      </c>
    </row>
    <row r="33" spans="2:120" x14ac:dyDescent="0.25">
      <c r="B33" s="845" t="s">
        <v>83</v>
      </c>
      <c r="C33" s="483">
        <v>2</v>
      </c>
      <c r="D33" s="483">
        <v>6</v>
      </c>
      <c r="E33" s="483">
        <f t="shared" si="25"/>
        <v>12</v>
      </c>
      <c r="F33" s="648">
        <f t="shared" si="26"/>
        <v>2.4816730300357356E-2</v>
      </c>
      <c r="G33" s="647">
        <f t="shared" si="27"/>
        <v>8244.1187129081372</v>
      </c>
      <c r="H33" s="647">
        <f t="shared" si="28"/>
        <v>98929.424554897647</v>
      </c>
      <c r="I33" s="486">
        <v>18000</v>
      </c>
      <c r="J33" s="505">
        <f t="shared" si="29"/>
        <v>216000</v>
      </c>
      <c r="L33" s="852" t="s">
        <v>83</v>
      </c>
      <c r="M33" s="490">
        <v>2</v>
      </c>
      <c r="N33" s="490">
        <v>6</v>
      </c>
      <c r="O33" s="490">
        <f t="shared" si="30"/>
        <v>12</v>
      </c>
      <c r="P33" s="686">
        <f t="shared" si="31"/>
        <v>2.5129737824295374E-2</v>
      </c>
      <c r="Q33" s="214">
        <f t="shared" si="32"/>
        <v>8246.6366959865572</v>
      </c>
      <c r="R33" s="214">
        <f t="shared" si="33"/>
        <v>98959.640351838694</v>
      </c>
      <c r="S33" s="493">
        <v>18000</v>
      </c>
      <c r="T33" s="497">
        <f t="shared" si="12"/>
        <v>216000</v>
      </c>
      <c r="V33" s="725" t="s">
        <v>83</v>
      </c>
      <c r="W33" s="726">
        <v>2</v>
      </c>
      <c r="X33" s="726">
        <v>6</v>
      </c>
      <c r="Y33" s="726">
        <f t="shared" si="34"/>
        <v>12</v>
      </c>
      <c r="Z33" s="720">
        <f t="shared" si="35"/>
        <v>2.5210084033613446E-2</v>
      </c>
      <c r="AA33" s="355">
        <f t="shared" si="36"/>
        <v>8247.2830395406454</v>
      </c>
      <c r="AB33" s="355">
        <f t="shared" si="37"/>
        <v>98967.396474487745</v>
      </c>
      <c r="AC33" s="727">
        <v>18000</v>
      </c>
      <c r="AD33" s="552">
        <f t="shared" si="38"/>
        <v>216000</v>
      </c>
      <c r="AF33" s="759" t="s">
        <v>83</v>
      </c>
      <c r="AG33" s="760">
        <v>2</v>
      </c>
      <c r="AH33" s="760">
        <v>6</v>
      </c>
      <c r="AI33" s="760">
        <f t="shared" si="39"/>
        <v>12</v>
      </c>
      <c r="AJ33" s="755">
        <f t="shared" si="40"/>
        <v>2.5441696113074206E-2</v>
      </c>
      <c r="AK33" s="217">
        <f t="shared" si="41"/>
        <v>8249.1462385126779</v>
      </c>
      <c r="AL33" s="217">
        <f t="shared" si="42"/>
        <v>98989.754862152127</v>
      </c>
      <c r="AM33" s="553">
        <v>18000</v>
      </c>
      <c r="AN33" s="555">
        <f t="shared" si="13"/>
        <v>216000</v>
      </c>
      <c r="AO33" s="632"/>
      <c r="AP33" s="794" t="s">
        <v>83</v>
      </c>
      <c r="AQ33" s="795">
        <v>2</v>
      </c>
      <c r="AR33" s="795">
        <v>6</v>
      </c>
      <c r="AS33" s="795">
        <f t="shared" si="43"/>
        <v>12</v>
      </c>
      <c r="AT33" s="790">
        <f t="shared" si="44"/>
        <v>2.5301903165942042E-2</v>
      </c>
      <c r="AU33" s="789">
        <f t="shared" si="45"/>
        <v>8248.0216768058763</v>
      </c>
      <c r="AV33" s="789">
        <f t="shared" si="46"/>
        <v>98976.260121670522</v>
      </c>
      <c r="AW33" s="796">
        <v>18000</v>
      </c>
      <c r="AX33" s="797">
        <f t="shared" si="14"/>
        <v>216000</v>
      </c>
      <c r="AZ33" s="690" t="s">
        <v>83</v>
      </c>
      <c r="BA33" s="490">
        <v>2</v>
      </c>
      <c r="BB33" s="490">
        <v>6</v>
      </c>
      <c r="BC33" s="490">
        <f t="shared" si="47"/>
        <v>12</v>
      </c>
      <c r="BD33" s="686">
        <f t="shared" si="48"/>
        <v>2.5540679711637489E-2</v>
      </c>
      <c r="BE33" s="214">
        <f t="shared" si="49"/>
        <v>8249.9425101903926</v>
      </c>
      <c r="BF33" s="214">
        <f t="shared" si="50"/>
        <v>98999.310122284718</v>
      </c>
      <c r="BG33" s="493">
        <v>18000</v>
      </c>
      <c r="BH33" s="497">
        <f t="shared" si="15"/>
        <v>216000</v>
      </c>
      <c r="BJ33" s="725" t="s">
        <v>83</v>
      </c>
      <c r="BK33" s="726">
        <v>2</v>
      </c>
      <c r="BL33" s="726">
        <v>6</v>
      </c>
      <c r="BM33" s="726">
        <f t="shared" si="51"/>
        <v>12</v>
      </c>
      <c r="BN33" s="720">
        <f t="shared" si="52"/>
        <v>2.5401160805735745E-2</v>
      </c>
      <c r="BO33" s="355">
        <f t="shared" si="53"/>
        <v>8248.8201530030619</v>
      </c>
      <c r="BP33" s="355">
        <f t="shared" si="54"/>
        <v>98985.841836036736</v>
      </c>
      <c r="BQ33" s="727">
        <v>18000</v>
      </c>
      <c r="BR33" s="552">
        <f t="shared" si="55"/>
        <v>216000</v>
      </c>
      <c r="BT33" s="759" t="s">
        <v>83</v>
      </c>
      <c r="BU33" s="760">
        <v>2</v>
      </c>
      <c r="BV33" s="760">
        <v>6</v>
      </c>
      <c r="BW33" s="760">
        <f t="shared" si="56"/>
        <v>12</v>
      </c>
      <c r="BX33" s="755">
        <f t="shared" si="57"/>
        <v>2.5473685066659636E-2</v>
      </c>
      <c r="BY33" s="217">
        <f t="shared" si="58"/>
        <v>8249.4035730419291</v>
      </c>
      <c r="BZ33" s="217">
        <f t="shared" si="16"/>
        <v>98992.842876503157</v>
      </c>
      <c r="CA33" s="553">
        <v>18000</v>
      </c>
      <c r="CB33" s="555">
        <f t="shared" si="17"/>
        <v>216000</v>
      </c>
      <c r="CD33" s="626" t="s">
        <v>83</v>
      </c>
      <c r="CE33" s="72">
        <v>2</v>
      </c>
      <c r="CF33" s="72">
        <v>6</v>
      </c>
      <c r="CG33" s="72">
        <f t="shared" si="59"/>
        <v>12</v>
      </c>
      <c r="CH33" s="118">
        <f t="shared" si="60"/>
        <v>2.5578556915329405E-2</v>
      </c>
      <c r="CI33" s="117">
        <f t="shared" si="61"/>
        <v>8250.2472126357334</v>
      </c>
      <c r="CJ33" s="117">
        <f t="shared" si="18"/>
        <v>99002.966551628808</v>
      </c>
      <c r="CK33" s="119">
        <v>18000</v>
      </c>
      <c r="CL33" s="566">
        <f t="shared" si="19"/>
        <v>216000</v>
      </c>
      <c r="CM33" s="632"/>
      <c r="CN33" s="690" t="s">
        <v>83</v>
      </c>
      <c r="CO33" s="490">
        <v>2</v>
      </c>
      <c r="CP33" s="490">
        <v>6</v>
      </c>
      <c r="CQ33" s="490">
        <f t="shared" si="62"/>
        <v>12</v>
      </c>
      <c r="CR33" s="686">
        <f t="shared" si="63"/>
        <v>2.5631897472410112E-2</v>
      </c>
      <c r="CS33" s="214">
        <f t="shared" si="64"/>
        <v>8250.6763097335697</v>
      </c>
      <c r="CT33" s="214">
        <f t="shared" si="20"/>
        <v>99008.115716802829</v>
      </c>
      <c r="CU33" s="493">
        <v>18000</v>
      </c>
      <c r="CV33" s="497">
        <f t="shared" si="21"/>
        <v>216000</v>
      </c>
      <c r="CX33" s="725" t="s">
        <v>83</v>
      </c>
      <c r="CY33" s="726">
        <v>2</v>
      </c>
      <c r="CZ33" s="726">
        <v>6</v>
      </c>
      <c r="DA33" s="726">
        <f t="shared" si="65"/>
        <v>12</v>
      </c>
      <c r="DB33" s="720">
        <f t="shared" si="66"/>
        <v>2.5499039737522492E-2</v>
      </c>
      <c r="DC33" s="355">
        <f t="shared" si="67"/>
        <v>8249.6075382098843</v>
      </c>
      <c r="DD33" s="355">
        <f t="shared" si="22"/>
        <v>98995.290458518604</v>
      </c>
      <c r="DE33" s="727">
        <v>18000</v>
      </c>
      <c r="DF33" s="552">
        <f t="shared" si="23"/>
        <v>216000</v>
      </c>
      <c r="DH33" s="759" t="s">
        <v>83</v>
      </c>
      <c r="DI33" s="760">
        <v>2</v>
      </c>
      <c r="DJ33" s="760">
        <v>6</v>
      </c>
      <c r="DK33" s="760">
        <f t="shared" si="68"/>
        <v>12</v>
      </c>
      <c r="DL33" s="755">
        <f t="shared" si="69"/>
        <v>2.5535220855388847E-2</v>
      </c>
      <c r="DM33" s="217">
        <f t="shared" si="70"/>
        <v>8249.8985965250322</v>
      </c>
      <c r="DN33" s="217">
        <f t="shared" si="71"/>
        <v>98998.783158300386</v>
      </c>
      <c r="DO33" s="553">
        <v>18000</v>
      </c>
      <c r="DP33" s="555">
        <f t="shared" si="24"/>
        <v>216000</v>
      </c>
    </row>
    <row r="34" spans="2:120" x14ac:dyDescent="0.25">
      <c r="B34" s="845" t="s">
        <v>84</v>
      </c>
      <c r="C34" s="483">
        <v>2</v>
      </c>
      <c r="D34" s="483">
        <v>13</v>
      </c>
      <c r="E34" s="483">
        <f t="shared" si="25"/>
        <v>26</v>
      </c>
      <c r="F34" s="648">
        <f t="shared" si="26"/>
        <v>5.3769582317440931E-2</v>
      </c>
      <c r="G34" s="647">
        <f t="shared" si="27"/>
        <v>8477.0293807854487</v>
      </c>
      <c r="H34" s="647">
        <f t="shared" si="28"/>
        <v>220402.76390042168</v>
      </c>
      <c r="I34" s="486">
        <v>24000</v>
      </c>
      <c r="J34" s="505">
        <f t="shared" si="29"/>
        <v>624000</v>
      </c>
      <c r="L34" s="852" t="s">
        <v>84</v>
      </c>
      <c r="M34" s="490">
        <v>2</v>
      </c>
      <c r="N34" s="490">
        <v>13</v>
      </c>
      <c r="O34" s="490">
        <f t="shared" si="30"/>
        <v>26</v>
      </c>
      <c r="P34" s="686">
        <f t="shared" si="31"/>
        <v>5.444776528597331E-2</v>
      </c>
      <c r="Q34" s="214">
        <f t="shared" si="32"/>
        <v>8482.4850107886923</v>
      </c>
      <c r="R34" s="214">
        <f t="shared" si="33"/>
        <v>220544.61028050599</v>
      </c>
      <c r="S34" s="493">
        <v>24000</v>
      </c>
      <c r="T34" s="497">
        <f t="shared" si="12"/>
        <v>624000</v>
      </c>
      <c r="V34" s="725" t="s">
        <v>84</v>
      </c>
      <c r="W34" s="726">
        <v>2</v>
      </c>
      <c r="X34" s="726">
        <v>12</v>
      </c>
      <c r="Y34" s="726">
        <f t="shared" si="34"/>
        <v>24</v>
      </c>
      <c r="Z34" s="720">
        <f t="shared" si="35"/>
        <v>5.0420168067226892E-2</v>
      </c>
      <c r="AA34" s="355">
        <f t="shared" si="36"/>
        <v>8450.0850814965634</v>
      </c>
      <c r="AB34" s="355">
        <f t="shared" si="37"/>
        <v>202802.04195591752</v>
      </c>
      <c r="AC34" s="727">
        <v>24000</v>
      </c>
      <c r="AD34" s="552">
        <f t="shared" si="38"/>
        <v>576000</v>
      </c>
      <c r="AF34" s="759" t="s">
        <v>84</v>
      </c>
      <c r="AG34" s="760">
        <v>2</v>
      </c>
      <c r="AH34" s="760">
        <v>12</v>
      </c>
      <c r="AI34" s="760">
        <f t="shared" si="39"/>
        <v>24</v>
      </c>
      <c r="AJ34" s="755">
        <f t="shared" si="40"/>
        <v>5.0883392226148412E-2</v>
      </c>
      <c r="AK34" s="217">
        <f t="shared" si="41"/>
        <v>8453.8114794406283</v>
      </c>
      <c r="AL34" s="217">
        <f t="shared" si="42"/>
        <v>202891.47550657508</v>
      </c>
      <c r="AM34" s="553">
        <v>24000</v>
      </c>
      <c r="AN34" s="555">
        <f t="shared" si="13"/>
        <v>576000</v>
      </c>
      <c r="AO34" s="632"/>
      <c r="AP34" s="794" t="s">
        <v>84</v>
      </c>
      <c r="AQ34" s="795">
        <v>2</v>
      </c>
      <c r="AR34" s="795">
        <v>13</v>
      </c>
      <c r="AS34" s="795">
        <f t="shared" si="43"/>
        <v>26</v>
      </c>
      <c r="AT34" s="790">
        <f t="shared" si="44"/>
        <v>5.4820790192874426E-2</v>
      </c>
      <c r="AU34" s="789">
        <f t="shared" si="45"/>
        <v>8485.4858025638841</v>
      </c>
      <c r="AV34" s="789">
        <f t="shared" si="46"/>
        <v>220622.630866661</v>
      </c>
      <c r="AW34" s="796">
        <v>24000</v>
      </c>
      <c r="AX34" s="797">
        <f t="shared" si="14"/>
        <v>624000</v>
      </c>
      <c r="AZ34" s="690" t="s">
        <v>84</v>
      </c>
      <c r="BA34" s="490">
        <v>2</v>
      </c>
      <c r="BB34" s="490">
        <v>12</v>
      </c>
      <c r="BC34" s="490">
        <f t="shared" si="47"/>
        <v>24</v>
      </c>
      <c r="BD34" s="686">
        <f t="shared" si="48"/>
        <v>5.1081359423274977E-2</v>
      </c>
      <c r="BE34" s="214">
        <f t="shared" si="49"/>
        <v>8455.4040227960577</v>
      </c>
      <c r="BF34" s="214">
        <f t="shared" si="50"/>
        <v>202929.69654710538</v>
      </c>
      <c r="BG34" s="493">
        <v>24000</v>
      </c>
      <c r="BH34" s="497">
        <f t="shared" si="15"/>
        <v>576000</v>
      </c>
      <c r="BJ34" s="725" t="s">
        <v>84</v>
      </c>
      <c r="BK34" s="726">
        <v>2</v>
      </c>
      <c r="BL34" s="726">
        <v>12</v>
      </c>
      <c r="BM34" s="726">
        <f t="shared" si="51"/>
        <v>24</v>
      </c>
      <c r="BN34" s="720">
        <f t="shared" si="52"/>
        <v>5.0802321611471489E-2</v>
      </c>
      <c r="BO34" s="355">
        <f t="shared" si="53"/>
        <v>8453.1593084213982</v>
      </c>
      <c r="BP34" s="355">
        <f t="shared" si="54"/>
        <v>202875.82340211357</v>
      </c>
      <c r="BQ34" s="727">
        <v>24000</v>
      </c>
      <c r="BR34" s="552">
        <f t="shared" si="55"/>
        <v>576000</v>
      </c>
      <c r="BT34" s="759" t="s">
        <v>84</v>
      </c>
      <c r="BU34" s="760">
        <v>2</v>
      </c>
      <c r="BV34" s="760">
        <v>13</v>
      </c>
      <c r="BW34" s="760">
        <f t="shared" si="56"/>
        <v>26</v>
      </c>
      <c r="BX34" s="755">
        <f t="shared" si="57"/>
        <v>5.5192984311095879E-2</v>
      </c>
      <c r="BY34" s="217">
        <f t="shared" si="58"/>
        <v>8488.4799110753302</v>
      </c>
      <c r="BZ34" s="217">
        <f t="shared" si="16"/>
        <v>220700.47768795857</v>
      </c>
      <c r="CA34" s="553">
        <v>24000</v>
      </c>
      <c r="CB34" s="555">
        <f t="shared" si="17"/>
        <v>624000</v>
      </c>
      <c r="CD34" s="626" t="s">
        <v>84</v>
      </c>
      <c r="CE34" s="72">
        <v>2</v>
      </c>
      <c r="CF34" s="72">
        <v>13</v>
      </c>
      <c r="CG34" s="72">
        <f t="shared" si="59"/>
        <v>26</v>
      </c>
      <c r="CH34" s="118">
        <f t="shared" si="60"/>
        <v>5.5420206649880378E-2</v>
      </c>
      <c r="CI34" s="117">
        <f t="shared" si="61"/>
        <v>8490.3077968619091</v>
      </c>
      <c r="CJ34" s="117">
        <f t="shared" si="18"/>
        <v>220748.00271840964</v>
      </c>
      <c r="CK34" s="119">
        <v>24000</v>
      </c>
      <c r="CL34" s="566">
        <f t="shared" si="19"/>
        <v>624000</v>
      </c>
      <c r="CM34" s="632"/>
      <c r="CN34" s="690" t="s">
        <v>84</v>
      </c>
      <c r="CO34" s="490">
        <v>2</v>
      </c>
      <c r="CP34" s="490">
        <v>12</v>
      </c>
      <c r="CQ34" s="490">
        <f t="shared" si="62"/>
        <v>24</v>
      </c>
      <c r="CR34" s="686">
        <f t="shared" si="63"/>
        <v>5.1263794944820223E-2</v>
      </c>
      <c r="CS34" s="214">
        <f t="shared" si="64"/>
        <v>8456.8716218824138</v>
      </c>
      <c r="CT34" s="214">
        <f t="shared" si="20"/>
        <v>202964.91892517795</v>
      </c>
      <c r="CU34" s="493">
        <v>24000</v>
      </c>
      <c r="CV34" s="497">
        <f t="shared" si="21"/>
        <v>576000</v>
      </c>
      <c r="CX34" s="725" t="s">
        <v>84</v>
      </c>
      <c r="CY34" s="726">
        <v>2</v>
      </c>
      <c r="CZ34" s="726">
        <v>13</v>
      </c>
      <c r="DA34" s="726">
        <f t="shared" si="65"/>
        <v>26</v>
      </c>
      <c r="DB34" s="720">
        <f t="shared" si="66"/>
        <v>5.5247919431298732E-2</v>
      </c>
      <c r="DC34" s="355">
        <f t="shared" si="67"/>
        <v>8488.9218356059027</v>
      </c>
      <c r="DD34" s="355">
        <f t="shared" si="22"/>
        <v>220711.96772575346</v>
      </c>
      <c r="DE34" s="727">
        <v>24000</v>
      </c>
      <c r="DF34" s="552">
        <f t="shared" si="23"/>
        <v>624000</v>
      </c>
      <c r="DH34" s="759" t="s">
        <v>84</v>
      </c>
      <c r="DI34" s="760">
        <v>2</v>
      </c>
      <c r="DJ34" s="760">
        <v>11</v>
      </c>
      <c r="DK34" s="760">
        <f t="shared" si="68"/>
        <v>22</v>
      </c>
      <c r="DL34" s="755">
        <f t="shared" si="69"/>
        <v>4.6814571568212886E-2</v>
      </c>
      <c r="DM34" s="217">
        <f t="shared" si="70"/>
        <v>8421.0799289752867</v>
      </c>
      <c r="DN34" s="217">
        <f t="shared" si="71"/>
        <v>185263.7584374563</v>
      </c>
      <c r="DO34" s="553">
        <v>24000</v>
      </c>
      <c r="DP34" s="555">
        <f t="shared" si="24"/>
        <v>528000</v>
      </c>
    </row>
    <row r="35" spans="2:120" x14ac:dyDescent="0.25">
      <c r="B35" s="845" t="s">
        <v>232</v>
      </c>
      <c r="C35" s="483">
        <v>2</v>
      </c>
      <c r="D35" s="483">
        <v>12</v>
      </c>
      <c r="E35" s="483">
        <f t="shared" si="25"/>
        <v>24</v>
      </c>
      <c r="F35" s="648">
        <f t="shared" si="26"/>
        <v>4.9633460600714711E-2</v>
      </c>
      <c r="G35" s="647">
        <f t="shared" si="27"/>
        <v>8443.756428231547</v>
      </c>
      <c r="H35" s="647">
        <f t="shared" si="28"/>
        <v>202650.15427755713</v>
      </c>
      <c r="I35" s="486">
        <v>24000</v>
      </c>
      <c r="J35" s="505">
        <f t="shared" si="29"/>
        <v>576000</v>
      </c>
      <c r="L35" s="852" t="s">
        <v>232</v>
      </c>
      <c r="M35" s="490">
        <v>2</v>
      </c>
      <c r="N35" s="490">
        <v>11</v>
      </c>
      <c r="O35" s="490">
        <f t="shared" si="30"/>
        <v>22</v>
      </c>
      <c r="P35" s="686">
        <f t="shared" si="31"/>
        <v>4.6071186011208187E-2</v>
      </c>
      <c r="Q35" s="214">
        <f t="shared" si="32"/>
        <v>8415.0997779880836</v>
      </c>
      <c r="R35" s="214">
        <f t="shared" si="33"/>
        <v>185132.19511573785</v>
      </c>
      <c r="S35" s="493">
        <v>24000</v>
      </c>
      <c r="T35" s="497">
        <f t="shared" si="12"/>
        <v>528000</v>
      </c>
      <c r="V35" s="725" t="s">
        <v>232</v>
      </c>
      <c r="W35" s="726">
        <v>2</v>
      </c>
      <c r="X35" s="726">
        <v>12</v>
      </c>
      <c r="Y35" s="726">
        <f t="shared" si="34"/>
        <v>24</v>
      </c>
      <c r="Z35" s="720">
        <f t="shared" si="35"/>
        <v>5.0420168067226892E-2</v>
      </c>
      <c r="AA35" s="355">
        <f t="shared" si="36"/>
        <v>8450.0850814965634</v>
      </c>
      <c r="AB35" s="355">
        <f t="shared" si="37"/>
        <v>202802.04195591752</v>
      </c>
      <c r="AC35" s="727">
        <v>24000</v>
      </c>
      <c r="AD35" s="552">
        <f t="shared" si="38"/>
        <v>576000</v>
      </c>
      <c r="AF35" s="759" t="s">
        <v>232</v>
      </c>
      <c r="AG35" s="760">
        <v>2</v>
      </c>
      <c r="AH35" s="760">
        <v>12</v>
      </c>
      <c r="AI35" s="760">
        <f t="shared" si="39"/>
        <v>24</v>
      </c>
      <c r="AJ35" s="755">
        <f t="shared" si="40"/>
        <v>5.0883392226148412E-2</v>
      </c>
      <c r="AK35" s="217">
        <f t="shared" si="41"/>
        <v>8453.8114794406283</v>
      </c>
      <c r="AL35" s="217">
        <f t="shared" si="42"/>
        <v>202891.47550657508</v>
      </c>
      <c r="AM35" s="553">
        <v>24000</v>
      </c>
      <c r="AN35" s="555">
        <f t="shared" si="13"/>
        <v>576000</v>
      </c>
      <c r="AO35" s="632"/>
      <c r="AP35" s="794" t="s">
        <v>232</v>
      </c>
      <c r="AQ35" s="795">
        <v>2</v>
      </c>
      <c r="AR35" s="795">
        <v>12</v>
      </c>
      <c r="AS35" s="795">
        <f t="shared" si="43"/>
        <v>24</v>
      </c>
      <c r="AT35" s="790">
        <f t="shared" si="44"/>
        <v>5.0603806331884084E-2</v>
      </c>
      <c r="AU35" s="789">
        <f t="shared" si="45"/>
        <v>8451.5623560270269</v>
      </c>
      <c r="AV35" s="789">
        <f t="shared" si="46"/>
        <v>202837.49654464866</v>
      </c>
      <c r="AW35" s="796">
        <v>24000</v>
      </c>
      <c r="AX35" s="797">
        <f t="shared" si="14"/>
        <v>576000</v>
      </c>
      <c r="AZ35" s="690" t="s">
        <v>232</v>
      </c>
      <c r="BA35" s="490">
        <v>2</v>
      </c>
      <c r="BB35" s="490">
        <v>12</v>
      </c>
      <c r="BC35" s="490">
        <f t="shared" si="47"/>
        <v>24</v>
      </c>
      <c r="BD35" s="686">
        <f t="shared" si="48"/>
        <v>5.1081359423274977E-2</v>
      </c>
      <c r="BE35" s="214">
        <f t="shared" si="49"/>
        <v>8455.4040227960577</v>
      </c>
      <c r="BF35" s="214">
        <f t="shared" si="50"/>
        <v>202929.69654710538</v>
      </c>
      <c r="BG35" s="493">
        <v>24000</v>
      </c>
      <c r="BH35" s="497">
        <f t="shared" si="15"/>
        <v>576000</v>
      </c>
      <c r="BJ35" s="725" t="s">
        <v>232</v>
      </c>
      <c r="BK35" s="726">
        <v>2</v>
      </c>
      <c r="BL35" s="726">
        <v>12</v>
      </c>
      <c r="BM35" s="726">
        <f t="shared" si="51"/>
        <v>24</v>
      </c>
      <c r="BN35" s="720">
        <f t="shared" si="52"/>
        <v>5.0802321611471489E-2</v>
      </c>
      <c r="BO35" s="355">
        <f t="shared" si="53"/>
        <v>8453.1593084213982</v>
      </c>
      <c r="BP35" s="355">
        <f t="shared" si="54"/>
        <v>202875.82340211357</v>
      </c>
      <c r="BQ35" s="727">
        <v>24000</v>
      </c>
      <c r="BR35" s="552">
        <f t="shared" si="55"/>
        <v>576000</v>
      </c>
      <c r="BT35" s="759" t="s">
        <v>232</v>
      </c>
      <c r="BU35" s="760">
        <v>2</v>
      </c>
      <c r="BV35" s="760">
        <v>12</v>
      </c>
      <c r="BW35" s="760">
        <f t="shared" si="56"/>
        <v>24</v>
      </c>
      <c r="BX35" s="755">
        <f t="shared" si="57"/>
        <v>5.0947370133319271E-2</v>
      </c>
      <c r="BY35" s="217">
        <f t="shared" si="58"/>
        <v>8454.3261484991308</v>
      </c>
      <c r="BZ35" s="217">
        <f t="shared" si="16"/>
        <v>202903.82756397914</v>
      </c>
      <c r="CA35" s="553">
        <v>24000</v>
      </c>
      <c r="CB35" s="555">
        <f t="shared" si="17"/>
        <v>576000</v>
      </c>
      <c r="CD35" s="626" t="s">
        <v>232</v>
      </c>
      <c r="CE35" s="72">
        <v>2</v>
      </c>
      <c r="CF35" s="72">
        <v>12</v>
      </c>
      <c r="CG35" s="72">
        <f t="shared" si="59"/>
        <v>24</v>
      </c>
      <c r="CH35" s="118">
        <f t="shared" si="60"/>
        <v>5.115711383065881E-2</v>
      </c>
      <c r="CI35" s="117">
        <f t="shared" si="61"/>
        <v>8456.0134276867411</v>
      </c>
      <c r="CJ35" s="117">
        <f t="shared" si="18"/>
        <v>202944.3222644818</v>
      </c>
      <c r="CK35" s="119">
        <v>24000</v>
      </c>
      <c r="CL35" s="566">
        <f t="shared" si="19"/>
        <v>576000</v>
      </c>
      <c r="CM35" s="632"/>
      <c r="CN35" s="690" t="s">
        <v>232</v>
      </c>
      <c r="CO35" s="490">
        <v>2</v>
      </c>
      <c r="CP35" s="490">
        <v>12</v>
      </c>
      <c r="CQ35" s="490">
        <f t="shared" si="62"/>
        <v>24</v>
      </c>
      <c r="CR35" s="686">
        <f t="shared" si="63"/>
        <v>5.1263794944820223E-2</v>
      </c>
      <c r="CS35" s="214">
        <f t="shared" si="64"/>
        <v>8456.8716218824138</v>
      </c>
      <c r="CT35" s="214">
        <f t="shared" si="20"/>
        <v>202964.91892517795</v>
      </c>
      <c r="CU35" s="493">
        <v>24000</v>
      </c>
      <c r="CV35" s="497">
        <f t="shared" si="21"/>
        <v>576000</v>
      </c>
      <c r="CX35" s="725" t="s">
        <v>232</v>
      </c>
      <c r="CY35" s="726">
        <v>2</v>
      </c>
      <c r="CZ35" s="726">
        <v>12</v>
      </c>
      <c r="DA35" s="726">
        <f t="shared" si="65"/>
        <v>24</v>
      </c>
      <c r="DB35" s="720">
        <f t="shared" si="66"/>
        <v>5.0998079475044984E-2</v>
      </c>
      <c r="DC35" s="355">
        <f t="shared" si="67"/>
        <v>8454.734078835043</v>
      </c>
      <c r="DD35" s="355">
        <f t="shared" si="22"/>
        <v>202913.61789204105</v>
      </c>
      <c r="DE35" s="727">
        <v>24000</v>
      </c>
      <c r="DF35" s="552">
        <f t="shared" si="23"/>
        <v>576000</v>
      </c>
      <c r="DH35" s="759" t="s">
        <v>232</v>
      </c>
      <c r="DI35" s="760">
        <v>2</v>
      </c>
      <c r="DJ35" s="760">
        <v>11</v>
      </c>
      <c r="DK35" s="760">
        <f t="shared" si="68"/>
        <v>22</v>
      </c>
      <c r="DL35" s="755">
        <f t="shared" si="69"/>
        <v>4.6814571568212886E-2</v>
      </c>
      <c r="DM35" s="217">
        <f t="shared" si="70"/>
        <v>8421.0799289752867</v>
      </c>
      <c r="DN35" s="217">
        <f t="shared" si="71"/>
        <v>185263.7584374563</v>
      </c>
      <c r="DO35" s="553">
        <v>24000</v>
      </c>
      <c r="DP35" s="555">
        <f t="shared" si="24"/>
        <v>528000</v>
      </c>
    </row>
    <row r="36" spans="2:120" x14ac:dyDescent="0.25">
      <c r="B36" s="845" t="s">
        <v>238</v>
      </c>
      <c r="C36" s="483">
        <v>2</v>
      </c>
      <c r="D36" s="483">
        <v>5</v>
      </c>
      <c r="E36" s="483">
        <f t="shared" si="25"/>
        <v>10</v>
      </c>
      <c r="F36" s="648">
        <f t="shared" si="26"/>
        <v>2.0680608583631129E-2</v>
      </c>
      <c r="G36" s="647">
        <f t="shared" si="27"/>
        <v>8210.8457603542356</v>
      </c>
      <c r="H36" s="647">
        <f t="shared" si="28"/>
        <v>82108.457603542352</v>
      </c>
      <c r="I36" s="486">
        <v>24000</v>
      </c>
      <c r="J36" s="505">
        <f t="shared" si="29"/>
        <v>240000</v>
      </c>
      <c r="L36" s="852" t="s">
        <v>238</v>
      </c>
      <c r="M36" s="490">
        <v>2</v>
      </c>
      <c r="N36" s="490">
        <v>5</v>
      </c>
      <c r="O36" s="490">
        <f t="shared" si="30"/>
        <v>10</v>
      </c>
      <c r="P36" s="686">
        <f t="shared" si="31"/>
        <v>2.0941448186912813E-2</v>
      </c>
      <c r="Q36" s="214">
        <f t="shared" si="32"/>
        <v>8212.944079586252</v>
      </c>
      <c r="R36" s="214">
        <f t="shared" si="33"/>
        <v>82129.440795862523</v>
      </c>
      <c r="S36" s="493">
        <v>24000</v>
      </c>
      <c r="T36" s="497">
        <f t="shared" si="12"/>
        <v>240000</v>
      </c>
      <c r="V36" s="725" t="s">
        <v>238</v>
      </c>
      <c r="W36" s="726">
        <v>2</v>
      </c>
      <c r="X36" s="726">
        <v>5</v>
      </c>
      <c r="Y36" s="726">
        <f t="shared" si="34"/>
        <v>10</v>
      </c>
      <c r="Z36" s="720">
        <f t="shared" si="35"/>
        <v>2.100840336134454E-2</v>
      </c>
      <c r="AA36" s="355">
        <f t="shared" si="36"/>
        <v>8213.4826992146591</v>
      </c>
      <c r="AB36" s="355">
        <f t="shared" si="37"/>
        <v>82134.826992146584</v>
      </c>
      <c r="AC36" s="727">
        <v>24000</v>
      </c>
      <c r="AD36" s="552">
        <f t="shared" si="38"/>
        <v>240000</v>
      </c>
      <c r="AF36" s="759" t="s">
        <v>238</v>
      </c>
      <c r="AG36" s="760">
        <v>2</v>
      </c>
      <c r="AH36" s="760">
        <v>5</v>
      </c>
      <c r="AI36" s="760">
        <f t="shared" si="39"/>
        <v>10</v>
      </c>
      <c r="AJ36" s="755">
        <f t="shared" si="40"/>
        <v>2.1201413427561839E-2</v>
      </c>
      <c r="AK36" s="217">
        <f t="shared" si="41"/>
        <v>8215.0353650246871</v>
      </c>
      <c r="AL36" s="217">
        <f t="shared" si="42"/>
        <v>82150.353650246863</v>
      </c>
      <c r="AM36" s="553">
        <v>24000</v>
      </c>
      <c r="AN36" s="555">
        <f t="shared" si="13"/>
        <v>240000</v>
      </c>
      <c r="AO36" s="632"/>
      <c r="AP36" s="794" t="s">
        <v>238</v>
      </c>
      <c r="AQ36" s="795">
        <v>2</v>
      </c>
      <c r="AR36" s="795">
        <v>5</v>
      </c>
      <c r="AS36" s="795">
        <f t="shared" si="43"/>
        <v>10</v>
      </c>
      <c r="AT36" s="790">
        <f t="shared" si="44"/>
        <v>2.1084919304951703E-2</v>
      </c>
      <c r="AU36" s="789">
        <f t="shared" si="45"/>
        <v>8214.098230269019</v>
      </c>
      <c r="AV36" s="789">
        <f t="shared" si="46"/>
        <v>82140.982302690187</v>
      </c>
      <c r="AW36" s="796">
        <v>24000</v>
      </c>
      <c r="AX36" s="797">
        <f t="shared" si="14"/>
        <v>240000</v>
      </c>
      <c r="AZ36" s="690" t="s">
        <v>238</v>
      </c>
      <c r="BA36" s="490">
        <v>2</v>
      </c>
      <c r="BB36" s="490">
        <v>5</v>
      </c>
      <c r="BC36" s="490">
        <f t="shared" si="47"/>
        <v>10</v>
      </c>
      <c r="BD36" s="686">
        <f t="shared" si="48"/>
        <v>2.1283899759697907E-2</v>
      </c>
      <c r="BE36" s="214">
        <f t="shared" si="49"/>
        <v>8215.698924756116</v>
      </c>
      <c r="BF36" s="214">
        <f t="shared" si="50"/>
        <v>82156.989247561156</v>
      </c>
      <c r="BG36" s="493">
        <v>24000</v>
      </c>
      <c r="BH36" s="497">
        <f t="shared" si="15"/>
        <v>240000</v>
      </c>
      <c r="BJ36" s="725" t="s">
        <v>238</v>
      </c>
      <c r="BK36" s="726">
        <v>2</v>
      </c>
      <c r="BL36" s="726">
        <v>5</v>
      </c>
      <c r="BM36" s="726">
        <f t="shared" si="51"/>
        <v>10</v>
      </c>
      <c r="BN36" s="720">
        <f t="shared" si="52"/>
        <v>2.1167634004779785E-2</v>
      </c>
      <c r="BO36" s="355">
        <f t="shared" si="53"/>
        <v>8214.7636271000065</v>
      </c>
      <c r="BP36" s="355">
        <f t="shared" si="54"/>
        <v>82147.636271000069</v>
      </c>
      <c r="BQ36" s="727">
        <v>24000</v>
      </c>
      <c r="BR36" s="552">
        <f t="shared" si="55"/>
        <v>240000</v>
      </c>
      <c r="BT36" s="759" t="s">
        <v>238</v>
      </c>
      <c r="BU36" s="760">
        <v>2</v>
      </c>
      <c r="BV36" s="760">
        <v>5</v>
      </c>
      <c r="BW36" s="760">
        <f t="shared" si="56"/>
        <v>10</v>
      </c>
      <c r="BX36" s="755">
        <f t="shared" si="57"/>
        <v>2.1228070888883031E-2</v>
      </c>
      <c r="BY36" s="217">
        <f t="shared" si="58"/>
        <v>8215.2498104657279</v>
      </c>
      <c r="BZ36" s="217">
        <f t="shared" si="16"/>
        <v>82152.498104657279</v>
      </c>
      <c r="CA36" s="553">
        <v>24000</v>
      </c>
      <c r="CB36" s="555">
        <f t="shared" si="17"/>
        <v>240000</v>
      </c>
      <c r="CD36" s="626" t="s">
        <v>238</v>
      </c>
      <c r="CE36" s="72">
        <v>2</v>
      </c>
      <c r="CF36" s="72">
        <v>5</v>
      </c>
      <c r="CG36" s="72">
        <f t="shared" si="59"/>
        <v>10</v>
      </c>
      <c r="CH36" s="118">
        <f t="shared" si="60"/>
        <v>2.1315464096107836E-2</v>
      </c>
      <c r="CI36" s="117">
        <f t="shared" si="61"/>
        <v>8215.9528434605672</v>
      </c>
      <c r="CJ36" s="117">
        <f t="shared" si="18"/>
        <v>82159.528434605672</v>
      </c>
      <c r="CK36" s="119">
        <v>24000</v>
      </c>
      <c r="CL36" s="566">
        <f t="shared" si="19"/>
        <v>240000</v>
      </c>
      <c r="CM36" s="632"/>
      <c r="CN36" s="690" t="s">
        <v>238</v>
      </c>
      <c r="CO36" s="490">
        <v>2</v>
      </c>
      <c r="CP36" s="490">
        <v>5</v>
      </c>
      <c r="CQ36" s="490">
        <f t="shared" si="62"/>
        <v>10</v>
      </c>
      <c r="CR36" s="686">
        <f t="shared" si="63"/>
        <v>2.135991456034176E-2</v>
      </c>
      <c r="CS36" s="214">
        <f t="shared" si="64"/>
        <v>8216.3104243754296</v>
      </c>
      <c r="CT36" s="214">
        <f t="shared" si="20"/>
        <v>82163.104243754293</v>
      </c>
      <c r="CU36" s="493">
        <v>24000</v>
      </c>
      <c r="CV36" s="497">
        <f t="shared" si="21"/>
        <v>240000</v>
      </c>
      <c r="CX36" s="725" t="s">
        <v>238</v>
      </c>
      <c r="CY36" s="726">
        <v>2</v>
      </c>
      <c r="CZ36" s="726">
        <v>4</v>
      </c>
      <c r="DA36" s="726">
        <f t="shared" si="65"/>
        <v>8</v>
      </c>
      <c r="DB36" s="720">
        <f t="shared" si="66"/>
        <v>1.6999359825014996E-2</v>
      </c>
      <c r="DC36" s="355">
        <f t="shared" si="67"/>
        <v>8181.2320246681656</v>
      </c>
      <c r="DD36" s="355">
        <f t="shared" si="22"/>
        <v>65449.856197345325</v>
      </c>
      <c r="DE36" s="727">
        <v>24000</v>
      </c>
      <c r="DF36" s="552">
        <f t="shared" si="23"/>
        <v>192000</v>
      </c>
      <c r="DH36" s="759" t="s">
        <v>238</v>
      </c>
      <c r="DI36" s="760">
        <v>2</v>
      </c>
      <c r="DJ36" s="760">
        <v>5</v>
      </c>
      <c r="DK36" s="760">
        <f t="shared" si="68"/>
        <v>10</v>
      </c>
      <c r="DL36" s="755">
        <f t="shared" si="69"/>
        <v>2.1279350712824038E-2</v>
      </c>
      <c r="DM36" s="217">
        <f t="shared" si="70"/>
        <v>8215.662330034982</v>
      </c>
      <c r="DN36" s="217">
        <f t="shared" si="71"/>
        <v>82156.62330034982</v>
      </c>
      <c r="DO36" s="553">
        <v>24000</v>
      </c>
      <c r="DP36" s="555">
        <f t="shared" si="24"/>
        <v>240000</v>
      </c>
    </row>
    <row r="37" spans="2:120" x14ac:dyDescent="0.25">
      <c r="B37" s="845" t="s">
        <v>233</v>
      </c>
      <c r="C37" s="483">
        <v>2</v>
      </c>
      <c r="D37" s="483">
        <v>15</v>
      </c>
      <c r="E37" s="483">
        <f t="shared" si="25"/>
        <v>30</v>
      </c>
      <c r="F37" s="648">
        <f t="shared" si="26"/>
        <v>6.2041825750893391E-2</v>
      </c>
      <c r="G37" s="647">
        <f t="shared" si="27"/>
        <v>8543.5752858932519</v>
      </c>
      <c r="H37" s="647">
        <f t="shared" si="28"/>
        <v>256307.25857679755</v>
      </c>
      <c r="I37" s="486">
        <v>24000</v>
      </c>
      <c r="J37" s="505">
        <f t="shared" si="29"/>
        <v>720000</v>
      </c>
      <c r="L37" s="852" t="s">
        <v>233</v>
      </c>
      <c r="M37" s="490">
        <v>2</v>
      </c>
      <c r="N37" s="490">
        <v>14</v>
      </c>
      <c r="O37" s="490">
        <f t="shared" si="30"/>
        <v>28</v>
      </c>
      <c r="P37" s="686">
        <f t="shared" si="31"/>
        <v>5.8636054923355878E-2</v>
      </c>
      <c r="Q37" s="214">
        <f t="shared" si="32"/>
        <v>8516.1776271889976</v>
      </c>
      <c r="R37" s="214">
        <f t="shared" si="33"/>
        <v>238452.97356129193</v>
      </c>
      <c r="S37" s="493">
        <v>24000</v>
      </c>
      <c r="T37" s="497">
        <f t="shared" si="12"/>
        <v>672000</v>
      </c>
      <c r="V37" s="725" t="s">
        <v>233</v>
      </c>
      <c r="W37" s="726">
        <v>2</v>
      </c>
      <c r="X37" s="726">
        <v>15</v>
      </c>
      <c r="Y37" s="726">
        <f t="shared" si="34"/>
        <v>30</v>
      </c>
      <c r="Z37" s="720">
        <f t="shared" si="35"/>
        <v>6.3025210084033625E-2</v>
      </c>
      <c r="AA37" s="355">
        <f t="shared" si="36"/>
        <v>8551.4861024745205</v>
      </c>
      <c r="AB37" s="355">
        <f t="shared" si="37"/>
        <v>256544.58307423562</v>
      </c>
      <c r="AC37" s="727">
        <v>24000</v>
      </c>
      <c r="AD37" s="552">
        <f t="shared" si="38"/>
        <v>720000</v>
      </c>
      <c r="AF37" s="759" t="s">
        <v>233</v>
      </c>
      <c r="AG37" s="760">
        <v>2</v>
      </c>
      <c r="AH37" s="760">
        <v>15</v>
      </c>
      <c r="AI37" s="760">
        <f t="shared" si="39"/>
        <v>30</v>
      </c>
      <c r="AJ37" s="755">
        <f t="shared" si="40"/>
        <v>6.360424028268552E-2</v>
      </c>
      <c r="AK37" s="217">
        <f t="shared" si="41"/>
        <v>8556.1440999046044</v>
      </c>
      <c r="AL37" s="217">
        <f t="shared" si="42"/>
        <v>256684.32299713814</v>
      </c>
      <c r="AM37" s="553">
        <v>24000</v>
      </c>
      <c r="AN37" s="555">
        <f t="shared" si="13"/>
        <v>720000</v>
      </c>
      <c r="AO37" s="632"/>
      <c r="AP37" s="794" t="s">
        <v>233</v>
      </c>
      <c r="AQ37" s="795">
        <v>2</v>
      </c>
      <c r="AR37" s="795">
        <v>15</v>
      </c>
      <c r="AS37" s="795">
        <f t="shared" si="43"/>
        <v>30</v>
      </c>
      <c r="AT37" s="790">
        <f t="shared" si="44"/>
        <v>6.3254757914855117E-2</v>
      </c>
      <c r="AU37" s="789">
        <f t="shared" si="45"/>
        <v>8553.3326956376022</v>
      </c>
      <c r="AV37" s="789">
        <f t="shared" si="46"/>
        <v>256599.98086912808</v>
      </c>
      <c r="AW37" s="796">
        <v>24000</v>
      </c>
      <c r="AX37" s="797">
        <f t="shared" si="14"/>
        <v>720000</v>
      </c>
      <c r="AZ37" s="690" t="s">
        <v>233</v>
      </c>
      <c r="BA37" s="490">
        <v>2</v>
      </c>
      <c r="BB37" s="490">
        <v>15</v>
      </c>
      <c r="BC37" s="490">
        <f t="shared" si="47"/>
        <v>30</v>
      </c>
      <c r="BD37" s="686">
        <f t="shared" si="48"/>
        <v>6.3851699279093732E-2</v>
      </c>
      <c r="BE37" s="214">
        <f t="shared" si="49"/>
        <v>8558.1347790988912</v>
      </c>
      <c r="BF37" s="214">
        <f t="shared" si="50"/>
        <v>256744.04337296673</v>
      </c>
      <c r="BG37" s="493">
        <v>24000</v>
      </c>
      <c r="BH37" s="497">
        <f t="shared" si="15"/>
        <v>720000</v>
      </c>
      <c r="BJ37" s="725" t="s">
        <v>233</v>
      </c>
      <c r="BK37" s="726">
        <v>2</v>
      </c>
      <c r="BL37" s="726">
        <v>14</v>
      </c>
      <c r="BM37" s="726">
        <f t="shared" si="51"/>
        <v>28</v>
      </c>
      <c r="BN37" s="720">
        <f t="shared" si="52"/>
        <v>5.9269375213383407E-2</v>
      </c>
      <c r="BO37" s="355">
        <f t="shared" si="53"/>
        <v>8521.2723602275091</v>
      </c>
      <c r="BP37" s="355">
        <f t="shared" si="54"/>
        <v>238595.62608637026</v>
      </c>
      <c r="BQ37" s="727">
        <v>24000</v>
      </c>
      <c r="BR37" s="552">
        <f t="shared" si="55"/>
        <v>672000</v>
      </c>
      <c r="BT37" s="759" t="s">
        <v>233</v>
      </c>
      <c r="BU37" s="760">
        <v>2</v>
      </c>
      <c r="BV37" s="760">
        <v>15</v>
      </c>
      <c r="BW37" s="760">
        <f t="shared" si="56"/>
        <v>30</v>
      </c>
      <c r="BX37" s="755">
        <f t="shared" si="57"/>
        <v>6.3684212666649087E-2</v>
      </c>
      <c r="BY37" s="217">
        <f t="shared" si="58"/>
        <v>8556.7874362277307</v>
      </c>
      <c r="BZ37" s="217">
        <f t="shared" si="16"/>
        <v>256703.62308683191</v>
      </c>
      <c r="CA37" s="553">
        <v>24000</v>
      </c>
      <c r="CB37" s="555">
        <f t="shared" si="17"/>
        <v>720000</v>
      </c>
      <c r="CD37" s="626" t="s">
        <v>233</v>
      </c>
      <c r="CE37" s="72">
        <v>2</v>
      </c>
      <c r="CF37" s="72">
        <v>15</v>
      </c>
      <c r="CG37" s="72">
        <f t="shared" si="59"/>
        <v>30</v>
      </c>
      <c r="CH37" s="118">
        <f t="shared" si="60"/>
        <v>6.3946392288323523E-2</v>
      </c>
      <c r="CI37" s="117">
        <f t="shared" si="61"/>
        <v>8558.896535212245</v>
      </c>
      <c r="CJ37" s="117">
        <f t="shared" si="18"/>
        <v>256766.89605636735</v>
      </c>
      <c r="CK37" s="119">
        <v>24000</v>
      </c>
      <c r="CL37" s="566">
        <f t="shared" si="19"/>
        <v>720000</v>
      </c>
      <c r="CM37" s="632"/>
      <c r="CN37" s="690" t="s">
        <v>233</v>
      </c>
      <c r="CO37" s="490">
        <v>2</v>
      </c>
      <c r="CP37" s="490">
        <v>15</v>
      </c>
      <c r="CQ37" s="490">
        <f t="shared" si="62"/>
        <v>30</v>
      </c>
      <c r="CR37" s="686">
        <f t="shared" si="63"/>
        <v>6.4079743681025272E-2</v>
      </c>
      <c r="CS37" s="214">
        <f t="shared" si="64"/>
        <v>8559.9692779568359</v>
      </c>
      <c r="CT37" s="214">
        <f t="shared" si="20"/>
        <v>256799.07833870506</v>
      </c>
      <c r="CU37" s="493">
        <v>24000</v>
      </c>
      <c r="CV37" s="497">
        <f t="shared" si="21"/>
        <v>720000</v>
      </c>
      <c r="CX37" s="725" t="s">
        <v>233</v>
      </c>
      <c r="CY37" s="726">
        <v>2</v>
      </c>
      <c r="CZ37" s="726">
        <v>13</v>
      </c>
      <c r="DA37" s="726">
        <f t="shared" si="65"/>
        <v>26</v>
      </c>
      <c r="DB37" s="720">
        <f t="shared" si="66"/>
        <v>5.5247919431298732E-2</v>
      </c>
      <c r="DC37" s="355">
        <f t="shared" si="67"/>
        <v>8488.9218356059027</v>
      </c>
      <c r="DD37" s="355">
        <f t="shared" si="22"/>
        <v>220711.96772575346</v>
      </c>
      <c r="DE37" s="727">
        <v>24000</v>
      </c>
      <c r="DF37" s="552">
        <f t="shared" si="23"/>
        <v>624000</v>
      </c>
      <c r="DH37" s="759" t="s">
        <v>233</v>
      </c>
      <c r="DI37" s="760">
        <v>2</v>
      </c>
      <c r="DJ37" s="760">
        <v>14</v>
      </c>
      <c r="DK37" s="760">
        <f t="shared" si="68"/>
        <v>28</v>
      </c>
      <c r="DL37" s="755">
        <f t="shared" si="69"/>
        <v>5.9582181995907313E-2</v>
      </c>
      <c r="DM37" s="217">
        <f t="shared" si="70"/>
        <v>8523.7887284454391</v>
      </c>
      <c r="DN37" s="217">
        <f t="shared" si="71"/>
        <v>238666.08439647229</v>
      </c>
      <c r="DO37" s="553">
        <v>24000</v>
      </c>
      <c r="DP37" s="555">
        <f t="shared" si="24"/>
        <v>672000</v>
      </c>
    </row>
    <row r="38" spans="2:120" x14ac:dyDescent="0.25">
      <c r="B38" s="845" t="s">
        <v>234</v>
      </c>
      <c r="C38" s="483">
        <v>2</v>
      </c>
      <c r="D38" s="483">
        <v>6</v>
      </c>
      <c r="E38" s="483">
        <f t="shared" si="25"/>
        <v>12</v>
      </c>
      <c r="F38" s="648">
        <f t="shared" si="26"/>
        <v>2.4816730300357356E-2</v>
      </c>
      <c r="G38" s="647">
        <f t="shared" si="27"/>
        <v>8244.1187129081372</v>
      </c>
      <c r="H38" s="647">
        <f t="shared" si="28"/>
        <v>98929.424554897647</v>
      </c>
      <c r="I38" s="486">
        <v>20000</v>
      </c>
      <c r="J38" s="505">
        <f t="shared" si="29"/>
        <v>240000</v>
      </c>
      <c r="L38" s="852" t="s">
        <v>234</v>
      </c>
      <c r="M38" s="490">
        <v>2</v>
      </c>
      <c r="N38" s="490">
        <v>6</v>
      </c>
      <c r="O38" s="490">
        <f t="shared" si="30"/>
        <v>12</v>
      </c>
      <c r="P38" s="686">
        <f t="shared" si="31"/>
        <v>2.5129737824295374E-2</v>
      </c>
      <c r="Q38" s="214">
        <f t="shared" si="32"/>
        <v>8246.6366959865572</v>
      </c>
      <c r="R38" s="214">
        <f t="shared" si="33"/>
        <v>98959.640351838694</v>
      </c>
      <c r="S38" s="493">
        <v>20000</v>
      </c>
      <c r="T38" s="497">
        <f t="shared" si="12"/>
        <v>240000</v>
      </c>
      <c r="V38" s="725" t="s">
        <v>234</v>
      </c>
      <c r="W38" s="726">
        <v>2</v>
      </c>
      <c r="X38" s="726">
        <v>6</v>
      </c>
      <c r="Y38" s="726">
        <f t="shared" si="34"/>
        <v>12</v>
      </c>
      <c r="Z38" s="720">
        <f t="shared" si="35"/>
        <v>2.5210084033613446E-2</v>
      </c>
      <c r="AA38" s="355">
        <f t="shared" si="36"/>
        <v>8247.2830395406454</v>
      </c>
      <c r="AB38" s="355">
        <f t="shared" si="37"/>
        <v>98967.396474487745</v>
      </c>
      <c r="AC38" s="727">
        <v>20000</v>
      </c>
      <c r="AD38" s="552">
        <f t="shared" si="38"/>
        <v>240000</v>
      </c>
      <c r="AF38" s="759" t="s">
        <v>234</v>
      </c>
      <c r="AG38" s="760">
        <v>2</v>
      </c>
      <c r="AH38" s="760">
        <v>6</v>
      </c>
      <c r="AI38" s="760">
        <f t="shared" si="39"/>
        <v>12</v>
      </c>
      <c r="AJ38" s="755">
        <f t="shared" si="40"/>
        <v>2.5441696113074206E-2</v>
      </c>
      <c r="AK38" s="217">
        <f t="shared" si="41"/>
        <v>8249.1462385126779</v>
      </c>
      <c r="AL38" s="217">
        <f t="shared" si="42"/>
        <v>98989.754862152127</v>
      </c>
      <c r="AM38" s="553">
        <v>20000</v>
      </c>
      <c r="AN38" s="555">
        <f t="shared" si="13"/>
        <v>240000</v>
      </c>
      <c r="AO38" s="632"/>
      <c r="AP38" s="794" t="s">
        <v>234</v>
      </c>
      <c r="AQ38" s="795">
        <v>2</v>
      </c>
      <c r="AR38" s="795">
        <v>6</v>
      </c>
      <c r="AS38" s="795">
        <f t="shared" si="43"/>
        <v>12</v>
      </c>
      <c r="AT38" s="790">
        <f t="shared" si="44"/>
        <v>2.5301903165942042E-2</v>
      </c>
      <c r="AU38" s="789">
        <f t="shared" si="45"/>
        <v>8248.0216768058763</v>
      </c>
      <c r="AV38" s="789">
        <f t="shared" si="46"/>
        <v>98976.260121670522</v>
      </c>
      <c r="AW38" s="796">
        <v>20000</v>
      </c>
      <c r="AX38" s="797">
        <f t="shared" si="14"/>
        <v>240000</v>
      </c>
      <c r="AZ38" s="690" t="s">
        <v>234</v>
      </c>
      <c r="BA38" s="490">
        <v>2</v>
      </c>
      <c r="BB38" s="490">
        <v>6</v>
      </c>
      <c r="BC38" s="490">
        <f t="shared" si="47"/>
        <v>12</v>
      </c>
      <c r="BD38" s="686">
        <f t="shared" si="48"/>
        <v>2.5540679711637489E-2</v>
      </c>
      <c r="BE38" s="214">
        <f t="shared" si="49"/>
        <v>8249.9425101903926</v>
      </c>
      <c r="BF38" s="214">
        <f t="shared" si="50"/>
        <v>98999.310122284718</v>
      </c>
      <c r="BG38" s="493">
        <v>20000</v>
      </c>
      <c r="BH38" s="497">
        <f t="shared" si="15"/>
        <v>240000</v>
      </c>
      <c r="BJ38" s="725" t="s">
        <v>234</v>
      </c>
      <c r="BK38" s="726">
        <v>2</v>
      </c>
      <c r="BL38" s="726">
        <v>6</v>
      </c>
      <c r="BM38" s="726">
        <f t="shared" si="51"/>
        <v>12</v>
      </c>
      <c r="BN38" s="720">
        <f t="shared" si="52"/>
        <v>2.5401160805735745E-2</v>
      </c>
      <c r="BO38" s="355">
        <f t="shared" si="53"/>
        <v>8248.8201530030619</v>
      </c>
      <c r="BP38" s="355">
        <f t="shared" si="54"/>
        <v>98985.841836036736</v>
      </c>
      <c r="BQ38" s="727">
        <v>20000</v>
      </c>
      <c r="BR38" s="552">
        <f t="shared" si="55"/>
        <v>240000</v>
      </c>
      <c r="BT38" s="759" t="s">
        <v>234</v>
      </c>
      <c r="BU38" s="760">
        <v>2</v>
      </c>
      <c r="BV38" s="760">
        <v>6</v>
      </c>
      <c r="BW38" s="760">
        <f t="shared" si="56"/>
        <v>12</v>
      </c>
      <c r="BX38" s="755">
        <f t="shared" si="57"/>
        <v>2.5473685066659636E-2</v>
      </c>
      <c r="BY38" s="217">
        <f t="shared" si="58"/>
        <v>8249.4035730419291</v>
      </c>
      <c r="BZ38" s="217">
        <f t="shared" si="16"/>
        <v>98992.842876503157</v>
      </c>
      <c r="CA38" s="553">
        <v>20000</v>
      </c>
      <c r="CB38" s="555">
        <f t="shared" si="17"/>
        <v>240000</v>
      </c>
      <c r="CD38" s="626" t="s">
        <v>234</v>
      </c>
      <c r="CE38" s="72">
        <v>2</v>
      </c>
      <c r="CF38" s="72">
        <v>6</v>
      </c>
      <c r="CG38" s="72">
        <f t="shared" si="59"/>
        <v>12</v>
      </c>
      <c r="CH38" s="118">
        <f t="shared" si="60"/>
        <v>2.5578556915329405E-2</v>
      </c>
      <c r="CI38" s="117">
        <f t="shared" si="61"/>
        <v>8250.2472126357334</v>
      </c>
      <c r="CJ38" s="117">
        <f t="shared" si="18"/>
        <v>99002.966551628808</v>
      </c>
      <c r="CK38" s="119">
        <v>20000</v>
      </c>
      <c r="CL38" s="566">
        <f t="shared" si="19"/>
        <v>240000</v>
      </c>
      <c r="CM38" s="632"/>
      <c r="CN38" s="690" t="s">
        <v>234</v>
      </c>
      <c r="CO38" s="490">
        <v>2</v>
      </c>
      <c r="CP38" s="490">
        <v>5</v>
      </c>
      <c r="CQ38" s="490">
        <f t="shared" si="62"/>
        <v>10</v>
      </c>
      <c r="CR38" s="686">
        <f t="shared" si="63"/>
        <v>2.135991456034176E-2</v>
      </c>
      <c r="CS38" s="214">
        <f t="shared" si="64"/>
        <v>8216.3104243754296</v>
      </c>
      <c r="CT38" s="214">
        <f t="shared" si="20"/>
        <v>82163.104243754293</v>
      </c>
      <c r="CU38" s="493">
        <v>20000</v>
      </c>
      <c r="CV38" s="497">
        <f t="shared" si="21"/>
        <v>200000</v>
      </c>
      <c r="CX38" s="725" t="s">
        <v>234</v>
      </c>
      <c r="CY38" s="726">
        <v>2</v>
      </c>
      <c r="CZ38" s="726">
        <v>6</v>
      </c>
      <c r="DA38" s="726">
        <f t="shared" si="65"/>
        <v>12</v>
      </c>
      <c r="DB38" s="720">
        <f t="shared" si="66"/>
        <v>2.5499039737522492E-2</v>
      </c>
      <c r="DC38" s="355">
        <f t="shared" si="67"/>
        <v>8249.6075382098843</v>
      </c>
      <c r="DD38" s="355">
        <f t="shared" si="22"/>
        <v>98995.290458518604</v>
      </c>
      <c r="DE38" s="727">
        <v>20000</v>
      </c>
      <c r="DF38" s="552">
        <f t="shared" si="23"/>
        <v>240000</v>
      </c>
      <c r="DH38" s="759" t="s">
        <v>234</v>
      </c>
      <c r="DI38" s="760">
        <v>2</v>
      </c>
      <c r="DJ38" s="760">
        <v>5</v>
      </c>
      <c r="DK38" s="760">
        <f t="shared" si="68"/>
        <v>10</v>
      </c>
      <c r="DL38" s="755">
        <f t="shared" si="69"/>
        <v>2.1279350712824038E-2</v>
      </c>
      <c r="DM38" s="217">
        <f t="shared" si="70"/>
        <v>8215.662330034982</v>
      </c>
      <c r="DN38" s="217">
        <f t="shared" si="71"/>
        <v>82156.62330034982</v>
      </c>
      <c r="DO38" s="553">
        <v>20000</v>
      </c>
      <c r="DP38" s="555">
        <f t="shared" si="24"/>
        <v>200000</v>
      </c>
    </row>
    <row r="39" spans="2:120" x14ac:dyDescent="0.25">
      <c r="B39" s="845" t="s">
        <v>235</v>
      </c>
      <c r="C39" s="483">
        <v>1</v>
      </c>
      <c r="D39" s="483">
        <v>35</v>
      </c>
      <c r="E39" s="483">
        <f t="shared" si="25"/>
        <v>35</v>
      </c>
      <c r="F39" s="648">
        <f t="shared" si="26"/>
        <v>7.238213004270895E-2</v>
      </c>
      <c r="G39" s="647">
        <f t="shared" si="27"/>
        <v>8626.7576672780069</v>
      </c>
      <c r="H39" s="647">
        <f t="shared" si="28"/>
        <v>301936.51835473021</v>
      </c>
      <c r="I39" s="486">
        <v>6000</v>
      </c>
      <c r="J39" s="505">
        <f t="shared" si="29"/>
        <v>210000</v>
      </c>
      <c r="L39" s="852" t="s">
        <v>235</v>
      </c>
      <c r="M39" s="490">
        <v>1</v>
      </c>
      <c r="N39" s="490">
        <v>35</v>
      </c>
      <c r="O39" s="490">
        <f t="shared" si="30"/>
        <v>35</v>
      </c>
      <c r="P39" s="686">
        <f t="shared" si="31"/>
        <v>7.3295068654194842E-2</v>
      </c>
      <c r="Q39" s="214">
        <f t="shared" si="32"/>
        <v>8634.101784590066</v>
      </c>
      <c r="R39" s="214">
        <f t="shared" si="33"/>
        <v>302193.56246065232</v>
      </c>
      <c r="S39" s="493">
        <v>6000</v>
      </c>
      <c r="T39" s="497">
        <f t="shared" si="12"/>
        <v>210000</v>
      </c>
      <c r="V39" s="725" t="s">
        <v>235</v>
      </c>
      <c r="W39" s="726">
        <v>1</v>
      </c>
      <c r="X39" s="726">
        <v>32</v>
      </c>
      <c r="Y39" s="726">
        <f t="shared" si="34"/>
        <v>32</v>
      </c>
      <c r="Z39" s="720">
        <f t="shared" si="35"/>
        <v>6.7226890756302532E-2</v>
      </c>
      <c r="AA39" s="355">
        <f t="shared" si="36"/>
        <v>8585.2864428005068</v>
      </c>
      <c r="AB39" s="355">
        <f t="shared" si="37"/>
        <v>274729.16616961622</v>
      </c>
      <c r="AC39" s="727">
        <v>6000</v>
      </c>
      <c r="AD39" s="552">
        <f t="shared" si="38"/>
        <v>192000</v>
      </c>
      <c r="AF39" s="759" t="s">
        <v>235</v>
      </c>
      <c r="AG39" s="760">
        <v>1</v>
      </c>
      <c r="AH39" s="760">
        <v>37</v>
      </c>
      <c r="AI39" s="760">
        <f t="shared" si="39"/>
        <v>37</v>
      </c>
      <c r="AJ39" s="755">
        <f t="shared" si="40"/>
        <v>7.8445229681978798E-2</v>
      </c>
      <c r="AK39" s="217">
        <f t="shared" si="41"/>
        <v>8675.5321571125751</v>
      </c>
      <c r="AL39" s="217">
        <f t="shared" si="42"/>
        <v>320994.68981316529</v>
      </c>
      <c r="AM39" s="553">
        <v>6000</v>
      </c>
      <c r="AN39" s="555">
        <f t="shared" si="13"/>
        <v>222000</v>
      </c>
      <c r="AO39" s="632"/>
      <c r="AP39" s="794" t="s">
        <v>235</v>
      </c>
      <c r="AQ39" s="795">
        <v>1</v>
      </c>
      <c r="AR39" s="795">
        <v>30</v>
      </c>
      <c r="AS39" s="795">
        <f t="shared" si="43"/>
        <v>30</v>
      </c>
      <c r="AT39" s="790">
        <f t="shared" si="44"/>
        <v>6.3254757914855117E-2</v>
      </c>
      <c r="AU39" s="789">
        <f t="shared" si="45"/>
        <v>8553.3326956376022</v>
      </c>
      <c r="AV39" s="789">
        <f t="shared" si="46"/>
        <v>256599.98086912808</v>
      </c>
      <c r="AW39" s="796">
        <v>6000</v>
      </c>
      <c r="AX39" s="797">
        <f t="shared" si="14"/>
        <v>180000</v>
      </c>
      <c r="AZ39" s="690" t="s">
        <v>235</v>
      </c>
      <c r="BA39" s="490">
        <v>1</v>
      </c>
      <c r="BB39" s="490">
        <v>30</v>
      </c>
      <c r="BC39" s="490">
        <f t="shared" si="47"/>
        <v>30</v>
      </c>
      <c r="BD39" s="686">
        <f t="shared" si="48"/>
        <v>6.3851699279093732E-2</v>
      </c>
      <c r="BE39" s="214">
        <f t="shared" si="49"/>
        <v>8558.1347790988912</v>
      </c>
      <c r="BF39" s="214">
        <f t="shared" si="50"/>
        <v>256744.04337296673</v>
      </c>
      <c r="BG39" s="493">
        <v>6000</v>
      </c>
      <c r="BH39" s="497">
        <f t="shared" si="15"/>
        <v>180000</v>
      </c>
      <c r="BJ39" s="725" t="s">
        <v>235</v>
      </c>
      <c r="BK39" s="726">
        <v>1</v>
      </c>
      <c r="BL39" s="726">
        <v>38</v>
      </c>
      <c r="BM39" s="726">
        <f t="shared" si="51"/>
        <v>38</v>
      </c>
      <c r="BN39" s="720">
        <f t="shared" si="52"/>
        <v>8.0437009218163186E-2</v>
      </c>
      <c r="BO39" s="355">
        <f t="shared" si="53"/>
        <v>8691.5549897427882</v>
      </c>
      <c r="BP39" s="355">
        <f t="shared" si="54"/>
        <v>330279.08961022593</v>
      </c>
      <c r="BQ39" s="727">
        <v>6000</v>
      </c>
      <c r="BR39" s="552">
        <f t="shared" si="55"/>
        <v>228000</v>
      </c>
      <c r="BT39" s="759" t="s">
        <v>235</v>
      </c>
      <c r="BU39" s="760">
        <v>1</v>
      </c>
      <c r="BV39" s="760">
        <v>35</v>
      </c>
      <c r="BW39" s="760">
        <f t="shared" si="56"/>
        <v>35</v>
      </c>
      <c r="BX39" s="755">
        <f t="shared" si="57"/>
        <v>7.4298248111090606E-2</v>
      </c>
      <c r="BY39" s="217">
        <f t="shared" si="58"/>
        <v>8642.171842668231</v>
      </c>
      <c r="BZ39" s="217">
        <f t="shared" si="16"/>
        <v>302476.01449338807</v>
      </c>
      <c r="CA39" s="553">
        <v>6000</v>
      </c>
      <c r="CB39" s="555">
        <f t="shared" si="17"/>
        <v>210000</v>
      </c>
      <c r="CD39" s="626" t="s">
        <v>235</v>
      </c>
      <c r="CE39" s="72">
        <v>1</v>
      </c>
      <c r="CF39" s="72">
        <v>30</v>
      </c>
      <c r="CG39" s="72">
        <f t="shared" si="59"/>
        <v>30</v>
      </c>
      <c r="CH39" s="118">
        <f t="shared" si="60"/>
        <v>6.3946392288323523E-2</v>
      </c>
      <c r="CI39" s="117">
        <f t="shared" si="61"/>
        <v>8558.896535212245</v>
      </c>
      <c r="CJ39" s="117">
        <f t="shared" si="18"/>
        <v>256766.89605636735</v>
      </c>
      <c r="CK39" s="119">
        <v>6000</v>
      </c>
      <c r="CL39" s="566">
        <f t="shared" si="19"/>
        <v>180000</v>
      </c>
      <c r="CM39" s="632"/>
      <c r="CN39" s="690" t="s">
        <v>235</v>
      </c>
      <c r="CO39" s="490">
        <v>1</v>
      </c>
      <c r="CP39" s="490">
        <v>35</v>
      </c>
      <c r="CQ39" s="490">
        <f t="shared" si="62"/>
        <v>35</v>
      </c>
      <c r="CR39" s="686">
        <f t="shared" si="63"/>
        <v>7.4759700961196149E-2</v>
      </c>
      <c r="CS39" s="214">
        <f t="shared" si="64"/>
        <v>8645.8839913521861</v>
      </c>
      <c r="CT39" s="214">
        <f t="shared" si="20"/>
        <v>302605.93969732651</v>
      </c>
      <c r="CU39" s="493">
        <v>6000</v>
      </c>
      <c r="CV39" s="497">
        <f t="shared" si="21"/>
        <v>210000</v>
      </c>
      <c r="CX39" s="725" t="s">
        <v>235</v>
      </c>
      <c r="CY39" s="726">
        <v>1</v>
      </c>
      <c r="CZ39" s="726">
        <v>35</v>
      </c>
      <c r="DA39" s="726">
        <f t="shared" si="65"/>
        <v>35</v>
      </c>
      <c r="DB39" s="720">
        <f t="shared" si="66"/>
        <v>7.4372199234440606E-2</v>
      </c>
      <c r="DC39" s="355">
        <f t="shared" si="67"/>
        <v>8642.7667410747708</v>
      </c>
      <c r="DD39" s="355">
        <f t="shared" si="22"/>
        <v>302496.835937617</v>
      </c>
      <c r="DE39" s="727">
        <v>6000</v>
      </c>
      <c r="DF39" s="552">
        <f t="shared" si="23"/>
        <v>210000</v>
      </c>
      <c r="DH39" s="759" t="s">
        <v>235</v>
      </c>
      <c r="DI39" s="760">
        <v>1</v>
      </c>
      <c r="DJ39" s="760">
        <v>35</v>
      </c>
      <c r="DK39" s="760">
        <f>+DI39*DJ39</f>
        <v>35</v>
      </c>
      <c r="DL39" s="755">
        <f t="shared" si="69"/>
        <v>7.4477727494884127E-2</v>
      </c>
      <c r="DM39" s="217">
        <f t="shared" si="70"/>
        <v>8643.6156611606166</v>
      </c>
      <c r="DN39" s="217">
        <f t="shared" si="71"/>
        <v>302526.54814062157</v>
      </c>
      <c r="DO39" s="553">
        <v>6000</v>
      </c>
      <c r="DP39" s="555">
        <f t="shared" si="24"/>
        <v>210000</v>
      </c>
    </row>
    <row r="40" spans="2:120" x14ac:dyDescent="0.25">
      <c r="B40" s="845" t="s">
        <v>86</v>
      </c>
      <c r="C40" s="483">
        <v>1</v>
      </c>
      <c r="D40" s="483">
        <v>75</v>
      </c>
      <c r="E40" s="483">
        <f t="shared" si="25"/>
        <v>75</v>
      </c>
      <c r="F40" s="648">
        <f t="shared" si="26"/>
        <v>0.15510456437723347</v>
      </c>
      <c r="G40" s="647">
        <f t="shared" si="27"/>
        <v>9292.2167183560396</v>
      </c>
      <c r="H40" s="647">
        <f t="shared" si="28"/>
        <v>696916.25387670298</v>
      </c>
      <c r="I40" s="486">
        <v>1000</v>
      </c>
      <c r="J40" s="505">
        <f t="shared" si="29"/>
        <v>75000</v>
      </c>
      <c r="L40" s="852" t="s">
        <v>86</v>
      </c>
      <c r="M40" s="490">
        <v>1</v>
      </c>
      <c r="N40" s="490">
        <v>75</v>
      </c>
      <c r="O40" s="490">
        <f t="shared" si="30"/>
        <v>75</v>
      </c>
      <c r="P40" s="686">
        <f t="shared" si="31"/>
        <v>0.15706086140184608</v>
      </c>
      <c r="Q40" s="214">
        <f t="shared" si="32"/>
        <v>9307.9541125961659</v>
      </c>
      <c r="R40" s="214">
        <f t="shared" si="33"/>
        <v>698096.55844471243</v>
      </c>
      <c r="S40" s="493">
        <v>1000</v>
      </c>
      <c r="T40" s="497">
        <f t="shared" si="12"/>
        <v>75000</v>
      </c>
      <c r="V40" s="725" t="s">
        <v>86</v>
      </c>
      <c r="W40" s="726">
        <v>1</v>
      </c>
      <c r="X40" s="726">
        <v>75</v>
      </c>
      <c r="Y40" s="726">
        <f t="shared" si="34"/>
        <v>75</v>
      </c>
      <c r="Z40" s="720">
        <f t="shared" si="35"/>
        <v>0.15756302521008403</v>
      </c>
      <c r="AA40" s="355">
        <f t="shared" si="36"/>
        <v>9311.993759809211</v>
      </c>
      <c r="AB40" s="355">
        <f t="shared" si="37"/>
        <v>698399.53198569082</v>
      </c>
      <c r="AC40" s="727">
        <v>1000</v>
      </c>
      <c r="AD40" s="552">
        <f t="shared" si="38"/>
        <v>75000</v>
      </c>
      <c r="AF40" s="759" t="s">
        <v>86</v>
      </c>
      <c r="AG40" s="760">
        <v>1</v>
      </c>
      <c r="AH40" s="760">
        <v>73</v>
      </c>
      <c r="AI40" s="760">
        <f t="shared" si="39"/>
        <v>73</v>
      </c>
      <c r="AJ40" s="755">
        <f t="shared" si="40"/>
        <v>0.15477031802120142</v>
      </c>
      <c r="AK40" s="217">
        <f t="shared" si="41"/>
        <v>9289.5278798964282</v>
      </c>
      <c r="AL40" s="217">
        <f t="shared" si="42"/>
        <v>678135.53523243929</v>
      </c>
      <c r="AM40" s="553">
        <v>1000</v>
      </c>
      <c r="AN40" s="555">
        <f t="shared" si="13"/>
        <v>73000</v>
      </c>
      <c r="AO40" s="632"/>
      <c r="AP40" s="794" t="s">
        <v>86</v>
      </c>
      <c r="AQ40" s="795">
        <v>1</v>
      </c>
      <c r="AR40" s="795">
        <v>70</v>
      </c>
      <c r="AS40" s="795">
        <f t="shared" si="43"/>
        <v>70</v>
      </c>
      <c r="AT40" s="790">
        <f t="shared" si="44"/>
        <v>0.14759443513466192</v>
      </c>
      <c r="AU40" s="789">
        <f t="shared" si="45"/>
        <v>9231.8016263747668</v>
      </c>
      <c r="AV40" s="789">
        <f t="shared" si="46"/>
        <v>646226.1138462337</v>
      </c>
      <c r="AW40" s="796">
        <v>1000</v>
      </c>
      <c r="AX40" s="797">
        <f t="shared" si="14"/>
        <v>70000</v>
      </c>
      <c r="AZ40" s="690" t="s">
        <v>86</v>
      </c>
      <c r="BA40" s="490">
        <v>1</v>
      </c>
      <c r="BB40" s="490">
        <v>75</v>
      </c>
      <c r="BC40" s="490">
        <f t="shared" si="47"/>
        <v>75</v>
      </c>
      <c r="BD40" s="686">
        <f t="shared" si="48"/>
        <v>0.1596292481977343</v>
      </c>
      <c r="BE40" s="214">
        <f t="shared" si="49"/>
        <v>9328.6154513701367</v>
      </c>
      <c r="BF40" s="214">
        <f t="shared" si="50"/>
        <v>699646.15885276021</v>
      </c>
      <c r="BG40" s="493">
        <v>1000</v>
      </c>
      <c r="BH40" s="497">
        <f t="shared" si="15"/>
        <v>75000</v>
      </c>
      <c r="BJ40" s="725" t="s">
        <v>86</v>
      </c>
      <c r="BK40" s="726">
        <v>1</v>
      </c>
      <c r="BL40" s="726">
        <v>70</v>
      </c>
      <c r="BM40" s="726">
        <f t="shared" si="51"/>
        <v>70</v>
      </c>
      <c r="BN40" s="720">
        <f t="shared" si="52"/>
        <v>0.1481734380334585</v>
      </c>
      <c r="BO40" s="355">
        <f t="shared" si="53"/>
        <v>9236.4594041916826</v>
      </c>
      <c r="BP40" s="355">
        <f t="shared" si="54"/>
        <v>646552.15829341777</v>
      </c>
      <c r="BQ40" s="727">
        <v>1000</v>
      </c>
      <c r="BR40" s="552">
        <f t="shared" si="55"/>
        <v>70000</v>
      </c>
      <c r="BT40" s="759" t="s">
        <v>86</v>
      </c>
      <c r="BU40" s="760">
        <v>1</v>
      </c>
      <c r="BV40" s="760">
        <v>70</v>
      </c>
      <c r="BW40" s="760">
        <f t="shared" si="56"/>
        <v>70</v>
      </c>
      <c r="BX40" s="755">
        <f t="shared" si="57"/>
        <v>0.14859649622218121</v>
      </c>
      <c r="BY40" s="217">
        <f t="shared" si="58"/>
        <v>9239.8626877517345</v>
      </c>
      <c r="BZ40" s="217">
        <f t="shared" si="16"/>
        <v>646790.38814262138</v>
      </c>
      <c r="CA40" s="553">
        <v>1000</v>
      </c>
      <c r="CB40" s="555">
        <f t="shared" si="17"/>
        <v>70000</v>
      </c>
      <c r="CD40" s="626" t="s">
        <v>86</v>
      </c>
      <c r="CE40" s="72">
        <v>1</v>
      </c>
      <c r="CF40" s="72">
        <v>70</v>
      </c>
      <c r="CG40" s="72">
        <f t="shared" si="59"/>
        <v>70</v>
      </c>
      <c r="CH40" s="118">
        <f t="shared" si="60"/>
        <v>0.14920824867275487</v>
      </c>
      <c r="CI40" s="117">
        <f t="shared" si="61"/>
        <v>9244.7839187156005</v>
      </c>
      <c r="CJ40" s="117">
        <f t="shared" si="18"/>
        <v>647134.87431009207</v>
      </c>
      <c r="CK40" s="119">
        <v>1000</v>
      </c>
      <c r="CL40" s="566">
        <f t="shared" si="19"/>
        <v>70000</v>
      </c>
      <c r="CM40" s="632"/>
      <c r="CN40" s="690" t="s">
        <v>86</v>
      </c>
      <c r="CO40" s="490">
        <v>1</v>
      </c>
      <c r="CP40" s="490">
        <v>79</v>
      </c>
      <c r="CQ40" s="490">
        <f t="shared" si="62"/>
        <v>79</v>
      </c>
      <c r="CR40" s="686">
        <f t="shared" si="63"/>
        <v>0.16874332502669989</v>
      </c>
      <c r="CS40" s="214">
        <f t="shared" si="64"/>
        <v>9401.9334692312787</v>
      </c>
      <c r="CT40" s="214">
        <f t="shared" si="20"/>
        <v>742752.74406927102</v>
      </c>
      <c r="CU40" s="493">
        <v>1000</v>
      </c>
      <c r="CV40" s="497">
        <f t="shared" si="21"/>
        <v>79000</v>
      </c>
      <c r="CX40" s="725" t="s">
        <v>86</v>
      </c>
      <c r="CY40" s="726">
        <v>1</v>
      </c>
      <c r="CZ40" s="726">
        <v>75</v>
      </c>
      <c r="DA40" s="726">
        <f t="shared" si="65"/>
        <v>75</v>
      </c>
      <c r="DB40" s="720">
        <f t="shared" si="66"/>
        <v>0.15936899835951557</v>
      </c>
      <c r="DC40" s="355">
        <f t="shared" si="67"/>
        <v>9326.5218764919628</v>
      </c>
      <c r="DD40" s="355">
        <f t="shared" si="22"/>
        <v>699489.14073689724</v>
      </c>
      <c r="DE40" s="727">
        <v>1000</v>
      </c>
      <c r="DF40" s="552">
        <f t="shared" si="23"/>
        <v>75000</v>
      </c>
      <c r="DH40" s="759" t="s">
        <v>86</v>
      </c>
      <c r="DI40" s="760">
        <v>1</v>
      </c>
      <c r="DJ40" s="760">
        <v>75</v>
      </c>
      <c r="DK40" s="760">
        <f t="shared" si="68"/>
        <v>75</v>
      </c>
      <c r="DL40" s="755">
        <f t="shared" si="69"/>
        <v>0.15959513034618028</v>
      </c>
      <c r="DM40" s="217">
        <f t="shared" si="70"/>
        <v>9328.340990961633</v>
      </c>
      <c r="DN40" s="217">
        <f t="shared" si="71"/>
        <v>699625.5743221225</v>
      </c>
      <c r="DO40" s="553">
        <v>1000</v>
      </c>
      <c r="DP40" s="555">
        <f t="shared" si="24"/>
        <v>75000</v>
      </c>
    </row>
    <row r="41" spans="2:120" x14ac:dyDescent="0.25">
      <c r="B41" s="845" t="s">
        <v>237</v>
      </c>
      <c r="C41" s="483">
        <v>1</v>
      </c>
      <c r="D41" s="483">
        <v>14</v>
      </c>
      <c r="E41" s="483">
        <f t="shared" si="25"/>
        <v>14</v>
      </c>
      <c r="F41" s="648">
        <f t="shared" si="26"/>
        <v>2.8952852017083582E-2</v>
      </c>
      <c r="G41" s="647">
        <f t="shared" si="27"/>
        <v>8277.3916654620389</v>
      </c>
      <c r="H41" s="647">
        <f t="shared" si="28"/>
        <v>115883.48331646854</v>
      </c>
      <c r="I41" s="486">
        <v>4000</v>
      </c>
      <c r="J41" s="505">
        <f t="shared" si="29"/>
        <v>56000</v>
      </c>
      <c r="L41" s="852" t="s">
        <v>237</v>
      </c>
      <c r="M41" s="490">
        <v>1</v>
      </c>
      <c r="N41" s="490">
        <v>14</v>
      </c>
      <c r="O41" s="490">
        <f t="shared" si="30"/>
        <v>14</v>
      </c>
      <c r="P41" s="686">
        <f t="shared" si="31"/>
        <v>2.9318027461677939E-2</v>
      </c>
      <c r="Q41" s="214">
        <f t="shared" si="32"/>
        <v>8280.3293123868625</v>
      </c>
      <c r="R41" s="214">
        <f t="shared" si="33"/>
        <v>115924.61037341607</v>
      </c>
      <c r="S41" s="493">
        <v>4000</v>
      </c>
      <c r="T41" s="497">
        <f t="shared" si="12"/>
        <v>56000</v>
      </c>
      <c r="V41" s="725" t="s">
        <v>237</v>
      </c>
      <c r="W41" s="726">
        <v>1</v>
      </c>
      <c r="X41" s="726">
        <v>14</v>
      </c>
      <c r="Y41" s="726">
        <f t="shared" si="34"/>
        <v>14</v>
      </c>
      <c r="Z41" s="720">
        <f t="shared" si="35"/>
        <v>2.9411764705882356E-2</v>
      </c>
      <c r="AA41" s="355">
        <f t="shared" si="36"/>
        <v>8281.0833798666317</v>
      </c>
      <c r="AB41" s="355">
        <f t="shared" si="37"/>
        <v>115935.16731813285</v>
      </c>
      <c r="AC41" s="727">
        <v>4000</v>
      </c>
      <c r="AD41" s="552">
        <f t="shared" si="38"/>
        <v>56000</v>
      </c>
      <c r="AF41" s="759" t="s">
        <v>237</v>
      </c>
      <c r="AG41" s="760">
        <v>1</v>
      </c>
      <c r="AH41" s="760">
        <v>14</v>
      </c>
      <c r="AI41" s="760">
        <f t="shared" si="39"/>
        <v>14</v>
      </c>
      <c r="AJ41" s="755">
        <f t="shared" si="40"/>
        <v>2.9681978798586577E-2</v>
      </c>
      <c r="AK41" s="217">
        <f t="shared" si="41"/>
        <v>8283.2571120006705</v>
      </c>
      <c r="AL41" s="217">
        <f t="shared" si="42"/>
        <v>115965.59956800939</v>
      </c>
      <c r="AM41" s="553">
        <v>4000</v>
      </c>
      <c r="AN41" s="555">
        <f t="shared" si="13"/>
        <v>56000</v>
      </c>
      <c r="AO41" s="632"/>
      <c r="AP41" s="794" t="s">
        <v>237</v>
      </c>
      <c r="AQ41" s="795">
        <v>1</v>
      </c>
      <c r="AR41" s="795">
        <v>14</v>
      </c>
      <c r="AS41" s="795">
        <f t="shared" si="43"/>
        <v>14</v>
      </c>
      <c r="AT41" s="790">
        <f t="shared" si="44"/>
        <v>2.9518887026932387E-2</v>
      </c>
      <c r="AU41" s="789">
        <f t="shared" si="45"/>
        <v>8281.9451233427353</v>
      </c>
      <c r="AV41" s="789">
        <f t="shared" si="46"/>
        <v>115947.23172679829</v>
      </c>
      <c r="AW41" s="796">
        <v>4000</v>
      </c>
      <c r="AX41" s="797">
        <f t="shared" si="14"/>
        <v>56000</v>
      </c>
      <c r="AZ41" s="690" t="s">
        <v>237</v>
      </c>
      <c r="BA41" s="490">
        <v>1</v>
      </c>
      <c r="BB41" s="490">
        <v>14</v>
      </c>
      <c r="BC41" s="490">
        <f t="shared" si="47"/>
        <v>14</v>
      </c>
      <c r="BD41" s="686">
        <f t="shared" si="48"/>
        <v>2.9797459663577074E-2</v>
      </c>
      <c r="BE41" s="214">
        <f t="shared" si="49"/>
        <v>8284.186095624671</v>
      </c>
      <c r="BF41" s="214">
        <f t="shared" si="50"/>
        <v>115978.6053387454</v>
      </c>
      <c r="BG41" s="493">
        <v>4000</v>
      </c>
      <c r="BH41" s="497">
        <f t="shared" si="15"/>
        <v>56000</v>
      </c>
      <c r="BJ41" s="725" t="s">
        <v>237</v>
      </c>
      <c r="BK41" s="726">
        <v>1</v>
      </c>
      <c r="BL41" s="726">
        <v>14</v>
      </c>
      <c r="BM41" s="726">
        <f t="shared" si="51"/>
        <v>14</v>
      </c>
      <c r="BN41" s="720">
        <f t="shared" si="52"/>
        <v>2.9634687606691704E-2</v>
      </c>
      <c r="BO41" s="355">
        <f t="shared" si="53"/>
        <v>8282.8766789061192</v>
      </c>
      <c r="BP41" s="355">
        <f t="shared" si="54"/>
        <v>115960.27350468567</v>
      </c>
      <c r="BQ41" s="727">
        <v>4000</v>
      </c>
      <c r="BR41" s="552">
        <f t="shared" si="55"/>
        <v>56000</v>
      </c>
      <c r="BT41" s="759" t="s">
        <v>237</v>
      </c>
      <c r="BU41" s="760">
        <v>1</v>
      </c>
      <c r="BV41" s="760">
        <v>14</v>
      </c>
      <c r="BW41" s="760">
        <f t="shared" si="56"/>
        <v>14</v>
      </c>
      <c r="BX41" s="755">
        <f t="shared" si="57"/>
        <v>2.9719299244436247E-2</v>
      </c>
      <c r="BY41" s="217">
        <f t="shared" si="58"/>
        <v>8283.5573356181285</v>
      </c>
      <c r="BZ41" s="217">
        <f t="shared" si="16"/>
        <v>115969.8026986538</v>
      </c>
      <c r="CA41" s="553">
        <v>4000</v>
      </c>
      <c r="CB41" s="555">
        <f t="shared" si="17"/>
        <v>56000</v>
      </c>
      <c r="CD41" s="626" t="s">
        <v>237</v>
      </c>
      <c r="CE41" s="72">
        <v>1</v>
      </c>
      <c r="CF41" s="72">
        <v>14</v>
      </c>
      <c r="CG41" s="72">
        <f t="shared" si="59"/>
        <v>14</v>
      </c>
      <c r="CH41" s="118">
        <f t="shared" si="60"/>
        <v>2.9841649734550977E-2</v>
      </c>
      <c r="CI41" s="117">
        <f t="shared" si="61"/>
        <v>8284.5415818109013</v>
      </c>
      <c r="CJ41" s="117">
        <f t="shared" si="18"/>
        <v>115983.58214535262</v>
      </c>
      <c r="CK41" s="119">
        <v>4000</v>
      </c>
      <c r="CL41" s="566">
        <f t="shared" si="19"/>
        <v>56000</v>
      </c>
      <c r="CM41" s="632"/>
      <c r="CN41" s="690" t="s">
        <v>237</v>
      </c>
      <c r="CO41" s="490">
        <v>1</v>
      </c>
      <c r="CP41" s="490">
        <v>13</v>
      </c>
      <c r="CQ41" s="490">
        <f t="shared" si="62"/>
        <v>13</v>
      </c>
      <c r="CR41" s="686">
        <f t="shared" si="63"/>
        <v>2.7767888928444284E-2</v>
      </c>
      <c r="CS41" s="214">
        <f t="shared" si="64"/>
        <v>8267.8592524126416</v>
      </c>
      <c r="CT41" s="214">
        <f t="shared" si="20"/>
        <v>107482.17028136434</v>
      </c>
      <c r="CU41" s="493">
        <v>4000</v>
      </c>
      <c r="CV41" s="497">
        <f t="shared" si="21"/>
        <v>52000</v>
      </c>
      <c r="CX41" s="725" t="s">
        <v>237</v>
      </c>
      <c r="CY41" s="726">
        <v>1</v>
      </c>
      <c r="CZ41" s="726">
        <v>15</v>
      </c>
      <c r="DA41" s="726">
        <f t="shared" si="65"/>
        <v>15</v>
      </c>
      <c r="DB41" s="720">
        <f t="shared" si="66"/>
        <v>3.1873799671903118E-2</v>
      </c>
      <c r="DC41" s="355">
        <f t="shared" si="67"/>
        <v>8300.8891733661749</v>
      </c>
      <c r="DD41" s="355">
        <f t="shared" si="22"/>
        <v>124513.33760049262</v>
      </c>
      <c r="DE41" s="727">
        <v>4000</v>
      </c>
      <c r="DF41" s="552">
        <f t="shared" si="23"/>
        <v>60000</v>
      </c>
      <c r="DH41" s="759" t="s">
        <v>237</v>
      </c>
      <c r="DI41" s="760">
        <v>1</v>
      </c>
      <c r="DJ41" s="760">
        <v>14</v>
      </c>
      <c r="DK41" s="760">
        <f t="shared" si="68"/>
        <v>14</v>
      </c>
      <c r="DL41" s="755">
        <f t="shared" si="69"/>
        <v>2.9791090997953656E-2</v>
      </c>
      <c r="DM41" s="217">
        <f t="shared" si="70"/>
        <v>8284.1348630150824</v>
      </c>
      <c r="DN41" s="217">
        <f t="shared" si="71"/>
        <v>115977.88808221115</v>
      </c>
      <c r="DO41" s="553">
        <v>4000</v>
      </c>
      <c r="DP41" s="555">
        <f t="shared" si="24"/>
        <v>56000</v>
      </c>
    </row>
    <row r="42" spans="2:120" x14ac:dyDescent="0.25">
      <c r="B42" s="657" t="s">
        <v>88</v>
      </c>
      <c r="C42" s="652">
        <f>+SUM(C23:C41)</f>
        <v>33</v>
      </c>
      <c r="D42" s="652">
        <f t="shared" ref="D42:I42" si="72">+SUM(D23:D41)</f>
        <v>264</v>
      </c>
      <c r="E42" s="652">
        <f>+SUM(E23:E41)</f>
        <v>372</v>
      </c>
      <c r="F42" s="653">
        <f t="shared" si="72"/>
        <v>0.76931863931107791</v>
      </c>
      <c r="G42" s="652">
        <f t="shared" si="72"/>
        <v>159033.9081291355</v>
      </c>
      <c r="H42" s="652">
        <f>+SUM(H23:H41)</f>
        <v>3197874.3213116457</v>
      </c>
      <c r="I42" s="652">
        <f t="shared" si="72"/>
        <v>381000</v>
      </c>
      <c r="J42" s="654">
        <f>+SUM(J23:J41)</f>
        <v>5957000</v>
      </c>
      <c r="L42" s="853" t="s">
        <v>88</v>
      </c>
      <c r="M42" s="487">
        <f>+SUM(M23:M41)</f>
        <v>33</v>
      </c>
      <c r="N42" s="487">
        <f t="shared" ref="N42" si="73">+SUM(N23:N41)</f>
        <v>261</v>
      </c>
      <c r="O42" s="487">
        <f>+SUM(O23:O41)</f>
        <v>368</v>
      </c>
      <c r="P42" s="691">
        <f t="shared" ref="P42" si="74">+SUM(P23:P41)</f>
        <v>0.77064529327839149</v>
      </c>
      <c r="Q42" s="487">
        <f t="shared" ref="Q42" si="75">+SUM(Q23:Q41)</f>
        <v>159044.58037176597</v>
      </c>
      <c r="R42" s="487">
        <f>+SUM(R23:R41)</f>
        <v>3165961.3523858408</v>
      </c>
      <c r="S42" s="487">
        <f t="shared" ref="S42" si="76">+SUM(S23:S41)</f>
        <v>381000</v>
      </c>
      <c r="T42" s="692">
        <f t="shared" ref="T42" si="77">+SUM(T23:T41)</f>
        <v>5835000</v>
      </c>
      <c r="V42" s="858" t="s">
        <v>88</v>
      </c>
      <c r="W42" s="729">
        <f>+SUM(W23:W41)</f>
        <v>33</v>
      </c>
      <c r="X42" s="729">
        <f t="shared" ref="X42" si="78">+SUM(X23:X41)</f>
        <v>259.5</v>
      </c>
      <c r="Y42" s="729">
        <f>+SUM(Y23:Y41)</f>
        <v>367</v>
      </c>
      <c r="Z42" s="730">
        <f t="shared" ref="Z42:AA42" si="79">+SUM(Z23:Z41)</f>
        <v>0.77100840336134446</v>
      </c>
      <c r="AA42" s="729">
        <f t="shared" si="79"/>
        <v>159047.50140392833</v>
      </c>
      <c r="AB42" s="729">
        <f>+SUM(AB23:AB41)</f>
        <v>3156596.882873693</v>
      </c>
      <c r="AC42" s="729">
        <f t="shared" ref="AC42:AD42" si="80">+SUM(AC23:AC41)</f>
        <v>381000</v>
      </c>
      <c r="AD42" s="731">
        <f t="shared" si="80"/>
        <v>5877000</v>
      </c>
      <c r="AF42" s="865" t="s">
        <v>88</v>
      </c>
      <c r="AG42" s="762">
        <f>+SUM(AG23:AG41)</f>
        <v>33</v>
      </c>
      <c r="AH42" s="762">
        <f t="shared" ref="AH42" si="81">+SUM(AH23:AH41)</f>
        <v>259</v>
      </c>
      <c r="AI42" s="763">
        <f>+SUM(AI23:AI41)</f>
        <v>363</v>
      </c>
      <c r="AJ42" s="764">
        <f t="shared" ref="AJ42:AK42" si="82">+SUM(AJ23:AJ41)</f>
        <v>0.76961130742049477</v>
      </c>
      <c r="AK42" s="762">
        <f t="shared" si="82"/>
        <v>159036.26249218031</v>
      </c>
      <c r="AL42" s="762">
        <f>+SUM(AL23:AL41)</f>
        <v>3121110.8132777596</v>
      </c>
      <c r="AM42" s="762">
        <f t="shared" ref="AM42:AN42" si="83">+SUM(AM23:AM41)</f>
        <v>381000</v>
      </c>
      <c r="AN42" s="765">
        <f t="shared" si="83"/>
        <v>5755000</v>
      </c>
      <c r="AO42" s="633"/>
      <c r="AP42" s="872" t="s">
        <v>88</v>
      </c>
      <c r="AQ42" s="798">
        <f>+SUM(AQ23:AQ41)</f>
        <v>33</v>
      </c>
      <c r="AR42" s="798">
        <f t="shared" ref="AR42" si="84">+SUM(AR23:AR41)</f>
        <v>256</v>
      </c>
      <c r="AS42" s="798">
        <f>+SUM(AS23:AS41)</f>
        <v>365</v>
      </c>
      <c r="AT42" s="799">
        <f t="shared" ref="AT42:AU42" si="85">+SUM(AT23:AT41)</f>
        <v>0.76959955463073737</v>
      </c>
      <c r="AU42" s="798">
        <f t="shared" si="85"/>
        <v>159036.16794708648</v>
      </c>
      <c r="AV42" s="798">
        <f>+SUM(AV23:AV41)</f>
        <v>3130633.8744978914</v>
      </c>
      <c r="AW42" s="798">
        <f t="shared" ref="AW42:AX42" si="86">+SUM(AW23:AW41)</f>
        <v>381000</v>
      </c>
      <c r="AX42" s="800">
        <f t="shared" si="86"/>
        <v>5986000</v>
      </c>
      <c r="AZ42" s="851" t="s">
        <v>88</v>
      </c>
      <c r="BA42" s="487">
        <f>+SUM(BA23:BA41)</f>
        <v>33</v>
      </c>
      <c r="BB42" s="487">
        <f t="shared" ref="BB42" si="87">+SUM(BB23:BB41)</f>
        <v>255.5</v>
      </c>
      <c r="BC42" s="487">
        <f>+SUM(BC23:BC41)</f>
        <v>362</v>
      </c>
      <c r="BD42" s="691">
        <f t="shared" ref="BD42:BE42" si="88">+SUM(BD23:BD41)</f>
        <v>0.77047717130106419</v>
      </c>
      <c r="BE42" s="487">
        <f t="shared" si="88"/>
        <v>159043.22791771404</v>
      </c>
      <c r="BF42" s="487">
        <f>+SUM(BF23:BF41)</f>
        <v>3113283.1855520522</v>
      </c>
      <c r="BG42" s="487">
        <f t="shared" ref="BG42:BH42" si="89">+SUM(BG23:BG41)</f>
        <v>381000</v>
      </c>
      <c r="BH42" s="692">
        <f t="shared" si="89"/>
        <v>5805000</v>
      </c>
      <c r="BJ42" s="858" t="s">
        <v>88</v>
      </c>
      <c r="BK42" s="729">
        <f>+SUM(BK23:BK41)</f>
        <v>33</v>
      </c>
      <c r="BL42" s="729">
        <f t="shared" ref="BL42" si="90">+SUM(BL23:BL41)</f>
        <v>258</v>
      </c>
      <c r="BM42" s="729">
        <f>+SUM(BM23:BM41)</f>
        <v>364</v>
      </c>
      <c r="BN42" s="730">
        <f t="shared" ref="BN42:BO42" si="91">+SUM(BN23:BN41)</f>
        <v>0.77050187777398427</v>
      </c>
      <c r="BO42" s="729">
        <f t="shared" si="91"/>
        <v>159043.42666846598</v>
      </c>
      <c r="BP42" s="729">
        <f>+SUM(BP23:BP41)</f>
        <v>3124901.5767368912</v>
      </c>
      <c r="BQ42" s="729">
        <f t="shared" ref="BQ42:BR42" si="92">+SUM(BQ23:BQ41)</f>
        <v>381000</v>
      </c>
      <c r="BR42" s="731">
        <f t="shared" si="92"/>
        <v>5814000</v>
      </c>
      <c r="BT42" s="865" t="s">
        <v>88</v>
      </c>
      <c r="BU42" s="762">
        <f>+SUM(BU23:BU41)</f>
        <v>33</v>
      </c>
      <c r="BV42" s="762">
        <f t="shared" ref="BV42" si="93">+SUM(BV23:BV41)</f>
        <v>257</v>
      </c>
      <c r="BW42" s="762">
        <f>+SUM(BW23:BW41)</f>
        <v>363</v>
      </c>
      <c r="BX42" s="764">
        <f t="shared" ref="BX42:BY42" si="94">+SUM(BX23:BX41)</f>
        <v>0.77057897326645408</v>
      </c>
      <c r="BY42" s="762">
        <f t="shared" si="94"/>
        <v>159044.04686169018</v>
      </c>
      <c r="BZ42" s="762">
        <f>+SUM(BZ23:BZ41)</f>
        <v>3114327.8192502423</v>
      </c>
      <c r="CA42" s="762">
        <f t="shared" ref="CA42:CB42" si="95">+SUM(CA23:CA41)</f>
        <v>381000</v>
      </c>
      <c r="CB42" s="765">
        <f t="shared" si="95"/>
        <v>5862000</v>
      </c>
      <c r="CD42" s="890" t="s">
        <v>88</v>
      </c>
      <c r="CE42" s="122">
        <f>+SUM(CE23:CE41)</f>
        <v>33</v>
      </c>
      <c r="CF42" s="122">
        <f t="shared" ref="CF42" si="96">+SUM(CF23:CF41)</f>
        <v>253</v>
      </c>
      <c r="CG42" s="122">
        <f>+SUM(CG23:CG41)</f>
        <v>361</v>
      </c>
      <c r="CH42" s="123">
        <f t="shared" ref="CH42:CI42" si="97">+SUM(CH23:CH41)</f>
        <v>0.76948825386949293</v>
      </c>
      <c r="CI42" s="122">
        <f t="shared" si="97"/>
        <v>159035.2725902276</v>
      </c>
      <c r="CJ42" s="122">
        <f>+SUM(CJ23:CJ41)</f>
        <v>3097014.9082921688</v>
      </c>
      <c r="CK42" s="122">
        <f t="shared" ref="CK42:CL42" si="98">+SUM(CK23:CK41)</f>
        <v>381000</v>
      </c>
      <c r="CL42" s="627">
        <f t="shared" si="98"/>
        <v>5882000</v>
      </c>
      <c r="CM42" s="633"/>
      <c r="CN42" s="851" t="s">
        <v>88</v>
      </c>
      <c r="CO42" s="487">
        <f>+SUM(CO23:CO41)</f>
        <v>33</v>
      </c>
      <c r="CP42" s="487">
        <f t="shared" ref="CP42" si="99">+SUM(CP23:CP41)</f>
        <v>259</v>
      </c>
      <c r="CQ42" s="487">
        <f>+SUM(CQ23:CQ41)</f>
        <v>360</v>
      </c>
      <c r="CR42" s="691">
        <f t="shared" ref="CR42:CS42" si="100">+SUM(CR23:CR41)</f>
        <v>0.76895692417230332</v>
      </c>
      <c r="CS42" s="487">
        <f t="shared" si="100"/>
        <v>159030.99831857509</v>
      </c>
      <c r="CT42" s="487">
        <f>+SUM(CT23:CT41)</f>
        <v>3109494.0389752709</v>
      </c>
      <c r="CU42" s="487">
        <f t="shared" ref="CU42:CV42" si="101">+SUM(CU23:CU41)</f>
        <v>381000</v>
      </c>
      <c r="CV42" s="692">
        <f t="shared" si="101"/>
        <v>5617000</v>
      </c>
      <c r="CX42" s="858" t="s">
        <v>88</v>
      </c>
      <c r="CY42" s="729">
        <f>+SUM(CY23:CY41)</f>
        <v>33</v>
      </c>
      <c r="CZ42" s="729">
        <f t="shared" ref="CZ42" si="102">+SUM(CZ23:CZ41)</f>
        <v>258</v>
      </c>
      <c r="DA42" s="729">
        <f>+SUM(DA23:DA41)</f>
        <v>362</v>
      </c>
      <c r="DB42" s="730">
        <f t="shared" ref="DB42:DC42" si="103">+SUM(DB23:DB41)</f>
        <v>0.76922103208192849</v>
      </c>
      <c r="DC42" s="729">
        <f t="shared" si="103"/>
        <v>159033.1229296354</v>
      </c>
      <c r="DD42" s="729">
        <f>+SUM(DD23:DD41)</f>
        <v>3115245.7718581189</v>
      </c>
      <c r="DE42" s="729">
        <f t="shared" ref="DE42:DF42" si="104">+SUM(DE23:DE41)</f>
        <v>381000</v>
      </c>
      <c r="DF42" s="831">
        <f t="shared" si="104"/>
        <v>5693000</v>
      </c>
      <c r="DH42" s="865" t="s">
        <v>88</v>
      </c>
      <c r="DI42" s="762">
        <f>+SUM(DI23:DI41)</f>
        <v>33</v>
      </c>
      <c r="DJ42" s="762">
        <f t="shared" ref="DJ42" si="105">+SUM(DJ23:DJ41)</f>
        <v>259.5</v>
      </c>
      <c r="DK42" s="762">
        <f>+SUM(DK23:DK41)</f>
        <v>362</v>
      </c>
      <c r="DL42" s="764">
        <f t="shared" ref="DL42:DM42" si="106">+SUM(DL23:DL41)</f>
        <v>0.77031249580423011</v>
      </c>
      <c r="DM42" s="762">
        <f t="shared" si="106"/>
        <v>159041.90318880905</v>
      </c>
      <c r="DN42" s="762">
        <f>+SUM(DN23:DN41)</f>
        <v>3114369.9835488917</v>
      </c>
      <c r="DO42" s="762">
        <f t="shared" ref="DO42:DP42" si="107">+SUM(DO23:DO41)</f>
        <v>381000</v>
      </c>
      <c r="DP42" s="828">
        <f t="shared" si="107"/>
        <v>5719000</v>
      </c>
    </row>
    <row r="43" spans="2:120" x14ac:dyDescent="0.25">
      <c r="B43" s="843"/>
      <c r="C43" s="650"/>
      <c r="D43" s="635"/>
      <c r="E43" s="635"/>
      <c r="F43" s="635"/>
      <c r="G43" s="635"/>
      <c r="H43" s="655"/>
      <c r="I43" s="635"/>
      <c r="J43" s="634"/>
      <c r="L43" s="850"/>
      <c r="M43" s="32"/>
      <c r="N43" s="673"/>
      <c r="O43" s="673"/>
      <c r="P43" s="673"/>
      <c r="Q43" s="673"/>
      <c r="R43" s="693"/>
      <c r="S43" s="673"/>
      <c r="T43" s="674"/>
      <c r="V43" s="861"/>
      <c r="W43" s="723"/>
      <c r="X43" s="708"/>
      <c r="Y43" s="708"/>
      <c r="Z43" s="708"/>
      <c r="AA43" s="708"/>
      <c r="AB43" s="732"/>
      <c r="AC43" s="708"/>
      <c r="AD43" s="709"/>
      <c r="AF43" s="868"/>
      <c r="AG43" s="758"/>
      <c r="AH43" s="745"/>
      <c r="AI43" s="745"/>
      <c r="AJ43" s="745"/>
      <c r="AK43" s="745"/>
      <c r="AL43" s="766"/>
      <c r="AM43" s="745"/>
      <c r="AN43" s="746"/>
      <c r="AP43" s="875"/>
      <c r="AQ43" s="792"/>
      <c r="AR43" s="779"/>
      <c r="AS43" s="779"/>
      <c r="AT43" s="779"/>
      <c r="AU43" s="779"/>
      <c r="AV43" s="801"/>
      <c r="AW43" s="779"/>
      <c r="AX43" s="778"/>
      <c r="AZ43" s="882"/>
      <c r="BA43" s="32"/>
      <c r="BB43" s="673"/>
      <c r="BC43" s="673"/>
      <c r="BD43" s="673"/>
      <c r="BE43" s="673"/>
      <c r="BF43" s="693"/>
      <c r="BG43" s="673"/>
      <c r="BH43" s="674"/>
      <c r="BJ43" s="861"/>
      <c r="BK43" s="723"/>
      <c r="BL43" s="708"/>
      <c r="BM43" s="708"/>
      <c r="BN43" s="708"/>
      <c r="BO43" s="708"/>
      <c r="BP43" s="732"/>
      <c r="BQ43" s="708"/>
      <c r="BR43" s="709"/>
      <c r="BT43" s="868"/>
      <c r="BU43" s="758"/>
      <c r="BV43" s="745"/>
      <c r="BW43" s="745"/>
      <c r="BX43" s="745"/>
      <c r="BY43" s="745"/>
      <c r="BZ43" s="766"/>
      <c r="CA43" s="745"/>
      <c r="CB43" s="746"/>
      <c r="CD43" s="892"/>
      <c r="CE43" s="624"/>
      <c r="CF43" s="68"/>
      <c r="CG43" s="68"/>
      <c r="CH43" s="68"/>
      <c r="CI43" s="68"/>
      <c r="CJ43" s="628"/>
      <c r="CK43" s="68"/>
      <c r="CL43" s="619"/>
      <c r="CN43" s="882"/>
      <c r="CO43" s="32"/>
      <c r="CP43" s="673"/>
      <c r="CQ43" s="673"/>
      <c r="CR43" s="673"/>
      <c r="CS43" s="673"/>
      <c r="CT43" s="693"/>
      <c r="CU43" s="673"/>
      <c r="CV43" s="674"/>
      <c r="CX43" s="861"/>
      <c r="CY43" s="723"/>
      <c r="CZ43" s="708"/>
      <c r="DA43" s="708"/>
      <c r="DB43" s="708"/>
      <c r="DC43" s="708"/>
      <c r="DD43" s="732"/>
      <c r="DE43" s="708"/>
      <c r="DF43" s="709"/>
      <c r="DH43" s="868"/>
      <c r="DI43" s="758"/>
      <c r="DJ43" s="745"/>
      <c r="DK43" s="745"/>
      <c r="DL43" s="745"/>
      <c r="DM43" s="745"/>
      <c r="DN43" s="766"/>
      <c r="DO43" s="745"/>
      <c r="DP43" s="746"/>
    </row>
    <row r="44" spans="2:120" x14ac:dyDescent="0.25">
      <c r="B44" s="1639" t="s">
        <v>240</v>
      </c>
      <c r="C44" s="1640"/>
      <c r="D44" s="1640"/>
      <c r="E44" s="1640"/>
      <c r="F44" s="1640"/>
      <c r="G44" s="1641"/>
      <c r="H44" s="656"/>
      <c r="I44" s="635"/>
      <c r="J44" s="634"/>
      <c r="L44" s="1601" t="s">
        <v>240</v>
      </c>
      <c r="M44" s="1602"/>
      <c r="N44" s="1602"/>
      <c r="O44" s="1602"/>
      <c r="P44" s="1602"/>
      <c r="Q44" s="1603"/>
      <c r="R44" s="694"/>
      <c r="S44" s="673"/>
      <c r="T44" s="674"/>
      <c r="V44" s="1592" t="s">
        <v>240</v>
      </c>
      <c r="W44" s="1593"/>
      <c r="X44" s="1593"/>
      <c r="Y44" s="1593"/>
      <c r="Z44" s="1593"/>
      <c r="AA44" s="1594"/>
      <c r="AB44" s="733"/>
      <c r="AC44" s="708"/>
      <c r="AD44" s="709"/>
      <c r="AF44" s="1595" t="s">
        <v>240</v>
      </c>
      <c r="AG44" s="1596"/>
      <c r="AH44" s="1596"/>
      <c r="AI44" s="1596"/>
      <c r="AJ44" s="1596"/>
      <c r="AK44" s="1597"/>
      <c r="AL44" s="767"/>
      <c r="AM44" s="745"/>
      <c r="AN44" s="746"/>
      <c r="AP44" s="1619" t="s">
        <v>240</v>
      </c>
      <c r="AQ44" s="1620"/>
      <c r="AR44" s="1620"/>
      <c r="AS44" s="1620"/>
      <c r="AT44" s="1620"/>
      <c r="AU44" s="1621"/>
      <c r="AV44" s="802"/>
      <c r="AW44" s="779"/>
      <c r="AX44" s="778"/>
      <c r="AZ44" s="1601" t="s">
        <v>240</v>
      </c>
      <c r="BA44" s="1602"/>
      <c r="BB44" s="1602"/>
      <c r="BC44" s="1602"/>
      <c r="BD44" s="1602"/>
      <c r="BE44" s="1603"/>
      <c r="BF44" s="694"/>
      <c r="BG44" s="673"/>
      <c r="BH44" s="674"/>
      <c r="BJ44" s="1592" t="s">
        <v>240</v>
      </c>
      <c r="BK44" s="1593"/>
      <c r="BL44" s="1593"/>
      <c r="BM44" s="1593"/>
      <c r="BN44" s="1593"/>
      <c r="BO44" s="1594"/>
      <c r="BP44" s="733"/>
      <c r="BQ44" s="708"/>
      <c r="BR44" s="709"/>
      <c r="BT44" s="1595" t="s">
        <v>240</v>
      </c>
      <c r="BU44" s="1596"/>
      <c r="BV44" s="1596"/>
      <c r="BW44" s="1596"/>
      <c r="BX44" s="1596"/>
      <c r="BY44" s="1597"/>
      <c r="BZ44" s="767"/>
      <c r="CA44" s="745"/>
      <c r="CB44" s="746"/>
      <c r="CD44" s="1598" t="s">
        <v>240</v>
      </c>
      <c r="CE44" s="1599"/>
      <c r="CF44" s="1599"/>
      <c r="CG44" s="1599"/>
      <c r="CH44" s="1599"/>
      <c r="CI44" s="1600"/>
      <c r="CJ44" s="629"/>
      <c r="CK44" s="68"/>
      <c r="CL44" s="619"/>
      <c r="CN44" s="1601" t="s">
        <v>240</v>
      </c>
      <c r="CO44" s="1602"/>
      <c r="CP44" s="1602"/>
      <c r="CQ44" s="1602"/>
      <c r="CR44" s="1602"/>
      <c r="CS44" s="1603"/>
      <c r="CT44" s="694"/>
      <c r="CU44" s="673"/>
      <c r="CV44" s="674"/>
      <c r="CX44" s="1592" t="s">
        <v>240</v>
      </c>
      <c r="CY44" s="1593"/>
      <c r="CZ44" s="1593"/>
      <c r="DA44" s="1593"/>
      <c r="DB44" s="1593"/>
      <c r="DC44" s="1594"/>
      <c r="DD44" s="733"/>
      <c r="DE44" s="708"/>
      <c r="DF44" s="709"/>
      <c r="DH44" s="1595" t="s">
        <v>240</v>
      </c>
      <c r="DI44" s="1596"/>
      <c r="DJ44" s="1596"/>
      <c r="DK44" s="1596"/>
      <c r="DL44" s="1596"/>
      <c r="DM44" s="1597"/>
      <c r="DN44" s="767"/>
      <c r="DO44" s="745"/>
      <c r="DP44" s="746"/>
    </row>
    <row r="45" spans="2:120" x14ac:dyDescent="0.25">
      <c r="B45" s="846" t="s">
        <v>241</v>
      </c>
      <c r="C45" s="403" t="s">
        <v>326</v>
      </c>
      <c r="D45" s="406" t="s">
        <v>222</v>
      </c>
      <c r="E45" s="406" t="s">
        <v>241</v>
      </c>
      <c r="F45" s="406" t="s">
        <v>327</v>
      </c>
      <c r="G45" s="406" t="s">
        <v>222</v>
      </c>
      <c r="H45" s="635"/>
      <c r="I45" s="635"/>
      <c r="J45" s="634"/>
      <c r="L45" s="851" t="s">
        <v>241</v>
      </c>
      <c r="M45" s="100" t="s">
        <v>326</v>
      </c>
      <c r="N45" s="219" t="s">
        <v>222</v>
      </c>
      <c r="O45" s="219" t="s">
        <v>241</v>
      </c>
      <c r="P45" s="219" t="s">
        <v>327</v>
      </c>
      <c r="Q45" s="219" t="s">
        <v>222</v>
      </c>
      <c r="R45" s="673"/>
      <c r="S45" s="673"/>
      <c r="T45" s="674"/>
      <c r="V45" s="858" t="s">
        <v>241</v>
      </c>
      <c r="W45" s="421" t="s">
        <v>326</v>
      </c>
      <c r="X45" s="416" t="s">
        <v>222</v>
      </c>
      <c r="Y45" s="416" t="s">
        <v>241</v>
      </c>
      <c r="Z45" s="416" t="s">
        <v>327</v>
      </c>
      <c r="AA45" s="416" t="s">
        <v>222</v>
      </c>
      <c r="AB45" s="708"/>
      <c r="AC45" s="708"/>
      <c r="AD45" s="709"/>
      <c r="AF45" s="865" t="s">
        <v>241</v>
      </c>
      <c r="AG45" s="25" t="s">
        <v>326</v>
      </c>
      <c r="AH45" s="221" t="s">
        <v>222</v>
      </c>
      <c r="AI45" s="221" t="s">
        <v>241</v>
      </c>
      <c r="AJ45" s="221" t="s">
        <v>327</v>
      </c>
      <c r="AK45" s="221" t="s">
        <v>222</v>
      </c>
      <c r="AL45" s="745"/>
      <c r="AM45" s="745"/>
      <c r="AN45" s="746"/>
      <c r="AP45" s="872" t="s">
        <v>241</v>
      </c>
      <c r="AQ45" s="213" t="s">
        <v>326</v>
      </c>
      <c r="AR45" s="216" t="s">
        <v>222</v>
      </c>
      <c r="AS45" s="216" t="s">
        <v>241</v>
      </c>
      <c r="AT45" s="216" t="s">
        <v>327</v>
      </c>
      <c r="AU45" s="216" t="s">
        <v>222</v>
      </c>
      <c r="AV45" s="779"/>
      <c r="AW45" s="779"/>
      <c r="AX45" s="778"/>
      <c r="AZ45" s="851" t="s">
        <v>241</v>
      </c>
      <c r="BA45" s="100" t="s">
        <v>326</v>
      </c>
      <c r="BB45" s="219" t="s">
        <v>222</v>
      </c>
      <c r="BC45" s="219" t="s">
        <v>241</v>
      </c>
      <c r="BD45" s="219" t="s">
        <v>327</v>
      </c>
      <c r="BE45" s="219" t="s">
        <v>222</v>
      </c>
      <c r="BF45" s="673"/>
      <c r="BG45" s="673"/>
      <c r="BH45" s="674"/>
      <c r="BJ45" s="858" t="s">
        <v>241</v>
      </c>
      <c r="BK45" s="421" t="s">
        <v>326</v>
      </c>
      <c r="BL45" s="416" t="s">
        <v>222</v>
      </c>
      <c r="BM45" s="416" t="s">
        <v>241</v>
      </c>
      <c r="BN45" s="416" t="s">
        <v>327</v>
      </c>
      <c r="BO45" s="416" t="s">
        <v>222</v>
      </c>
      <c r="BP45" s="708"/>
      <c r="BQ45" s="708"/>
      <c r="BR45" s="709"/>
      <c r="BT45" s="865" t="s">
        <v>241</v>
      </c>
      <c r="BU45" s="25" t="s">
        <v>326</v>
      </c>
      <c r="BV45" s="221" t="s">
        <v>222</v>
      </c>
      <c r="BW45" s="221" t="s">
        <v>241</v>
      </c>
      <c r="BX45" s="221" t="s">
        <v>327</v>
      </c>
      <c r="BY45" s="221" t="s">
        <v>222</v>
      </c>
      <c r="BZ45" s="745"/>
      <c r="CA45" s="745"/>
      <c r="CB45" s="746"/>
      <c r="CD45" s="890" t="s">
        <v>241</v>
      </c>
      <c r="CE45" s="225" t="s">
        <v>326</v>
      </c>
      <c r="CF45" s="107" t="s">
        <v>222</v>
      </c>
      <c r="CG45" s="107" t="s">
        <v>241</v>
      </c>
      <c r="CH45" s="107" t="s">
        <v>327</v>
      </c>
      <c r="CI45" s="107" t="s">
        <v>222</v>
      </c>
      <c r="CJ45" s="68"/>
      <c r="CK45" s="68"/>
      <c r="CL45" s="619"/>
      <c r="CN45" s="851" t="s">
        <v>241</v>
      </c>
      <c r="CO45" s="100" t="s">
        <v>326</v>
      </c>
      <c r="CP45" s="219" t="s">
        <v>222</v>
      </c>
      <c r="CQ45" s="219" t="s">
        <v>241</v>
      </c>
      <c r="CR45" s="219" t="s">
        <v>327</v>
      </c>
      <c r="CS45" s="219" t="s">
        <v>222</v>
      </c>
      <c r="CT45" s="673"/>
      <c r="CU45" s="673"/>
      <c r="CV45" s="674"/>
      <c r="CX45" s="858" t="s">
        <v>241</v>
      </c>
      <c r="CY45" s="421" t="s">
        <v>326</v>
      </c>
      <c r="CZ45" s="416" t="s">
        <v>222</v>
      </c>
      <c r="DA45" s="416" t="s">
        <v>241</v>
      </c>
      <c r="DB45" s="416" t="s">
        <v>327</v>
      </c>
      <c r="DC45" s="416" t="s">
        <v>222</v>
      </c>
      <c r="DD45" s="708"/>
      <c r="DE45" s="708"/>
      <c r="DF45" s="709"/>
      <c r="DH45" s="865" t="s">
        <v>241</v>
      </c>
      <c r="DI45" s="25" t="s">
        <v>326</v>
      </c>
      <c r="DJ45" s="221" t="s">
        <v>222</v>
      </c>
      <c r="DK45" s="221" t="s">
        <v>241</v>
      </c>
      <c r="DL45" s="221" t="s">
        <v>327</v>
      </c>
      <c r="DM45" s="221" t="s">
        <v>222</v>
      </c>
      <c r="DN45" s="745"/>
      <c r="DO45" s="745"/>
      <c r="DP45" s="746"/>
    </row>
    <row r="46" spans="2:120" ht="30" x14ac:dyDescent="0.25">
      <c r="B46" s="847" t="s">
        <v>236</v>
      </c>
      <c r="C46" s="642">
        <f>+C17</f>
        <v>96.708952829512782</v>
      </c>
      <c r="D46" s="640">
        <v>170000</v>
      </c>
      <c r="E46" s="637" t="s">
        <v>87</v>
      </c>
      <c r="F46" s="637">
        <v>1</v>
      </c>
      <c r="G46" s="640">
        <v>30000</v>
      </c>
      <c r="H46" s="635"/>
      <c r="I46" s="635"/>
      <c r="J46" s="634"/>
      <c r="L46" s="854" t="s">
        <v>236</v>
      </c>
      <c r="M46" s="681">
        <f>+M17</f>
        <v>95.504378787417565</v>
      </c>
      <c r="N46" s="214">
        <v>175000</v>
      </c>
      <c r="O46" s="676" t="s">
        <v>87</v>
      </c>
      <c r="P46" s="676">
        <v>1</v>
      </c>
      <c r="Q46" s="679">
        <v>30000</v>
      </c>
      <c r="R46" s="673"/>
      <c r="S46" s="673"/>
      <c r="T46" s="674"/>
      <c r="V46" s="860" t="s">
        <v>236</v>
      </c>
      <c r="W46" s="715">
        <f>+W17</f>
        <v>95.2</v>
      </c>
      <c r="X46" s="355">
        <v>180000</v>
      </c>
      <c r="Y46" s="415" t="s">
        <v>87</v>
      </c>
      <c r="Z46" s="415">
        <v>1</v>
      </c>
      <c r="AA46" s="713">
        <v>30000</v>
      </c>
      <c r="AB46" s="708"/>
      <c r="AC46" s="708"/>
      <c r="AD46" s="709"/>
      <c r="AF46" s="866" t="s">
        <v>236</v>
      </c>
      <c r="AG46" s="750">
        <f>+AG17</f>
        <v>94.333333333333343</v>
      </c>
      <c r="AH46" s="748">
        <v>180000</v>
      </c>
      <c r="AI46" s="136" t="s">
        <v>87</v>
      </c>
      <c r="AJ46" s="136">
        <v>1</v>
      </c>
      <c r="AK46" s="217">
        <v>30000</v>
      </c>
      <c r="AL46" s="745"/>
      <c r="AM46" s="745"/>
      <c r="AN46" s="746"/>
      <c r="AP46" s="874" t="s">
        <v>236</v>
      </c>
      <c r="AQ46" s="784">
        <f>+AQ17</f>
        <v>94.854524746998152</v>
      </c>
      <c r="AR46" s="789">
        <v>190000</v>
      </c>
      <c r="AS46" s="780" t="s">
        <v>87</v>
      </c>
      <c r="AT46" s="780">
        <v>1</v>
      </c>
      <c r="AU46" s="782">
        <v>30000</v>
      </c>
      <c r="AV46" s="779"/>
      <c r="AW46" s="779"/>
      <c r="AX46" s="778"/>
      <c r="AZ46" s="854" t="s">
        <v>236</v>
      </c>
      <c r="BA46" s="681">
        <f>+BA17</f>
        <v>93.967741935483872</v>
      </c>
      <c r="BB46" s="214">
        <v>185000</v>
      </c>
      <c r="BC46" s="676" t="s">
        <v>87</v>
      </c>
      <c r="BD46" s="676">
        <v>1</v>
      </c>
      <c r="BE46" s="214">
        <v>30000</v>
      </c>
      <c r="BF46" s="673"/>
      <c r="BG46" s="673"/>
      <c r="BH46" s="674"/>
      <c r="BJ46" s="860" t="s">
        <v>236</v>
      </c>
      <c r="BK46" s="715">
        <f>+BK17</f>
        <v>94.48387096774195</v>
      </c>
      <c r="BL46" s="355">
        <v>180000</v>
      </c>
      <c r="BM46" s="415" t="s">
        <v>87</v>
      </c>
      <c r="BN46" s="415">
        <v>1</v>
      </c>
      <c r="BO46" s="355">
        <v>30000</v>
      </c>
      <c r="BP46" s="708"/>
      <c r="BQ46" s="708"/>
      <c r="BR46" s="709"/>
      <c r="BT46" s="866" t="s">
        <v>236</v>
      </c>
      <c r="BU46" s="750">
        <f>+BU17</f>
        <v>94.214872866633584</v>
      </c>
      <c r="BV46" s="217">
        <v>180000</v>
      </c>
      <c r="BW46" s="136" t="s">
        <v>87</v>
      </c>
      <c r="BX46" s="136">
        <v>1</v>
      </c>
      <c r="BY46" s="217">
        <v>30000</v>
      </c>
      <c r="BZ46" s="745"/>
      <c r="CA46" s="745"/>
      <c r="CB46" s="746"/>
      <c r="CD46" s="891" t="s">
        <v>236</v>
      </c>
      <c r="CE46" s="111">
        <f>+CE17</f>
        <v>93.828592752301191</v>
      </c>
      <c r="CF46" s="110">
        <v>180000</v>
      </c>
      <c r="CG46" s="108" t="s">
        <v>87</v>
      </c>
      <c r="CH46" s="108">
        <v>1</v>
      </c>
      <c r="CI46" s="117">
        <v>30000</v>
      </c>
      <c r="CJ46" s="68"/>
      <c r="CK46" s="68"/>
      <c r="CL46" s="619"/>
      <c r="CN46" s="854" t="s">
        <v>236</v>
      </c>
      <c r="CO46" s="681">
        <f>+CO17</f>
        <v>93.63333333333334</v>
      </c>
      <c r="CP46" s="214">
        <v>180000</v>
      </c>
      <c r="CQ46" s="676" t="s">
        <v>87</v>
      </c>
      <c r="CR46" s="676">
        <v>1</v>
      </c>
      <c r="CS46" s="214">
        <v>30000</v>
      </c>
      <c r="CT46" s="673"/>
      <c r="CU46" s="673"/>
      <c r="CV46" s="674"/>
      <c r="CX46" s="860" t="s">
        <v>236</v>
      </c>
      <c r="CY46" s="715">
        <f>+CY17</f>
        <v>94.121191413664818</v>
      </c>
      <c r="CZ46" s="355">
        <v>180000</v>
      </c>
      <c r="DA46" s="415" t="s">
        <v>87</v>
      </c>
      <c r="DB46" s="415">
        <v>1</v>
      </c>
      <c r="DC46" s="355">
        <v>30000</v>
      </c>
      <c r="DD46" s="708"/>
      <c r="DE46" s="708"/>
      <c r="DF46" s="709"/>
      <c r="DH46" s="866" t="s">
        <v>236</v>
      </c>
      <c r="DI46" s="750">
        <f>+DI17</f>
        <v>93.987830126541255</v>
      </c>
      <c r="DJ46" s="217">
        <v>180000</v>
      </c>
      <c r="DK46" s="136" t="s">
        <v>87</v>
      </c>
      <c r="DL46" s="136">
        <v>1</v>
      </c>
      <c r="DM46" s="748">
        <v>30000</v>
      </c>
      <c r="DN46" s="745"/>
      <c r="DO46" s="745"/>
      <c r="DP46" s="746"/>
    </row>
    <row r="47" spans="2:120" x14ac:dyDescent="0.25">
      <c r="B47" s="657" t="s">
        <v>400</v>
      </c>
      <c r="C47" s="658"/>
      <c r="D47" s="659"/>
      <c r="E47" s="1637">
        <f>+D46+G46</f>
        <v>200000</v>
      </c>
      <c r="F47" s="1637"/>
      <c r="G47" s="1637"/>
      <c r="H47" s="635"/>
      <c r="I47" s="635"/>
      <c r="J47" s="634"/>
      <c r="L47" s="853" t="s">
        <v>400</v>
      </c>
      <c r="M47" s="695"/>
      <c r="N47" s="696"/>
      <c r="O47" s="1585">
        <f>+N46+Q46</f>
        <v>205000</v>
      </c>
      <c r="P47" s="1586"/>
      <c r="Q47" s="1586"/>
      <c r="R47" s="673"/>
      <c r="S47" s="673"/>
      <c r="T47" s="674"/>
      <c r="V47" s="858" t="s">
        <v>400</v>
      </c>
      <c r="W47" s="734"/>
      <c r="X47" s="735"/>
      <c r="Y47" s="1578">
        <f>+X46+AA46</f>
        <v>210000</v>
      </c>
      <c r="Z47" s="1579"/>
      <c r="AA47" s="1579"/>
      <c r="AB47" s="708"/>
      <c r="AC47" s="708"/>
      <c r="AD47" s="709"/>
      <c r="AF47" s="865" t="s">
        <v>400</v>
      </c>
      <c r="AG47" s="426"/>
      <c r="AH47" s="430"/>
      <c r="AI47" s="1581">
        <f>+AH46+AK46</f>
        <v>210000</v>
      </c>
      <c r="AJ47" s="1582"/>
      <c r="AK47" s="1582"/>
      <c r="AL47" s="745"/>
      <c r="AM47" s="745"/>
      <c r="AN47" s="746"/>
      <c r="AP47" s="872" t="s">
        <v>400</v>
      </c>
      <c r="AQ47" s="803"/>
      <c r="AR47" s="804"/>
      <c r="AS47" s="1622">
        <f>+AR46+AU46</f>
        <v>220000</v>
      </c>
      <c r="AT47" s="1623"/>
      <c r="AU47" s="1623"/>
      <c r="AV47" s="779"/>
      <c r="AW47" s="779"/>
      <c r="AX47" s="778"/>
      <c r="AZ47" s="851" t="s">
        <v>400</v>
      </c>
      <c r="BA47" s="695"/>
      <c r="BB47" s="696"/>
      <c r="BC47" s="1585">
        <f>+BB46+BE46</f>
        <v>215000</v>
      </c>
      <c r="BD47" s="1586"/>
      <c r="BE47" s="1586"/>
      <c r="BF47" s="673"/>
      <c r="BG47" s="673"/>
      <c r="BH47" s="674"/>
      <c r="BJ47" s="858" t="s">
        <v>400</v>
      </c>
      <c r="BK47" s="734"/>
      <c r="BL47" s="735"/>
      <c r="BM47" s="1578">
        <f>+BL46+BO46</f>
        <v>210000</v>
      </c>
      <c r="BN47" s="1579"/>
      <c r="BO47" s="1579"/>
      <c r="BP47" s="708"/>
      <c r="BQ47" s="708"/>
      <c r="BR47" s="709"/>
      <c r="BT47" s="865" t="s">
        <v>400</v>
      </c>
      <c r="BU47" s="426"/>
      <c r="BV47" s="430"/>
      <c r="BW47" s="1581">
        <f>+BV46+BY46</f>
        <v>210000</v>
      </c>
      <c r="BX47" s="1582"/>
      <c r="BY47" s="1582"/>
      <c r="BZ47" s="745"/>
      <c r="CA47" s="745"/>
      <c r="CB47" s="746"/>
      <c r="CD47" s="890" t="s">
        <v>400</v>
      </c>
      <c r="CE47" s="121"/>
      <c r="CF47" s="124"/>
      <c r="CG47" s="1583">
        <f>+CF46+CI46</f>
        <v>210000</v>
      </c>
      <c r="CH47" s="1584"/>
      <c r="CI47" s="1584"/>
      <c r="CJ47" s="68"/>
      <c r="CK47" s="68"/>
      <c r="CL47" s="619"/>
      <c r="CN47" s="851" t="s">
        <v>400</v>
      </c>
      <c r="CO47" s="695"/>
      <c r="CP47" s="696"/>
      <c r="CQ47" s="1585">
        <f>+CP46+CS46</f>
        <v>210000</v>
      </c>
      <c r="CR47" s="1586"/>
      <c r="CS47" s="1586"/>
      <c r="CT47" s="673"/>
      <c r="CU47" s="673"/>
      <c r="CV47" s="674"/>
      <c r="CX47" s="858" t="s">
        <v>400</v>
      </c>
      <c r="CY47" s="734"/>
      <c r="CZ47" s="735"/>
      <c r="DA47" s="1578">
        <f>+CZ46+DC46</f>
        <v>210000</v>
      </c>
      <c r="DB47" s="1579"/>
      <c r="DC47" s="1579"/>
      <c r="DD47" s="708"/>
      <c r="DE47" s="708"/>
      <c r="DF47" s="709"/>
      <c r="DH47" s="865" t="s">
        <v>400</v>
      </c>
      <c r="DI47" s="426"/>
      <c r="DJ47" s="430"/>
      <c r="DK47" s="1580">
        <f>+DJ46+DM46</f>
        <v>210000</v>
      </c>
      <c r="DL47" s="1580"/>
      <c r="DM47" s="1580"/>
      <c r="DN47" s="745"/>
      <c r="DO47" s="745"/>
      <c r="DP47" s="746"/>
    </row>
    <row r="48" spans="2:120" x14ac:dyDescent="0.25">
      <c r="B48" s="843"/>
      <c r="C48" s="650"/>
      <c r="D48" s="635"/>
      <c r="E48" s="635"/>
      <c r="F48" s="635"/>
      <c r="G48" s="635"/>
      <c r="H48" s="635"/>
      <c r="I48" s="635"/>
      <c r="J48" s="634"/>
      <c r="L48" s="850"/>
      <c r="M48" s="32"/>
      <c r="N48" s="673"/>
      <c r="O48" s="673"/>
      <c r="P48" s="673"/>
      <c r="Q48" s="673"/>
      <c r="R48" s="673"/>
      <c r="S48" s="673"/>
      <c r="T48" s="674"/>
      <c r="V48" s="861"/>
      <c r="W48" s="723"/>
      <c r="X48" s="708"/>
      <c r="Y48" s="708"/>
      <c r="Z48" s="708"/>
      <c r="AA48" s="708"/>
      <c r="AB48" s="708"/>
      <c r="AC48" s="708"/>
      <c r="AD48" s="709"/>
      <c r="AF48" s="868"/>
      <c r="AG48" s="758"/>
      <c r="AH48" s="745"/>
      <c r="AI48" s="745"/>
      <c r="AJ48" s="745"/>
      <c r="AK48" s="745"/>
      <c r="AL48" s="745"/>
      <c r="AM48" s="745"/>
      <c r="AN48" s="746"/>
      <c r="AP48" s="875"/>
      <c r="AQ48" s="792"/>
      <c r="AR48" s="779"/>
      <c r="AS48" s="779"/>
      <c r="AT48" s="779"/>
      <c r="AU48" s="779"/>
      <c r="AV48" s="779"/>
      <c r="AW48" s="779"/>
      <c r="AX48" s="778"/>
      <c r="AZ48" s="882"/>
      <c r="BA48" s="32"/>
      <c r="BB48" s="673"/>
      <c r="BC48" s="673"/>
      <c r="BD48" s="673"/>
      <c r="BE48" s="673"/>
      <c r="BF48" s="673"/>
      <c r="BG48" s="673"/>
      <c r="BH48" s="674"/>
      <c r="BJ48" s="861"/>
      <c r="BK48" s="723"/>
      <c r="BL48" s="708"/>
      <c r="BM48" s="708"/>
      <c r="BN48" s="708"/>
      <c r="BO48" s="708"/>
      <c r="BP48" s="708"/>
      <c r="BQ48" s="708"/>
      <c r="BR48" s="709"/>
      <c r="BT48" s="868"/>
      <c r="BU48" s="758"/>
      <c r="BV48" s="745"/>
      <c r="BW48" s="745"/>
      <c r="BX48" s="745"/>
      <c r="BY48" s="745"/>
      <c r="BZ48" s="745"/>
      <c r="CA48" s="745"/>
      <c r="CB48" s="746"/>
      <c r="CD48" s="892"/>
      <c r="CE48" s="624"/>
      <c r="CF48" s="68"/>
      <c r="CG48" s="68"/>
      <c r="CH48" s="68"/>
      <c r="CI48" s="68"/>
      <c r="CJ48" s="68"/>
      <c r="CK48" s="68"/>
      <c r="CL48" s="619"/>
      <c r="CN48" s="882"/>
      <c r="CO48" s="32"/>
      <c r="CP48" s="673"/>
      <c r="CQ48" s="673"/>
      <c r="CR48" s="673"/>
      <c r="CS48" s="673"/>
      <c r="CT48" s="673"/>
      <c r="CU48" s="673"/>
      <c r="CV48" s="674"/>
      <c r="CX48" s="861"/>
      <c r="CY48" s="723"/>
      <c r="CZ48" s="708"/>
      <c r="DA48" s="708"/>
      <c r="DB48" s="708"/>
      <c r="DC48" s="708"/>
      <c r="DD48" s="708"/>
      <c r="DE48" s="708"/>
      <c r="DF48" s="709"/>
      <c r="DH48" s="868"/>
      <c r="DI48" s="758"/>
      <c r="DJ48" s="745"/>
      <c r="DK48" s="745"/>
      <c r="DL48" s="745"/>
      <c r="DM48" s="745"/>
      <c r="DN48" s="745"/>
      <c r="DO48" s="745"/>
      <c r="DP48" s="746"/>
    </row>
    <row r="49" spans="2:120" x14ac:dyDescent="0.25">
      <c r="B49" s="843"/>
      <c r="C49" s="650"/>
      <c r="D49" s="635"/>
      <c r="E49" s="635"/>
      <c r="F49" s="635"/>
      <c r="G49" s="649"/>
      <c r="H49" s="635"/>
      <c r="I49" s="635"/>
      <c r="J49" s="634"/>
      <c r="L49" s="850"/>
      <c r="M49" s="32"/>
      <c r="N49" s="673"/>
      <c r="O49" s="673"/>
      <c r="P49" s="673"/>
      <c r="Q49" s="687"/>
      <c r="R49" s="673"/>
      <c r="S49" s="673"/>
      <c r="T49" s="674"/>
      <c r="V49" s="861"/>
      <c r="W49" s="723"/>
      <c r="X49" s="708"/>
      <c r="Y49" s="708"/>
      <c r="Z49" s="708"/>
      <c r="AA49" s="721"/>
      <c r="AB49" s="708"/>
      <c r="AC49" s="708"/>
      <c r="AD49" s="709"/>
      <c r="AF49" s="868"/>
      <c r="AG49" s="758"/>
      <c r="AH49" s="745"/>
      <c r="AI49" s="745"/>
      <c r="AJ49" s="745"/>
      <c r="AK49" s="756"/>
      <c r="AL49" s="745"/>
      <c r="AM49" s="745"/>
      <c r="AN49" s="746"/>
      <c r="AP49" s="875"/>
      <c r="AQ49" s="792"/>
      <c r="AR49" s="779"/>
      <c r="AS49" s="779"/>
      <c r="AT49" s="779"/>
      <c r="AU49" s="791"/>
      <c r="AV49" s="779"/>
      <c r="AW49" s="779"/>
      <c r="AX49" s="778"/>
      <c r="AZ49" s="882"/>
      <c r="BA49" s="32"/>
      <c r="BB49" s="673"/>
      <c r="BC49" s="673"/>
      <c r="BD49" s="673"/>
      <c r="BE49" s="687"/>
      <c r="BF49" s="673"/>
      <c r="BG49" s="673"/>
      <c r="BH49" s="674"/>
      <c r="BJ49" s="861"/>
      <c r="BK49" s="723"/>
      <c r="BL49" s="708"/>
      <c r="BM49" s="708"/>
      <c r="BN49" s="708"/>
      <c r="BO49" s="721"/>
      <c r="BP49" s="708"/>
      <c r="BQ49" s="708"/>
      <c r="BR49" s="709"/>
      <c r="BT49" s="868"/>
      <c r="BU49" s="758"/>
      <c r="BV49" s="745"/>
      <c r="BW49" s="745"/>
      <c r="BX49" s="745"/>
      <c r="BY49" s="756"/>
      <c r="BZ49" s="745"/>
      <c r="CA49" s="745"/>
      <c r="CB49" s="746"/>
      <c r="CD49" s="892"/>
      <c r="CE49" s="624"/>
      <c r="CF49" s="68"/>
      <c r="CG49" s="68"/>
      <c r="CH49" s="68"/>
      <c r="CI49" s="622"/>
      <c r="CJ49" s="68"/>
      <c r="CK49" s="68"/>
      <c r="CL49" s="619"/>
      <c r="CN49" s="882"/>
      <c r="CO49" s="32"/>
      <c r="CP49" s="673"/>
      <c r="CQ49" s="673"/>
      <c r="CR49" s="673"/>
      <c r="CS49" s="687"/>
      <c r="CT49" s="673"/>
      <c r="CU49" s="673"/>
      <c r="CV49" s="674"/>
      <c r="CX49" s="861"/>
      <c r="CY49" s="723"/>
      <c r="CZ49" s="708"/>
      <c r="DA49" s="708"/>
      <c r="DB49" s="708"/>
      <c r="DC49" s="721"/>
      <c r="DD49" s="708"/>
      <c r="DE49" s="708"/>
      <c r="DF49" s="709"/>
      <c r="DH49" s="868"/>
      <c r="DI49" s="758"/>
      <c r="DJ49" s="745"/>
      <c r="DK49" s="745"/>
      <c r="DL49" s="745"/>
      <c r="DM49" s="756"/>
      <c r="DN49" s="745"/>
      <c r="DO49" s="745"/>
      <c r="DP49" s="746"/>
    </row>
    <row r="50" spans="2:120" ht="18" customHeight="1" x14ac:dyDescent="0.25">
      <c r="B50" s="1631" t="s">
        <v>433</v>
      </c>
      <c r="C50" s="1631"/>
      <c r="D50" s="1631"/>
      <c r="E50" s="1631"/>
      <c r="F50" s="635"/>
      <c r="G50" s="635"/>
      <c r="H50" s="635"/>
      <c r="I50" s="635"/>
      <c r="J50" s="634"/>
      <c r="L50" s="1586" t="s">
        <v>411</v>
      </c>
      <c r="M50" s="1586"/>
      <c r="N50" s="1586"/>
      <c r="O50" s="1586"/>
      <c r="P50" s="673"/>
      <c r="Q50" s="673"/>
      <c r="R50" s="673"/>
      <c r="S50" s="673"/>
      <c r="T50" s="674"/>
      <c r="V50" s="1590" t="s">
        <v>411</v>
      </c>
      <c r="W50" s="1579"/>
      <c r="X50" s="1579"/>
      <c r="Y50" s="1579"/>
      <c r="Z50" s="708"/>
      <c r="AA50" s="708"/>
      <c r="AB50" s="708"/>
      <c r="AC50" s="708"/>
      <c r="AD50" s="709"/>
      <c r="AF50" s="1582" t="s">
        <v>411</v>
      </c>
      <c r="AG50" s="1582"/>
      <c r="AH50" s="1582"/>
      <c r="AI50" s="1582"/>
      <c r="AJ50" s="745"/>
      <c r="AK50" s="745"/>
      <c r="AL50" s="745"/>
      <c r="AM50" s="745"/>
      <c r="AN50" s="746"/>
      <c r="AP50" s="1623" t="s">
        <v>411</v>
      </c>
      <c r="AQ50" s="1623"/>
      <c r="AR50" s="1623"/>
      <c r="AS50" s="1623"/>
      <c r="AT50" s="779"/>
      <c r="AU50" s="779"/>
      <c r="AV50" s="779"/>
      <c r="AW50" s="779"/>
      <c r="AX50" s="778"/>
      <c r="AZ50" s="1604" t="s">
        <v>411</v>
      </c>
      <c r="BA50" s="1605"/>
      <c r="BB50" s="1605"/>
      <c r="BC50" s="1605"/>
      <c r="BD50" s="673"/>
      <c r="BE50" s="673"/>
      <c r="BF50" s="673"/>
      <c r="BG50" s="673"/>
      <c r="BH50" s="674"/>
      <c r="BJ50" s="1579" t="s">
        <v>411</v>
      </c>
      <c r="BK50" s="1579"/>
      <c r="BL50" s="1579"/>
      <c r="BM50" s="1579"/>
      <c r="BN50" s="708"/>
      <c r="BO50" s="708"/>
      <c r="BP50" s="708"/>
      <c r="BQ50" s="708"/>
      <c r="BR50" s="709"/>
      <c r="BT50" s="1582" t="s">
        <v>411</v>
      </c>
      <c r="BU50" s="1582"/>
      <c r="BV50" s="1582"/>
      <c r="BW50" s="1582"/>
      <c r="BX50" s="745"/>
      <c r="BY50" s="745"/>
      <c r="BZ50" s="745"/>
      <c r="CA50" s="745"/>
      <c r="CB50" s="746"/>
      <c r="CD50" s="1584" t="s">
        <v>411</v>
      </c>
      <c r="CE50" s="1584"/>
      <c r="CF50" s="1584"/>
      <c r="CG50" s="1584"/>
      <c r="CH50" s="68"/>
      <c r="CI50" s="68"/>
      <c r="CJ50" s="68"/>
      <c r="CK50" s="68"/>
      <c r="CL50" s="619"/>
      <c r="CN50" s="1586" t="s">
        <v>411</v>
      </c>
      <c r="CO50" s="1586"/>
      <c r="CP50" s="1586"/>
      <c r="CQ50" s="1586"/>
      <c r="CR50" s="673"/>
      <c r="CS50" s="673"/>
      <c r="CT50" s="673"/>
      <c r="CU50" s="673"/>
      <c r="CV50" s="674"/>
      <c r="CX50" s="1590" t="s">
        <v>411</v>
      </c>
      <c r="CY50" s="1579"/>
      <c r="CZ50" s="1579"/>
      <c r="DA50" s="1579"/>
      <c r="DB50" s="708"/>
      <c r="DC50" s="708"/>
      <c r="DD50" s="708"/>
      <c r="DE50" s="708"/>
      <c r="DF50" s="709"/>
      <c r="DH50" s="1591" t="s">
        <v>411</v>
      </c>
      <c r="DI50" s="1582"/>
      <c r="DJ50" s="1582"/>
      <c r="DK50" s="1582"/>
      <c r="DL50" s="745"/>
      <c r="DM50" s="745"/>
      <c r="DN50" s="745"/>
      <c r="DO50" s="745"/>
      <c r="DP50" s="746"/>
    </row>
    <row r="51" spans="2:120" ht="30" x14ac:dyDescent="0.25">
      <c r="B51" s="846" t="s">
        <v>408</v>
      </c>
      <c r="C51" s="406" t="s">
        <v>81</v>
      </c>
      <c r="D51" s="403" t="s">
        <v>219</v>
      </c>
      <c r="E51" s="403" t="s">
        <v>404</v>
      </c>
      <c r="F51" s="635"/>
      <c r="G51" s="635"/>
      <c r="H51" s="635"/>
      <c r="I51" s="635"/>
      <c r="J51" s="634"/>
      <c r="L51" s="851" t="s">
        <v>408</v>
      </c>
      <c r="M51" s="219" t="s">
        <v>81</v>
      </c>
      <c r="N51" s="100" t="s">
        <v>219</v>
      </c>
      <c r="O51" s="100" t="s">
        <v>404</v>
      </c>
      <c r="P51" s="673"/>
      <c r="Q51" s="673"/>
      <c r="R51" s="673"/>
      <c r="S51" s="673"/>
      <c r="T51" s="674"/>
      <c r="V51" s="858" t="s">
        <v>408</v>
      </c>
      <c r="W51" s="416" t="s">
        <v>81</v>
      </c>
      <c r="X51" s="421" t="s">
        <v>219</v>
      </c>
      <c r="Y51" s="421" t="s">
        <v>404</v>
      </c>
      <c r="Z51" s="708"/>
      <c r="AA51" s="708"/>
      <c r="AB51" s="708"/>
      <c r="AC51" s="708"/>
      <c r="AD51" s="709"/>
      <c r="AF51" s="865" t="s">
        <v>408</v>
      </c>
      <c r="AG51" s="221" t="s">
        <v>81</v>
      </c>
      <c r="AH51" s="25" t="s">
        <v>219</v>
      </c>
      <c r="AI51" s="25" t="s">
        <v>404</v>
      </c>
      <c r="AJ51" s="745"/>
      <c r="AK51" s="745"/>
      <c r="AL51" s="745"/>
      <c r="AM51" s="745"/>
      <c r="AN51" s="746"/>
      <c r="AP51" s="872" t="s">
        <v>408</v>
      </c>
      <c r="AQ51" s="216" t="s">
        <v>81</v>
      </c>
      <c r="AR51" s="213" t="s">
        <v>219</v>
      </c>
      <c r="AS51" s="213" t="s">
        <v>404</v>
      </c>
      <c r="AT51" s="779"/>
      <c r="AU51" s="779"/>
      <c r="AV51" s="779"/>
      <c r="AW51" s="779"/>
      <c r="AX51" s="778"/>
      <c r="AZ51" s="851" t="s">
        <v>408</v>
      </c>
      <c r="BA51" s="219" t="s">
        <v>81</v>
      </c>
      <c r="BB51" s="100" t="s">
        <v>219</v>
      </c>
      <c r="BC51" s="100" t="s">
        <v>404</v>
      </c>
      <c r="BD51" s="673"/>
      <c r="BE51" s="673"/>
      <c r="BF51" s="673"/>
      <c r="BG51" s="673"/>
      <c r="BH51" s="674"/>
      <c r="BJ51" s="858" t="s">
        <v>408</v>
      </c>
      <c r="BK51" s="416" t="s">
        <v>81</v>
      </c>
      <c r="BL51" s="421" t="s">
        <v>219</v>
      </c>
      <c r="BM51" s="421" t="s">
        <v>404</v>
      </c>
      <c r="BN51" s="708"/>
      <c r="BO51" s="708"/>
      <c r="BP51" s="708"/>
      <c r="BQ51" s="708"/>
      <c r="BR51" s="709"/>
      <c r="BT51" s="865" t="s">
        <v>408</v>
      </c>
      <c r="BU51" s="221" t="s">
        <v>81</v>
      </c>
      <c r="BV51" s="25" t="s">
        <v>219</v>
      </c>
      <c r="BW51" s="25" t="s">
        <v>404</v>
      </c>
      <c r="BX51" s="745"/>
      <c r="BY51" s="745"/>
      <c r="BZ51" s="745"/>
      <c r="CA51" s="745"/>
      <c r="CB51" s="746"/>
      <c r="CD51" s="890" t="s">
        <v>408</v>
      </c>
      <c r="CE51" s="107" t="s">
        <v>81</v>
      </c>
      <c r="CF51" s="225" t="s">
        <v>219</v>
      </c>
      <c r="CG51" s="225" t="s">
        <v>404</v>
      </c>
      <c r="CH51" s="68"/>
      <c r="CI51" s="68"/>
      <c r="CJ51" s="68"/>
      <c r="CK51" s="68"/>
      <c r="CL51" s="619"/>
      <c r="CN51" s="851" t="s">
        <v>408</v>
      </c>
      <c r="CO51" s="219" t="s">
        <v>81</v>
      </c>
      <c r="CP51" s="100" t="s">
        <v>219</v>
      </c>
      <c r="CQ51" s="100" t="s">
        <v>404</v>
      </c>
      <c r="CR51" s="673"/>
      <c r="CS51" s="673"/>
      <c r="CT51" s="673"/>
      <c r="CU51" s="673"/>
      <c r="CV51" s="674"/>
      <c r="CX51" s="858" t="s">
        <v>408</v>
      </c>
      <c r="CY51" s="416" t="s">
        <v>81</v>
      </c>
      <c r="CZ51" s="421" t="s">
        <v>219</v>
      </c>
      <c r="DA51" s="421" t="s">
        <v>404</v>
      </c>
      <c r="DB51" s="708"/>
      <c r="DC51" s="708"/>
      <c r="DD51" s="708"/>
      <c r="DE51" s="708"/>
      <c r="DF51" s="709"/>
      <c r="DH51" s="865" t="s">
        <v>408</v>
      </c>
      <c r="DI51" s="221" t="s">
        <v>81</v>
      </c>
      <c r="DJ51" s="25" t="s">
        <v>407</v>
      </c>
      <c r="DK51" s="25" t="s">
        <v>404</v>
      </c>
      <c r="DL51" s="745"/>
      <c r="DM51" s="745"/>
      <c r="DN51" s="745"/>
      <c r="DO51" s="745"/>
      <c r="DP51" s="746"/>
    </row>
    <row r="52" spans="2:120" x14ac:dyDescent="0.25">
      <c r="B52" s="846" t="s">
        <v>415</v>
      </c>
      <c r="C52" s="406">
        <v>1</v>
      </c>
      <c r="D52" s="403" t="s">
        <v>221</v>
      </c>
      <c r="E52" s="660">
        <f>+H15</f>
        <v>8044.4809975847274</v>
      </c>
      <c r="F52" s="635"/>
      <c r="G52" s="635"/>
      <c r="H52" s="635"/>
      <c r="I52" s="635"/>
      <c r="J52" s="634"/>
      <c r="L52" s="851" t="s">
        <v>415</v>
      </c>
      <c r="M52" s="219">
        <v>1</v>
      </c>
      <c r="N52" s="100" t="s">
        <v>221</v>
      </c>
      <c r="O52" s="697">
        <f>+R15</f>
        <v>8085.7723642761966</v>
      </c>
      <c r="P52" s="673"/>
      <c r="Q52" s="673"/>
      <c r="R52" s="673"/>
      <c r="S52" s="673"/>
      <c r="T52" s="674"/>
      <c r="V52" s="858" t="s">
        <v>415</v>
      </c>
      <c r="W52" s="416">
        <v>1</v>
      </c>
      <c r="X52" s="421" t="s">
        <v>221</v>
      </c>
      <c r="Y52" s="736">
        <f>+AB15</f>
        <v>8111.6246498599439</v>
      </c>
      <c r="Z52" s="708"/>
      <c r="AA52" s="708"/>
      <c r="AB52" s="708"/>
      <c r="AC52" s="708"/>
      <c r="AD52" s="709"/>
      <c r="AF52" s="865" t="s">
        <v>415</v>
      </c>
      <c r="AG52" s="221">
        <v>1</v>
      </c>
      <c r="AH52" s="25" t="s">
        <v>221</v>
      </c>
      <c r="AI52" s="768">
        <f>+AL15</f>
        <v>8223.6042402826861</v>
      </c>
      <c r="AJ52" s="745"/>
      <c r="AK52" s="745"/>
      <c r="AL52" s="745"/>
      <c r="AM52" s="745"/>
      <c r="AN52" s="746"/>
      <c r="AP52" s="872" t="s">
        <v>415</v>
      </c>
      <c r="AQ52" s="216">
        <v>1</v>
      </c>
      <c r="AR52" s="213" t="s">
        <v>221</v>
      </c>
      <c r="AS52" s="805">
        <f>+AV15</f>
        <v>8147.0722533046383</v>
      </c>
      <c r="AT52" s="779"/>
      <c r="AU52" s="779"/>
      <c r="AV52" s="779"/>
      <c r="AW52" s="779"/>
      <c r="AX52" s="778"/>
      <c r="AZ52" s="851" t="s">
        <v>415</v>
      </c>
      <c r="BA52" s="219">
        <v>1</v>
      </c>
      <c r="BB52" s="100" t="s">
        <v>221</v>
      </c>
      <c r="BC52" s="818">
        <f>+BF15</f>
        <v>8272.0219704771716</v>
      </c>
      <c r="BD52" s="673"/>
      <c r="BE52" s="673"/>
      <c r="BF52" s="673"/>
      <c r="BG52" s="673"/>
      <c r="BH52" s="674"/>
      <c r="BJ52" s="859" t="s">
        <v>415</v>
      </c>
      <c r="BK52" s="416">
        <v>1</v>
      </c>
      <c r="BL52" s="421" t="s">
        <v>221</v>
      </c>
      <c r="BM52" s="422">
        <f>+BP15</f>
        <v>8148.5831341754865</v>
      </c>
      <c r="BN52" s="708"/>
      <c r="BO52" s="708"/>
      <c r="BP52" s="708"/>
      <c r="BQ52" s="708"/>
      <c r="BR52" s="709"/>
      <c r="BT52" s="865" t="s">
        <v>415</v>
      </c>
      <c r="BU52" s="221">
        <v>1</v>
      </c>
      <c r="BV52" s="25" t="s">
        <v>221</v>
      </c>
      <c r="BW52" s="158">
        <f>+BZ15</f>
        <v>8148.0183836335937</v>
      </c>
      <c r="BX52" s="745"/>
      <c r="BY52" s="745"/>
      <c r="BZ52" s="745"/>
      <c r="CA52" s="745"/>
      <c r="CB52" s="746"/>
      <c r="CD52" s="889" t="s">
        <v>415</v>
      </c>
      <c r="CE52" s="107">
        <v>1</v>
      </c>
      <c r="CF52" s="225" t="s">
        <v>221</v>
      </c>
      <c r="CG52" s="833">
        <f>+CJ15</f>
        <v>8320.319511011694</v>
      </c>
      <c r="CH52" s="68"/>
      <c r="CI52" s="68"/>
      <c r="CJ52" s="68"/>
      <c r="CK52" s="68"/>
      <c r="CL52" s="619"/>
      <c r="CN52" s="851" t="s">
        <v>415</v>
      </c>
      <c r="CO52" s="219">
        <v>1</v>
      </c>
      <c r="CP52" s="100" t="s">
        <v>221</v>
      </c>
      <c r="CQ52" s="818">
        <f>+CT15</f>
        <v>8339.1954432182265</v>
      </c>
      <c r="CR52" s="673"/>
      <c r="CS52" s="673"/>
      <c r="CT52" s="673"/>
      <c r="CU52" s="673"/>
      <c r="CV52" s="674"/>
      <c r="CX52" s="858" t="s">
        <v>415</v>
      </c>
      <c r="CY52" s="416">
        <v>1</v>
      </c>
      <c r="CZ52" s="421" t="s">
        <v>221</v>
      </c>
      <c r="DA52" s="422">
        <f>+DD15</f>
        <v>8226.9818486478816</v>
      </c>
      <c r="DB52" s="708"/>
      <c r="DC52" s="708"/>
      <c r="DD52" s="708"/>
      <c r="DE52" s="708"/>
      <c r="DF52" s="709"/>
      <c r="DH52" s="879" t="s">
        <v>415</v>
      </c>
      <c r="DI52" s="221">
        <v>1</v>
      </c>
      <c r="DJ52" s="25" t="s">
        <v>221</v>
      </c>
      <c r="DK52" s="158">
        <f>+DN15</f>
        <v>8250.2102005623256</v>
      </c>
      <c r="DL52" s="745"/>
      <c r="DM52" s="745"/>
      <c r="DN52" s="745"/>
      <c r="DO52" s="745"/>
      <c r="DP52" s="746"/>
    </row>
    <row r="53" spans="2:120" ht="37.5" customHeight="1" x14ac:dyDescent="0.25">
      <c r="B53" s="847" t="s">
        <v>403</v>
      </c>
      <c r="C53" s="642">
        <f t="shared" ref="C53:D56" si="108">+C15</f>
        <v>483.54476414756391</v>
      </c>
      <c r="D53" s="643">
        <f t="shared" si="108"/>
        <v>1</v>
      </c>
      <c r="E53" s="661">
        <f>+H14</f>
        <v>3889866.6666666665</v>
      </c>
      <c r="F53" s="635"/>
      <c r="G53" s="635"/>
      <c r="H53" s="635"/>
      <c r="I53" s="635"/>
      <c r="J53" s="634"/>
      <c r="L53" s="854" t="s">
        <v>403</v>
      </c>
      <c r="M53" s="681">
        <f t="shared" ref="M53:N56" si="109">+M15</f>
        <v>477.52189393708778</v>
      </c>
      <c r="N53" s="682">
        <f t="shared" si="109"/>
        <v>1</v>
      </c>
      <c r="O53" s="698">
        <f>+R14</f>
        <v>3861133.3333333335</v>
      </c>
      <c r="P53" s="673"/>
      <c r="Q53" s="673"/>
      <c r="R53" s="673"/>
      <c r="S53" s="673"/>
      <c r="T53" s="674"/>
      <c r="V53" s="860" t="s">
        <v>403</v>
      </c>
      <c r="W53" s="415">
        <f t="shared" ref="W53:X53" si="110">+W15</f>
        <v>476</v>
      </c>
      <c r="X53" s="716">
        <f t="shared" si="110"/>
        <v>1</v>
      </c>
      <c r="Y53" s="737">
        <f>+AB14</f>
        <v>3861133.3333333335</v>
      </c>
      <c r="Z53" s="708"/>
      <c r="AA53" s="708"/>
      <c r="AB53" s="708"/>
      <c r="AC53" s="708"/>
      <c r="AD53" s="709"/>
      <c r="AF53" s="866" t="s">
        <v>403</v>
      </c>
      <c r="AG53" s="750">
        <f t="shared" ref="AG53:AH53" si="111">+AG15</f>
        <v>471.66666666666669</v>
      </c>
      <c r="AH53" s="751">
        <f t="shared" si="111"/>
        <v>1</v>
      </c>
      <c r="AI53" s="769">
        <f>+AL14</f>
        <v>3878800</v>
      </c>
      <c r="AJ53" s="745"/>
      <c r="AK53" s="745"/>
      <c r="AL53" s="745"/>
      <c r="AM53" s="745"/>
      <c r="AN53" s="746"/>
      <c r="AP53" s="874" t="s">
        <v>403</v>
      </c>
      <c r="AQ53" s="784">
        <f t="shared" ref="AQ53:AR53" si="112">+AQ15</f>
        <v>474.2726237349907</v>
      </c>
      <c r="AR53" s="785">
        <f t="shared" si="112"/>
        <v>1</v>
      </c>
      <c r="AS53" s="806">
        <f>+AV14</f>
        <v>3863933.3333333335</v>
      </c>
      <c r="AT53" s="779"/>
      <c r="AU53" s="779"/>
      <c r="AV53" s="779"/>
      <c r="AW53" s="779"/>
      <c r="AX53" s="778"/>
      <c r="AZ53" s="854" t="s">
        <v>403</v>
      </c>
      <c r="BA53" s="681">
        <f t="shared" ref="BA53:BB53" si="113">+BA15</f>
        <v>469.83870967741933</v>
      </c>
      <c r="BB53" s="682">
        <f t="shared" si="113"/>
        <v>1</v>
      </c>
      <c r="BC53" s="472">
        <f>+BF14</f>
        <v>3886516.1290322579</v>
      </c>
      <c r="BD53" s="673"/>
      <c r="BE53" s="673"/>
      <c r="BF53" s="673"/>
      <c r="BG53" s="673"/>
      <c r="BH53" s="674"/>
      <c r="BJ53" s="860" t="s">
        <v>403</v>
      </c>
      <c r="BK53" s="715">
        <f t="shared" ref="BK53:BL53" si="114">+BK15</f>
        <v>472.41935483870969</v>
      </c>
      <c r="BL53" s="716">
        <f t="shared" si="114"/>
        <v>1</v>
      </c>
      <c r="BM53" s="820">
        <f>+BP14</f>
        <v>3849548.3870967743</v>
      </c>
      <c r="BN53" s="708"/>
      <c r="BO53" s="708"/>
      <c r="BP53" s="708"/>
      <c r="BQ53" s="708"/>
      <c r="BR53" s="709"/>
      <c r="BT53" s="866" t="s">
        <v>403</v>
      </c>
      <c r="BU53" s="750">
        <f t="shared" ref="BU53:BV53" si="115">+BU15</f>
        <v>471.07436433316786</v>
      </c>
      <c r="BV53" s="751">
        <f t="shared" si="115"/>
        <v>1</v>
      </c>
      <c r="BW53" s="824">
        <f>+BZ14</f>
        <v>3838322.5806451612</v>
      </c>
      <c r="BX53" s="745"/>
      <c r="BY53" s="745"/>
      <c r="BZ53" s="745"/>
      <c r="CA53" s="745"/>
      <c r="CB53" s="746"/>
      <c r="CD53" s="891" t="s">
        <v>403</v>
      </c>
      <c r="CE53" s="111">
        <f t="shared" ref="CE53:CF53" si="116">+CE15</f>
        <v>469.14296376150594</v>
      </c>
      <c r="CF53" s="112">
        <f t="shared" si="116"/>
        <v>1</v>
      </c>
      <c r="CG53" s="125">
        <f>+CJ14</f>
        <v>3903419.3548387098</v>
      </c>
      <c r="CH53" s="68"/>
      <c r="CI53" s="68"/>
      <c r="CJ53" s="68"/>
      <c r="CK53" s="68"/>
      <c r="CL53" s="619"/>
      <c r="CN53" s="854" t="s">
        <v>403</v>
      </c>
      <c r="CO53" s="681">
        <f t="shared" ref="CO53:CP53" si="117">+CO15</f>
        <v>468.16666666666669</v>
      </c>
      <c r="CP53" s="682">
        <f t="shared" si="117"/>
        <v>1</v>
      </c>
      <c r="CQ53" s="698">
        <f>+CT14</f>
        <v>3904133.3333333335</v>
      </c>
      <c r="CR53" s="673"/>
      <c r="CS53" s="673"/>
      <c r="CT53" s="673"/>
      <c r="CU53" s="673"/>
      <c r="CV53" s="674"/>
      <c r="CX53" s="860" t="s">
        <v>403</v>
      </c>
      <c r="CY53" s="715">
        <f t="shared" ref="CY53:CZ53" si="118">+CY15</f>
        <v>470.60595706832407</v>
      </c>
      <c r="CZ53" s="716">
        <f t="shared" si="118"/>
        <v>1</v>
      </c>
      <c r="DA53" s="737">
        <f>+DD14</f>
        <v>3871666.6666666665</v>
      </c>
      <c r="DB53" s="708"/>
      <c r="DC53" s="708"/>
      <c r="DD53" s="708"/>
      <c r="DE53" s="708"/>
      <c r="DF53" s="709"/>
      <c r="DH53" s="866" t="s">
        <v>403</v>
      </c>
      <c r="DI53" s="750">
        <f t="shared" ref="DI53:DJ53" si="119">+DI15</f>
        <v>469.93915063270623</v>
      </c>
      <c r="DJ53" s="751">
        <f t="shared" si="119"/>
        <v>1</v>
      </c>
      <c r="DK53" s="769">
        <f>+DN14</f>
        <v>3877096.7741935486</v>
      </c>
      <c r="DL53" s="745"/>
      <c r="DM53" s="745"/>
      <c r="DN53" s="745"/>
      <c r="DO53" s="745"/>
      <c r="DP53" s="746"/>
    </row>
    <row r="54" spans="2:120" ht="54.75" customHeight="1" x14ac:dyDescent="0.25">
      <c r="B54" s="847" t="s">
        <v>432</v>
      </c>
      <c r="C54" s="642">
        <f>+C16</f>
        <v>372.32946839362421</v>
      </c>
      <c r="D54" s="643">
        <f t="shared" si="108"/>
        <v>0.77</v>
      </c>
      <c r="E54" s="640">
        <f>+(E53*D54)</f>
        <v>2995197.3333333335</v>
      </c>
      <c r="F54" s="635"/>
      <c r="G54" s="635"/>
      <c r="H54" s="649"/>
      <c r="I54" s="635"/>
      <c r="J54" s="634"/>
      <c r="L54" s="854" t="s">
        <v>405</v>
      </c>
      <c r="M54" s="681">
        <f t="shared" si="109"/>
        <v>367.69185833155763</v>
      </c>
      <c r="N54" s="682">
        <f t="shared" si="109"/>
        <v>0.77</v>
      </c>
      <c r="O54" s="679">
        <f>+(O53*N54)</f>
        <v>2973072.666666667</v>
      </c>
      <c r="P54" s="673"/>
      <c r="Q54" s="673"/>
      <c r="R54" s="687"/>
      <c r="S54" s="673"/>
      <c r="T54" s="674"/>
      <c r="V54" s="860" t="s">
        <v>405</v>
      </c>
      <c r="W54" s="715">
        <f t="shared" ref="W54:X54" si="120">+W16</f>
        <v>366.52</v>
      </c>
      <c r="X54" s="716">
        <f t="shared" si="120"/>
        <v>0.77</v>
      </c>
      <c r="Y54" s="713">
        <f>+(Y53*X54)</f>
        <v>2973072.666666667</v>
      </c>
      <c r="Z54" s="708"/>
      <c r="AA54" s="708"/>
      <c r="AB54" s="721"/>
      <c r="AC54" s="708"/>
      <c r="AD54" s="709"/>
      <c r="AF54" s="866" t="s">
        <v>405</v>
      </c>
      <c r="AG54" s="750">
        <f t="shared" ref="AG54:AH54" si="121">+AG16</f>
        <v>363.18333333333334</v>
      </c>
      <c r="AH54" s="751">
        <f t="shared" si="121"/>
        <v>0.77</v>
      </c>
      <c r="AI54" s="748">
        <f>+(AI53*AH54)</f>
        <v>2986676</v>
      </c>
      <c r="AJ54" s="745"/>
      <c r="AK54" s="745"/>
      <c r="AL54" s="756"/>
      <c r="AM54" s="745"/>
      <c r="AN54" s="746"/>
      <c r="AP54" s="874" t="s">
        <v>405</v>
      </c>
      <c r="AQ54" s="784">
        <f t="shared" ref="AQ54:AR54" si="122">+AQ16</f>
        <v>365.18992027594282</v>
      </c>
      <c r="AR54" s="785">
        <f t="shared" si="122"/>
        <v>0.77</v>
      </c>
      <c r="AS54" s="807">
        <f>+(AS53*AR54)</f>
        <v>2975228.666666667</v>
      </c>
      <c r="AT54" s="779"/>
      <c r="AU54" s="779"/>
      <c r="AV54" s="791"/>
      <c r="AW54" s="779"/>
      <c r="AX54" s="778"/>
      <c r="AZ54" s="854" t="s">
        <v>405</v>
      </c>
      <c r="BA54" s="681">
        <f t="shared" ref="BA54:BB54" si="123">+BA16</f>
        <v>361.77580645161288</v>
      </c>
      <c r="BB54" s="682">
        <f t="shared" si="123"/>
        <v>0.77</v>
      </c>
      <c r="BC54" s="214">
        <f>+(BC53*BB54)</f>
        <v>2992617.4193548388</v>
      </c>
      <c r="BD54" s="673"/>
      <c r="BE54" s="673"/>
      <c r="BF54" s="687"/>
      <c r="BG54" s="673"/>
      <c r="BH54" s="674"/>
      <c r="BJ54" s="860" t="s">
        <v>405</v>
      </c>
      <c r="BK54" s="715">
        <f t="shared" ref="BK54:BL54" si="124">+BK16</f>
        <v>363.7629032258065</v>
      </c>
      <c r="BL54" s="716">
        <f t="shared" si="124"/>
        <v>0.77</v>
      </c>
      <c r="BM54" s="355">
        <f>+(BM53*BL54)</f>
        <v>2964152.2580645164</v>
      </c>
      <c r="BN54" s="708"/>
      <c r="BO54" s="708"/>
      <c r="BP54" s="721"/>
      <c r="BQ54" s="708"/>
      <c r="BR54" s="709"/>
      <c r="BT54" s="866" t="s">
        <v>405</v>
      </c>
      <c r="BU54" s="750">
        <f t="shared" ref="BU54:BV54" si="125">+BU16</f>
        <v>362.72726053653929</v>
      </c>
      <c r="BV54" s="751">
        <f t="shared" si="125"/>
        <v>0.77</v>
      </c>
      <c r="BW54" s="217">
        <f>+(BW53*BV54)</f>
        <v>2955508.3870967743</v>
      </c>
      <c r="BX54" s="745"/>
      <c r="BY54" s="745"/>
      <c r="BZ54" s="756"/>
      <c r="CA54" s="745"/>
      <c r="CB54" s="746"/>
      <c r="CD54" s="891" t="s">
        <v>405</v>
      </c>
      <c r="CE54" s="111">
        <f t="shared" ref="CE54:CF54" si="126">+CE16</f>
        <v>361.24008209635957</v>
      </c>
      <c r="CF54" s="112">
        <f t="shared" si="126"/>
        <v>0.77</v>
      </c>
      <c r="CG54" s="110">
        <f>+(CG53*CF54)</f>
        <v>3005632.9032258065</v>
      </c>
      <c r="CH54" s="68"/>
      <c r="CI54" s="68"/>
      <c r="CJ54" s="622"/>
      <c r="CK54" s="68"/>
      <c r="CL54" s="619"/>
      <c r="CN54" s="854" t="s">
        <v>405</v>
      </c>
      <c r="CO54" s="681">
        <f t="shared" ref="CO54:CP54" si="127">+CO16</f>
        <v>360.48833333333334</v>
      </c>
      <c r="CP54" s="682">
        <f t="shared" si="127"/>
        <v>0.77</v>
      </c>
      <c r="CQ54" s="679">
        <f>+(CQ53*CP54)</f>
        <v>3006182.666666667</v>
      </c>
      <c r="CR54" s="673"/>
      <c r="CS54" s="673"/>
      <c r="CT54" s="687"/>
      <c r="CU54" s="673"/>
      <c r="CV54" s="674"/>
      <c r="CX54" s="860" t="s">
        <v>405</v>
      </c>
      <c r="CY54" s="715">
        <f t="shared" ref="CY54:CZ54" si="128">+CY16</f>
        <v>362.36658694260956</v>
      </c>
      <c r="CZ54" s="716">
        <f t="shared" si="128"/>
        <v>0.77</v>
      </c>
      <c r="DA54" s="713">
        <f>+(DA53*CZ54)</f>
        <v>2981183.3333333335</v>
      </c>
      <c r="DB54" s="708"/>
      <c r="DC54" s="708"/>
      <c r="DD54" s="721"/>
      <c r="DE54" s="708"/>
      <c r="DF54" s="709"/>
      <c r="DH54" s="866" t="s">
        <v>405</v>
      </c>
      <c r="DI54" s="750">
        <f t="shared" ref="DI54:DJ54" si="129">+DI16</f>
        <v>361.85314598718378</v>
      </c>
      <c r="DJ54" s="751">
        <f t="shared" si="129"/>
        <v>0.77</v>
      </c>
      <c r="DK54" s="748">
        <f>+(DK53*DJ54)</f>
        <v>2985364.5161290327</v>
      </c>
      <c r="DL54" s="745"/>
      <c r="DM54" s="745"/>
      <c r="DN54" s="756"/>
      <c r="DO54" s="745"/>
      <c r="DP54" s="746"/>
    </row>
    <row r="55" spans="2:120" ht="37.5" customHeight="1" x14ac:dyDescent="0.25">
      <c r="B55" s="847" t="s">
        <v>406</v>
      </c>
      <c r="C55" s="642">
        <f>+C17</f>
        <v>96.708952829512782</v>
      </c>
      <c r="D55" s="643">
        <f t="shared" si="108"/>
        <v>0.2</v>
      </c>
      <c r="E55" s="640">
        <f>+D55*E53</f>
        <v>777973.33333333337</v>
      </c>
      <c r="F55" s="635"/>
      <c r="G55" s="649"/>
      <c r="H55" s="635"/>
      <c r="I55" s="635"/>
      <c r="J55" s="634"/>
      <c r="L55" s="854" t="s">
        <v>406</v>
      </c>
      <c r="M55" s="681">
        <f t="shared" si="109"/>
        <v>95.504378787417565</v>
      </c>
      <c r="N55" s="682">
        <f t="shared" si="109"/>
        <v>0.2</v>
      </c>
      <c r="O55" s="679">
        <f>+N55*O53</f>
        <v>772226.66666666674</v>
      </c>
      <c r="P55" s="673"/>
      <c r="Q55" s="687"/>
      <c r="R55" s="673"/>
      <c r="S55" s="673"/>
      <c r="T55" s="674"/>
      <c r="V55" s="860" t="s">
        <v>406</v>
      </c>
      <c r="W55" s="715">
        <f t="shared" ref="W55:X55" si="130">+W17</f>
        <v>95.2</v>
      </c>
      <c r="X55" s="716">
        <f t="shared" si="130"/>
        <v>0.2</v>
      </c>
      <c r="Y55" s="713">
        <f>+X55*Y53</f>
        <v>772226.66666666674</v>
      </c>
      <c r="Z55" s="708"/>
      <c r="AA55" s="721"/>
      <c r="AB55" s="708"/>
      <c r="AC55" s="708"/>
      <c r="AD55" s="709"/>
      <c r="AF55" s="866" t="s">
        <v>406</v>
      </c>
      <c r="AG55" s="750">
        <f t="shared" ref="AG55:AH55" si="131">+AG17</f>
        <v>94.333333333333343</v>
      </c>
      <c r="AH55" s="751">
        <f t="shared" si="131"/>
        <v>0.2</v>
      </c>
      <c r="AI55" s="748">
        <f>+AH55*AI53</f>
        <v>775760</v>
      </c>
      <c r="AJ55" s="745"/>
      <c r="AK55" s="756"/>
      <c r="AL55" s="745"/>
      <c r="AM55" s="745"/>
      <c r="AN55" s="746"/>
      <c r="AP55" s="874" t="s">
        <v>406</v>
      </c>
      <c r="AQ55" s="784">
        <f t="shared" ref="AQ55:AR55" si="132">+AQ17</f>
        <v>94.854524746998152</v>
      </c>
      <c r="AR55" s="785">
        <f t="shared" si="132"/>
        <v>0.2</v>
      </c>
      <c r="AS55" s="807">
        <f>+AR55*AS53</f>
        <v>772786.66666666674</v>
      </c>
      <c r="AT55" s="779"/>
      <c r="AU55" s="791"/>
      <c r="AV55" s="779"/>
      <c r="AW55" s="779"/>
      <c r="AX55" s="778"/>
      <c r="AZ55" s="854" t="s">
        <v>406</v>
      </c>
      <c r="BA55" s="681">
        <f t="shared" ref="BA55:BB55" si="133">+BA17</f>
        <v>93.967741935483872</v>
      </c>
      <c r="BB55" s="682">
        <f t="shared" si="133"/>
        <v>0.2</v>
      </c>
      <c r="BC55" s="214">
        <f>+BB55*BC53</f>
        <v>777303.22580645164</v>
      </c>
      <c r="BD55" s="673"/>
      <c r="BE55" s="687"/>
      <c r="BF55" s="673"/>
      <c r="BG55" s="673"/>
      <c r="BH55" s="674"/>
      <c r="BJ55" s="860" t="s">
        <v>406</v>
      </c>
      <c r="BK55" s="715">
        <f t="shared" ref="BK55:BL55" si="134">+BK17</f>
        <v>94.48387096774195</v>
      </c>
      <c r="BL55" s="716">
        <f t="shared" si="134"/>
        <v>0.2</v>
      </c>
      <c r="BM55" s="355">
        <f>+BL55*BM53</f>
        <v>769909.67741935491</v>
      </c>
      <c r="BN55" s="708"/>
      <c r="BO55" s="721"/>
      <c r="BP55" s="708"/>
      <c r="BQ55" s="708"/>
      <c r="BR55" s="709"/>
      <c r="BT55" s="866" t="s">
        <v>406</v>
      </c>
      <c r="BU55" s="750">
        <f t="shared" ref="BU55:BV55" si="135">+BU17</f>
        <v>94.214872866633584</v>
      </c>
      <c r="BV55" s="751">
        <f t="shared" si="135"/>
        <v>0.2</v>
      </c>
      <c r="BW55" s="217">
        <f>+BV55*BW53</f>
        <v>767664.51612903224</v>
      </c>
      <c r="BX55" s="745"/>
      <c r="BY55" s="756"/>
      <c r="BZ55" s="745"/>
      <c r="CA55" s="745"/>
      <c r="CB55" s="746"/>
      <c r="CD55" s="891" t="s">
        <v>406</v>
      </c>
      <c r="CE55" s="111">
        <f t="shared" ref="CE55:CF55" si="136">+CE17</f>
        <v>93.828592752301191</v>
      </c>
      <c r="CF55" s="112">
        <f t="shared" si="136"/>
        <v>0.2</v>
      </c>
      <c r="CG55" s="110">
        <f>+CF55*CG53</f>
        <v>780683.87096774206</v>
      </c>
      <c r="CH55" s="68"/>
      <c r="CI55" s="622"/>
      <c r="CJ55" s="68"/>
      <c r="CK55" s="68"/>
      <c r="CL55" s="619"/>
      <c r="CN55" s="854" t="s">
        <v>406</v>
      </c>
      <c r="CO55" s="681">
        <f t="shared" ref="CO55:CP55" si="137">+CO17</f>
        <v>93.63333333333334</v>
      </c>
      <c r="CP55" s="682">
        <f t="shared" si="137"/>
        <v>0.2</v>
      </c>
      <c r="CQ55" s="679">
        <f>+CP55*CQ53</f>
        <v>780826.66666666674</v>
      </c>
      <c r="CR55" s="673"/>
      <c r="CS55" s="687"/>
      <c r="CT55" s="673"/>
      <c r="CU55" s="673"/>
      <c r="CV55" s="674"/>
      <c r="CX55" s="860" t="s">
        <v>406</v>
      </c>
      <c r="CY55" s="715">
        <f t="shared" ref="CY55:CZ55" si="138">+CY17</f>
        <v>94.121191413664818</v>
      </c>
      <c r="CZ55" s="716">
        <f t="shared" si="138"/>
        <v>0.2</v>
      </c>
      <c r="DA55" s="713">
        <f>+CZ55*DA53</f>
        <v>774333.33333333337</v>
      </c>
      <c r="DB55" s="708"/>
      <c r="DC55" s="721"/>
      <c r="DD55" s="708"/>
      <c r="DE55" s="708"/>
      <c r="DF55" s="709"/>
      <c r="DH55" s="866" t="s">
        <v>406</v>
      </c>
      <c r="DI55" s="750">
        <f t="shared" ref="DI55:DJ55" si="139">+DI17</f>
        <v>93.987830126541255</v>
      </c>
      <c r="DJ55" s="751">
        <f t="shared" si="139"/>
        <v>0.2</v>
      </c>
      <c r="DK55" s="748">
        <f>+DJ55*DK53</f>
        <v>775419.35483870981</v>
      </c>
      <c r="DL55" s="745"/>
      <c r="DM55" s="756"/>
      <c r="DN55" s="745"/>
      <c r="DO55" s="745"/>
      <c r="DP55" s="746"/>
    </row>
    <row r="56" spans="2:120" x14ac:dyDescent="0.25">
      <c r="B56" s="845" t="str">
        <f>+B18</f>
        <v xml:space="preserve">DESPERDICIO </v>
      </c>
      <c r="C56" s="645">
        <f>+C18</f>
        <v>14.506342924426917</v>
      </c>
      <c r="D56" s="662">
        <f t="shared" si="108"/>
        <v>0.03</v>
      </c>
      <c r="E56" s="486">
        <f>+E53*D56</f>
        <v>116695.99999999999</v>
      </c>
      <c r="F56" s="635"/>
      <c r="G56" s="635"/>
      <c r="H56" s="635"/>
      <c r="I56" s="635"/>
      <c r="J56" s="634"/>
      <c r="L56" s="852" t="str">
        <f>+L18</f>
        <v xml:space="preserve">DESPERDICIO </v>
      </c>
      <c r="M56" s="684">
        <f t="shared" si="109"/>
        <v>14.325656818112632</v>
      </c>
      <c r="N56" s="699">
        <f t="shared" si="109"/>
        <v>0.03</v>
      </c>
      <c r="O56" s="493">
        <f>+O53*N56</f>
        <v>115834</v>
      </c>
      <c r="P56" s="673"/>
      <c r="Q56" s="673"/>
      <c r="R56" s="673"/>
      <c r="S56" s="673"/>
      <c r="T56" s="674"/>
      <c r="V56" s="725" t="str">
        <f>+V18</f>
        <v xml:space="preserve">DESPERDICIO </v>
      </c>
      <c r="W56" s="718">
        <f t="shared" ref="W56:X56" si="140">+W18</f>
        <v>14.28</v>
      </c>
      <c r="X56" s="738">
        <f t="shared" si="140"/>
        <v>0.03</v>
      </c>
      <c r="Y56" s="727">
        <f>+Y53*X56</f>
        <v>115834</v>
      </c>
      <c r="Z56" s="708"/>
      <c r="AA56" s="708"/>
      <c r="AB56" s="708"/>
      <c r="AC56" s="708"/>
      <c r="AD56" s="709"/>
      <c r="AF56" s="759" t="str">
        <f>+AF18</f>
        <v xml:space="preserve">DESPERDICIO </v>
      </c>
      <c r="AG56" s="753">
        <f t="shared" ref="AG56:AH56" si="141">+AG18</f>
        <v>14.15</v>
      </c>
      <c r="AH56" s="770">
        <f t="shared" si="141"/>
        <v>0.03</v>
      </c>
      <c r="AI56" s="553">
        <f>+AI53*AH56</f>
        <v>116364</v>
      </c>
      <c r="AJ56" s="745"/>
      <c r="AK56" s="745"/>
      <c r="AL56" s="745"/>
      <c r="AM56" s="745"/>
      <c r="AN56" s="746"/>
      <c r="AP56" s="794" t="str">
        <f>+AP18</f>
        <v xml:space="preserve">DESPERDICIO </v>
      </c>
      <c r="AQ56" s="787">
        <f t="shared" ref="AQ56:AR56" si="142">+AQ18</f>
        <v>14.22817871204972</v>
      </c>
      <c r="AR56" s="808">
        <f t="shared" si="142"/>
        <v>0.03</v>
      </c>
      <c r="AS56" s="809">
        <f>+AS53*AR56</f>
        <v>115918</v>
      </c>
      <c r="AT56" s="779"/>
      <c r="AU56" s="779"/>
      <c r="AV56" s="779"/>
      <c r="AW56" s="779"/>
      <c r="AX56" s="778"/>
      <c r="AZ56" s="690" t="str">
        <f>+AZ18</f>
        <v xml:space="preserve">DESPERDICIO </v>
      </c>
      <c r="BA56" s="684">
        <f t="shared" ref="BA56:BB56" si="143">+BA18</f>
        <v>14.095161290322579</v>
      </c>
      <c r="BB56" s="699">
        <f t="shared" si="143"/>
        <v>0.03</v>
      </c>
      <c r="BC56" s="493">
        <f>+BC53*BB56</f>
        <v>116595.48387096773</v>
      </c>
      <c r="BD56" s="673"/>
      <c r="BE56" s="673"/>
      <c r="BF56" s="673"/>
      <c r="BG56" s="673"/>
      <c r="BH56" s="674"/>
      <c r="BJ56" s="725" t="str">
        <f>+BJ18</f>
        <v xml:space="preserve">DESPERDICIO </v>
      </c>
      <c r="BK56" s="718">
        <f t="shared" ref="BK56:BL56" si="144">+BK18</f>
        <v>14.17258064516129</v>
      </c>
      <c r="BL56" s="738">
        <f t="shared" si="144"/>
        <v>0.03</v>
      </c>
      <c r="BM56" s="517">
        <f>+BM53*BL56</f>
        <v>115486.45161290323</v>
      </c>
      <c r="BN56" s="708"/>
      <c r="BO56" s="708"/>
      <c r="BP56" s="708"/>
      <c r="BQ56" s="708"/>
      <c r="BR56" s="709"/>
      <c r="BT56" s="759" t="str">
        <f>+BT18</f>
        <v xml:space="preserve">DESPERDICIO </v>
      </c>
      <c r="BU56" s="753">
        <f t="shared" ref="BU56:BV56" si="145">+BU18</f>
        <v>14.132230929995035</v>
      </c>
      <c r="BV56" s="770">
        <f t="shared" si="145"/>
        <v>0.03</v>
      </c>
      <c r="BW56" s="524">
        <f>+BW53*BV56</f>
        <v>115149.67741935483</v>
      </c>
      <c r="BX56" s="745"/>
      <c r="BY56" s="745"/>
      <c r="BZ56" s="745"/>
      <c r="CA56" s="745"/>
      <c r="CB56" s="746"/>
      <c r="CD56" s="626" t="str">
        <f>+CD18</f>
        <v xml:space="preserve">DESPERDICIO </v>
      </c>
      <c r="CE56" s="115">
        <f t="shared" ref="CE56:CF56" si="146">+CE18</f>
        <v>14.074288912845178</v>
      </c>
      <c r="CF56" s="126">
        <f t="shared" si="146"/>
        <v>0.03</v>
      </c>
      <c r="CG56" s="119">
        <f>+CG53*CF56</f>
        <v>117102.58064516129</v>
      </c>
      <c r="CH56" s="68"/>
      <c r="CI56" s="68"/>
      <c r="CJ56" s="68"/>
      <c r="CK56" s="68"/>
      <c r="CL56" s="619"/>
      <c r="CN56" s="690" t="str">
        <f>+CN18</f>
        <v xml:space="preserve">DESPERDICIO </v>
      </c>
      <c r="CO56" s="684">
        <f t="shared" ref="CO56:CP56" si="147">+CO18</f>
        <v>14.045</v>
      </c>
      <c r="CP56" s="699">
        <f t="shared" si="147"/>
        <v>0.03</v>
      </c>
      <c r="CQ56" s="493">
        <f>+CQ53*CP56</f>
        <v>117124</v>
      </c>
      <c r="CR56" s="673"/>
      <c r="CS56" s="673"/>
      <c r="CT56" s="673"/>
      <c r="CU56" s="673"/>
      <c r="CV56" s="674"/>
      <c r="CX56" s="725" t="str">
        <f>+CX18</f>
        <v xml:space="preserve">DESPERDICIO </v>
      </c>
      <c r="CY56" s="718">
        <f t="shared" ref="CY56:CZ56" si="148">+CY18</f>
        <v>14.118178712049721</v>
      </c>
      <c r="CZ56" s="738">
        <f t="shared" si="148"/>
        <v>0.03</v>
      </c>
      <c r="DA56" s="727">
        <f>+DA53*CZ56</f>
        <v>116149.99999999999</v>
      </c>
      <c r="DB56" s="708"/>
      <c r="DC56" s="708"/>
      <c r="DD56" s="708"/>
      <c r="DE56" s="708"/>
      <c r="DF56" s="709"/>
      <c r="DH56" s="759" t="str">
        <f>+DH18</f>
        <v xml:space="preserve">DESPERDICIO </v>
      </c>
      <c r="DI56" s="753">
        <f t="shared" ref="DI56:DJ56" si="149">+DI18</f>
        <v>14.098174518981187</v>
      </c>
      <c r="DJ56" s="770">
        <f t="shared" si="149"/>
        <v>0.03</v>
      </c>
      <c r="DK56" s="553">
        <f>+DK53*DJ56</f>
        <v>116312.90322580645</v>
      </c>
      <c r="DL56" s="745"/>
      <c r="DM56" s="745"/>
      <c r="DN56" s="745"/>
      <c r="DO56" s="745"/>
      <c r="DP56" s="746"/>
    </row>
    <row r="57" spans="2:120" x14ac:dyDescent="0.25">
      <c r="B57" s="843"/>
      <c r="C57" s="650"/>
      <c r="D57" s="635"/>
      <c r="E57" s="635"/>
      <c r="F57" s="635"/>
      <c r="G57" s="635"/>
      <c r="H57" s="649"/>
      <c r="I57" s="635"/>
      <c r="J57" s="634"/>
      <c r="L57" s="850"/>
      <c r="M57" s="32"/>
      <c r="N57" s="673"/>
      <c r="O57" s="673"/>
      <c r="P57" s="673"/>
      <c r="Q57" s="673"/>
      <c r="R57" s="687"/>
      <c r="S57" s="673"/>
      <c r="T57" s="674"/>
      <c r="V57" s="861"/>
      <c r="W57" s="723"/>
      <c r="X57" s="708"/>
      <c r="Y57" s="708"/>
      <c r="Z57" s="708"/>
      <c r="AA57" s="708"/>
      <c r="AB57" s="721"/>
      <c r="AC57" s="708"/>
      <c r="AD57" s="709"/>
      <c r="AF57" s="868"/>
      <c r="AG57" s="758"/>
      <c r="AH57" s="745"/>
      <c r="AI57" s="745"/>
      <c r="AJ57" s="745"/>
      <c r="AK57" s="745"/>
      <c r="AL57" s="756"/>
      <c r="AM57" s="745"/>
      <c r="AN57" s="746"/>
      <c r="AP57" s="875"/>
      <c r="AQ57" s="792"/>
      <c r="AR57" s="779"/>
      <c r="AS57" s="779"/>
      <c r="AT57" s="779"/>
      <c r="AU57" s="779"/>
      <c r="AV57" s="791"/>
      <c r="AW57" s="779"/>
      <c r="AX57" s="778"/>
      <c r="AZ57" s="882"/>
      <c r="BA57" s="32"/>
      <c r="BB57" s="673"/>
      <c r="BC57" s="673"/>
      <c r="BD57" s="673"/>
      <c r="BE57" s="673"/>
      <c r="BF57" s="687"/>
      <c r="BG57" s="673"/>
      <c r="BH57" s="674"/>
      <c r="BJ57" s="861"/>
      <c r="BK57" s="723"/>
      <c r="BL57" s="708"/>
      <c r="BM57" s="708"/>
      <c r="BN57" s="708"/>
      <c r="BO57" s="708"/>
      <c r="BP57" s="721"/>
      <c r="BQ57" s="708"/>
      <c r="BR57" s="709"/>
      <c r="BT57" s="868"/>
      <c r="BU57" s="758"/>
      <c r="BV57" s="745"/>
      <c r="BW57" s="745"/>
      <c r="BX57" s="745"/>
      <c r="BY57" s="745"/>
      <c r="BZ57" s="756"/>
      <c r="CA57" s="745"/>
      <c r="CB57" s="746"/>
      <c r="CD57" s="892"/>
      <c r="CE57" s="624"/>
      <c r="CF57" s="68"/>
      <c r="CG57" s="68"/>
      <c r="CH57" s="68"/>
      <c r="CI57" s="68"/>
      <c r="CJ57" s="622"/>
      <c r="CK57" s="68"/>
      <c r="CL57" s="619"/>
      <c r="CN57" s="882"/>
      <c r="CO57" s="32"/>
      <c r="CP57" s="673"/>
      <c r="CQ57" s="673"/>
      <c r="CR57" s="673"/>
      <c r="CS57" s="673"/>
      <c r="CT57" s="687"/>
      <c r="CU57" s="673"/>
      <c r="CV57" s="674"/>
      <c r="CX57" s="861"/>
      <c r="CY57" s="723"/>
      <c r="CZ57" s="708"/>
      <c r="DA57" s="708"/>
      <c r="DB57" s="708"/>
      <c r="DC57" s="708"/>
      <c r="DD57" s="721"/>
      <c r="DE57" s="708"/>
      <c r="DF57" s="709"/>
      <c r="DH57" s="868"/>
      <c r="DI57" s="758"/>
      <c r="DJ57" s="745"/>
      <c r="DK57" s="745"/>
      <c r="DL57" s="745"/>
      <c r="DM57" s="745"/>
      <c r="DN57" s="756"/>
      <c r="DO57" s="745"/>
      <c r="DP57" s="746"/>
    </row>
    <row r="58" spans="2:120" ht="30" customHeight="1" x14ac:dyDescent="0.25">
      <c r="B58" s="1632" t="s">
        <v>434</v>
      </c>
      <c r="C58" s="1417"/>
      <c r="D58" s="663"/>
      <c r="E58" s="663"/>
      <c r="F58" s="635"/>
      <c r="G58" s="635"/>
      <c r="H58" s="635"/>
      <c r="I58" s="635"/>
      <c r="J58" s="634"/>
      <c r="L58" s="1606" t="s">
        <v>402</v>
      </c>
      <c r="M58" s="1438"/>
      <c r="N58" s="700"/>
      <c r="O58" s="700"/>
      <c r="P58" s="673"/>
      <c r="Q58" s="673"/>
      <c r="R58" s="673"/>
      <c r="S58" s="673"/>
      <c r="T58" s="674"/>
      <c r="V58" s="1572" t="s">
        <v>402</v>
      </c>
      <c r="W58" s="1573"/>
      <c r="X58" s="739"/>
      <c r="Y58" s="739"/>
      <c r="Z58" s="708"/>
      <c r="AA58" s="708"/>
      <c r="AB58" s="708"/>
      <c r="AC58" s="708"/>
      <c r="AD58" s="709"/>
      <c r="AF58" s="1574" t="s">
        <v>402</v>
      </c>
      <c r="AG58" s="1575"/>
      <c r="AH58" s="771"/>
      <c r="AI58" s="771"/>
      <c r="AJ58" s="745"/>
      <c r="AK58" s="745"/>
      <c r="AL58" s="745"/>
      <c r="AM58" s="745"/>
      <c r="AN58" s="746"/>
      <c r="AP58" s="1617" t="s">
        <v>402</v>
      </c>
      <c r="AQ58" s="1269"/>
      <c r="AR58" s="810"/>
      <c r="AS58" s="810"/>
      <c r="AT58" s="779"/>
      <c r="AU58" s="779"/>
      <c r="AV58" s="779"/>
      <c r="AW58" s="779"/>
      <c r="AX58" s="778"/>
      <c r="AZ58" s="1606" t="s">
        <v>402</v>
      </c>
      <c r="BA58" s="1438"/>
      <c r="BB58" s="700"/>
      <c r="BC58" s="700"/>
      <c r="BD58" s="673"/>
      <c r="BE58" s="673"/>
      <c r="BF58" s="673"/>
      <c r="BG58" s="673"/>
      <c r="BH58" s="674"/>
      <c r="BJ58" s="1572" t="s">
        <v>402</v>
      </c>
      <c r="BK58" s="1573"/>
      <c r="BL58" s="739"/>
      <c r="BM58" s="739"/>
      <c r="BN58" s="708"/>
      <c r="BO58" s="708"/>
      <c r="BP58" s="708"/>
      <c r="BQ58" s="708"/>
      <c r="BR58" s="709"/>
      <c r="BT58" s="1574" t="s">
        <v>402</v>
      </c>
      <c r="BU58" s="1575"/>
      <c r="BV58" s="771"/>
      <c r="BW58" s="771"/>
      <c r="BX58" s="745"/>
      <c r="BY58" s="745"/>
      <c r="BZ58" s="745"/>
      <c r="CA58" s="745"/>
      <c r="CB58" s="746"/>
      <c r="CD58" s="1587" t="s">
        <v>402</v>
      </c>
      <c r="CE58" s="1588"/>
      <c r="CF58" s="127"/>
      <c r="CG58" s="127"/>
      <c r="CH58" s="68"/>
      <c r="CI58" s="68"/>
      <c r="CJ58" s="68"/>
      <c r="CK58" s="68"/>
      <c r="CL58" s="619"/>
      <c r="CN58" s="1606" t="s">
        <v>402</v>
      </c>
      <c r="CO58" s="1438"/>
      <c r="CP58" s="700"/>
      <c r="CQ58" s="700"/>
      <c r="CR58" s="673"/>
      <c r="CS58" s="673"/>
      <c r="CT58" s="673"/>
      <c r="CU58" s="673"/>
      <c r="CV58" s="674"/>
      <c r="CX58" s="1572" t="s">
        <v>402</v>
      </c>
      <c r="CY58" s="1573"/>
      <c r="CZ58" s="739"/>
      <c r="DA58" s="739"/>
      <c r="DB58" s="708"/>
      <c r="DC58" s="708"/>
      <c r="DD58" s="708"/>
      <c r="DE58" s="708"/>
      <c r="DF58" s="709"/>
      <c r="DH58" s="1574" t="s">
        <v>402</v>
      </c>
      <c r="DI58" s="1575"/>
      <c r="DJ58" s="771"/>
      <c r="DK58" s="771"/>
      <c r="DL58" s="745"/>
      <c r="DM58" s="745"/>
      <c r="DN58" s="745"/>
      <c r="DO58" s="745"/>
      <c r="DP58" s="746"/>
    </row>
    <row r="59" spans="2:120" x14ac:dyDescent="0.25">
      <c r="B59" s="657" t="s">
        <v>408</v>
      </c>
      <c r="C59" s="406" t="s">
        <v>413</v>
      </c>
      <c r="D59" s="635"/>
      <c r="E59" s="635"/>
      <c r="F59" s="635"/>
      <c r="G59" s="635"/>
      <c r="H59" s="635"/>
      <c r="I59" s="635"/>
      <c r="J59" s="634"/>
      <c r="L59" s="853" t="s">
        <v>408</v>
      </c>
      <c r="M59" s="219" t="s">
        <v>413</v>
      </c>
      <c r="N59" s="673"/>
      <c r="O59" s="673"/>
      <c r="P59" s="673"/>
      <c r="Q59" s="673"/>
      <c r="R59" s="673"/>
      <c r="S59" s="673"/>
      <c r="T59" s="674"/>
      <c r="V59" s="858" t="s">
        <v>408</v>
      </c>
      <c r="W59" s="416" t="s">
        <v>413</v>
      </c>
      <c r="X59" s="708"/>
      <c r="Y59" s="708"/>
      <c r="Z59" s="708"/>
      <c r="AA59" s="708"/>
      <c r="AB59" s="708"/>
      <c r="AC59" s="708"/>
      <c r="AD59" s="709"/>
      <c r="AF59" s="865" t="s">
        <v>408</v>
      </c>
      <c r="AG59" s="221" t="s">
        <v>413</v>
      </c>
      <c r="AH59" s="745"/>
      <c r="AI59" s="745"/>
      <c r="AJ59" s="745"/>
      <c r="AK59" s="745"/>
      <c r="AL59" s="745"/>
      <c r="AM59" s="745"/>
      <c r="AN59" s="746"/>
      <c r="AP59" s="872" t="s">
        <v>408</v>
      </c>
      <c r="AQ59" s="216" t="s">
        <v>413</v>
      </c>
      <c r="AR59" s="779"/>
      <c r="AS59" s="779"/>
      <c r="AT59" s="779"/>
      <c r="AU59" s="779"/>
      <c r="AV59" s="779"/>
      <c r="AW59" s="779"/>
      <c r="AX59" s="778"/>
      <c r="AZ59" s="851" t="s">
        <v>408</v>
      </c>
      <c r="BA59" s="219" t="s">
        <v>413</v>
      </c>
      <c r="BB59" s="673"/>
      <c r="BC59" s="673"/>
      <c r="BD59" s="673"/>
      <c r="BE59" s="673"/>
      <c r="BF59" s="673"/>
      <c r="BG59" s="673"/>
      <c r="BH59" s="674"/>
      <c r="BJ59" s="858" t="s">
        <v>408</v>
      </c>
      <c r="BK59" s="416" t="s">
        <v>413</v>
      </c>
      <c r="BL59" s="708"/>
      <c r="BM59" s="708"/>
      <c r="BN59" s="708"/>
      <c r="BO59" s="708"/>
      <c r="BP59" s="708"/>
      <c r="BQ59" s="708"/>
      <c r="BR59" s="709"/>
      <c r="BT59" s="865" t="s">
        <v>408</v>
      </c>
      <c r="BU59" s="221" t="s">
        <v>413</v>
      </c>
      <c r="BV59" s="745"/>
      <c r="BW59" s="745"/>
      <c r="BX59" s="745"/>
      <c r="BY59" s="745"/>
      <c r="BZ59" s="745"/>
      <c r="CA59" s="745"/>
      <c r="CB59" s="746"/>
      <c r="CD59" s="890" t="s">
        <v>408</v>
      </c>
      <c r="CE59" s="107" t="s">
        <v>413</v>
      </c>
      <c r="CF59" s="68"/>
      <c r="CG59" s="68"/>
      <c r="CH59" s="68"/>
      <c r="CI59" s="68"/>
      <c r="CJ59" s="68"/>
      <c r="CK59" s="68"/>
      <c r="CL59" s="619"/>
      <c r="CN59" s="851" t="s">
        <v>408</v>
      </c>
      <c r="CO59" s="219" t="s">
        <v>413</v>
      </c>
      <c r="CP59" s="673"/>
      <c r="CQ59" s="673"/>
      <c r="CR59" s="673"/>
      <c r="CS59" s="673"/>
      <c r="CT59" s="673"/>
      <c r="CU59" s="673"/>
      <c r="CV59" s="674"/>
      <c r="CX59" s="858" t="s">
        <v>408</v>
      </c>
      <c r="CY59" s="416" t="s">
        <v>413</v>
      </c>
      <c r="CZ59" s="708"/>
      <c r="DA59" s="708"/>
      <c r="DB59" s="708"/>
      <c r="DC59" s="708"/>
      <c r="DD59" s="708"/>
      <c r="DE59" s="708"/>
      <c r="DF59" s="709"/>
      <c r="DH59" s="865" t="s">
        <v>408</v>
      </c>
      <c r="DI59" s="221" t="s">
        <v>413</v>
      </c>
      <c r="DJ59" s="745"/>
      <c r="DK59" s="745"/>
      <c r="DL59" s="745"/>
      <c r="DM59" s="745"/>
      <c r="DN59" s="745"/>
      <c r="DO59" s="745"/>
      <c r="DP59" s="746"/>
    </row>
    <row r="60" spans="2:120" x14ac:dyDescent="0.25">
      <c r="B60" s="657" t="s">
        <v>414</v>
      </c>
      <c r="C60" s="664">
        <f>+C61/C54</f>
        <v>8588.8294985313241</v>
      </c>
      <c r="D60" s="635"/>
      <c r="E60" s="635"/>
      <c r="F60" s="635"/>
      <c r="G60" s="635"/>
      <c r="H60" s="635"/>
      <c r="I60" s="635"/>
      <c r="J60" s="634"/>
      <c r="L60" s="853" t="s">
        <v>414</v>
      </c>
      <c r="M60" s="701">
        <f>+M61/M54</f>
        <v>8610.3656652930513</v>
      </c>
      <c r="N60" s="673"/>
      <c r="O60" s="673"/>
      <c r="P60" s="673"/>
      <c r="Q60" s="673"/>
      <c r="R60" s="673"/>
      <c r="S60" s="673"/>
      <c r="T60" s="674"/>
      <c r="V60" s="858" t="s">
        <v>414</v>
      </c>
      <c r="W60" s="740">
        <f>+W61/W54</f>
        <v>8612.3455278666734</v>
      </c>
      <c r="X60" s="708"/>
      <c r="Y60" s="708"/>
      <c r="Z60" s="708"/>
      <c r="AA60" s="708"/>
      <c r="AB60" s="708"/>
      <c r="AC60" s="708"/>
      <c r="AD60" s="709"/>
      <c r="AF60" s="865" t="s">
        <v>414</v>
      </c>
      <c r="AG60" s="224">
        <f>+AG61/AG54</f>
        <v>8593.7611305890314</v>
      </c>
      <c r="AH60" s="745"/>
      <c r="AI60" s="745"/>
      <c r="AJ60" s="745"/>
      <c r="AK60" s="745"/>
      <c r="AL60" s="745"/>
      <c r="AM60" s="745"/>
      <c r="AN60" s="746"/>
      <c r="AP60" s="872" t="s">
        <v>414</v>
      </c>
      <c r="AQ60" s="811">
        <f>+AQ61/AQ54</f>
        <v>8572.6185217060174</v>
      </c>
      <c r="AR60" s="779"/>
      <c r="AS60" s="779"/>
      <c r="AT60" s="779"/>
      <c r="AU60" s="779"/>
      <c r="AV60" s="779"/>
      <c r="AW60" s="779"/>
      <c r="AX60" s="778"/>
      <c r="AZ60" s="851" t="s">
        <v>414</v>
      </c>
      <c r="BA60" s="819">
        <f>+BA61/BA54</f>
        <v>8605.5593824471252</v>
      </c>
      <c r="BB60" s="673"/>
      <c r="BC60" s="673"/>
      <c r="BD60" s="673"/>
      <c r="BE60" s="673"/>
      <c r="BF60" s="673"/>
      <c r="BG60" s="673"/>
      <c r="BH60" s="674"/>
      <c r="BJ60" s="858" t="s">
        <v>414</v>
      </c>
      <c r="BK60" s="418">
        <f>+BK61/BK54</f>
        <v>8590.4899840682847</v>
      </c>
      <c r="BL60" s="708"/>
      <c r="BM60" s="708"/>
      <c r="BN60" s="708"/>
      <c r="BO60" s="708"/>
      <c r="BP60" s="708"/>
      <c r="BQ60" s="708"/>
      <c r="BR60" s="709"/>
      <c r="BT60" s="865" t="s">
        <v>414</v>
      </c>
      <c r="BU60" s="825">
        <f>+BU61/BU54</f>
        <v>8585.8664569174853</v>
      </c>
      <c r="BV60" s="745"/>
      <c r="BW60" s="745"/>
      <c r="BX60" s="745"/>
      <c r="BY60" s="745"/>
      <c r="BZ60" s="745"/>
      <c r="CA60" s="745"/>
      <c r="CB60" s="746"/>
      <c r="CD60" s="890" t="s">
        <v>414</v>
      </c>
      <c r="CE60" s="834">
        <f>+CE61/CE54</f>
        <v>8573.2870237418738</v>
      </c>
      <c r="CF60" s="68"/>
      <c r="CG60" s="68"/>
      <c r="CH60" s="68"/>
      <c r="CI60" s="68"/>
      <c r="CJ60" s="68"/>
      <c r="CK60" s="68"/>
      <c r="CL60" s="619"/>
      <c r="CN60" s="851" t="s">
        <v>414</v>
      </c>
      <c r="CO60" s="701">
        <f>+CO61/CO54</f>
        <v>8625.782727065427</v>
      </c>
      <c r="CP60" s="673"/>
      <c r="CQ60" s="673"/>
      <c r="CR60" s="673"/>
      <c r="CS60" s="673"/>
      <c r="CT60" s="673"/>
      <c r="CU60" s="673"/>
      <c r="CV60" s="674"/>
      <c r="CX60" s="858" t="s">
        <v>414</v>
      </c>
      <c r="CY60" s="418">
        <f>+CY61/CY54</f>
        <v>8596.945425190379</v>
      </c>
      <c r="CZ60" s="708"/>
      <c r="DA60" s="708"/>
      <c r="DB60" s="708"/>
      <c r="DC60" s="708"/>
      <c r="DD60" s="708"/>
      <c r="DE60" s="708"/>
      <c r="DF60" s="709"/>
      <c r="DH60" s="865" t="s">
        <v>414</v>
      </c>
      <c r="DI60" s="224">
        <f>+DI61/DI54</f>
        <v>8606.7235233024549</v>
      </c>
      <c r="DJ60" s="745"/>
      <c r="DK60" s="745"/>
      <c r="DL60" s="745"/>
      <c r="DM60" s="745"/>
      <c r="DN60" s="745"/>
      <c r="DO60" s="745"/>
      <c r="DP60" s="746"/>
    </row>
    <row r="61" spans="2:120" ht="52.5" customHeight="1" x14ac:dyDescent="0.25">
      <c r="B61" s="665" t="s">
        <v>409</v>
      </c>
      <c r="C61" s="661">
        <f>+H42</f>
        <v>3197874.3213116457</v>
      </c>
      <c r="D61" s="635"/>
      <c r="E61" s="635"/>
      <c r="F61" s="635"/>
      <c r="G61" s="635"/>
      <c r="H61" s="635"/>
      <c r="I61" s="635"/>
      <c r="J61" s="634"/>
      <c r="L61" s="855" t="s">
        <v>409</v>
      </c>
      <c r="M61" s="702">
        <f>+R42</f>
        <v>3165961.3523858408</v>
      </c>
      <c r="N61" s="673"/>
      <c r="O61" s="673"/>
      <c r="P61" s="673"/>
      <c r="Q61" s="673"/>
      <c r="R61" s="673"/>
      <c r="S61" s="673"/>
      <c r="T61" s="674"/>
      <c r="V61" s="860" t="s">
        <v>409</v>
      </c>
      <c r="W61" s="737">
        <f>+AB42</f>
        <v>3156596.882873693</v>
      </c>
      <c r="X61" s="708"/>
      <c r="Y61" s="708"/>
      <c r="Z61" s="708"/>
      <c r="AA61" s="708"/>
      <c r="AB61" s="708"/>
      <c r="AC61" s="708"/>
      <c r="AD61" s="709"/>
      <c r="AF61" s="866" t="s">
        <v>409</v>
      </c>
      <c r="AG61" s="772">
        <f>+AL42</f>
        <v>3121110.8132777596</v>
      </c>
      <c r="AH61" s="745"/>
      <c r="AI61" s="745"/>
      <c r="AJ61" s="745"/>
      <c r="AK61" s="745"/>
      <c r="AL61" s="745"/>
      <c r="AM61" s="745"/>
      <c r="AN61" s="746"/>
      <c r="AP61" s="874" t="s">
        <v>409</v>
      </c>
      <c r="AQ61" s="812">
        <f>+AV42</f>
        <v>3130633.8744978914</v>
      </c>
      <c r="AR61" s="779"/>
      <c r="AS61" s="779"/>
      <c r="AT61" s="779"/>
      <c r="AU61" s="779"/>
      <c r="AV61" s="779"/>
      <c r="AW61" s="779"/>
      <c r="AX61" s="778"/>
      <c r="AZ61" s="854" t="s">
        <v>409</v>
      </c>
      <c r="BA61" s="702">
        <f>+BF42</f>
        <v>3113283.1855520522</v>
      </c>
      <c r="BB61" s="673"/>
      <c r="BC61" s="673"/>
      <c r="BD61" s="673"/>
      <c r="BE61" s="673"/>
      <c r="BF61" s="673"/>
      <c r="BG61" s="673"/>
      <c r="BH61" s="674"/>
      <c r="BJ61" s="860" t="s">
        <v>409</v>
      </c>
      <c r="BK61" s="821">
        <f>+BP42</f>
        <v>3124901.5767368912</v>
      </c>
      <c r="BL61" s="708"/>
      <c r="BM61" s="708"/>
      <c r="BN61" s="708"/>
      <c r="BO61" s="708"/>
      <c r="BP61" s="708"/>
      <c r="BQ61" s="708"/>
      <c r="BR61" s="709"/>
      <c r="BT61" s="866" t="s">
        <v>409</v>
      </c>
      <c r="BU61" s="769">
        <f>+BZ42</f>
        <v>3114327.8192502423</v>
      </c>
      <c r="BV61" s="745"/>
      <c r="BW61" s="745"/>
      <c r="BX61" s="745"/>
      <c r="BY61" s="745"/>
      <c r="BZ61" s="745"/>
      <c r="CA61" s="745"/>
      <c r="CB61" s="746"/>
      <c r="CD61" s="891" t="s">
        <v>409</v>
      </c>
      <c r="CE61" s="125">
        <f>+CJ42</f>
        <v>3097014.9082921688</v>
      </c>
      <c r="CF61" s="68"/>
      <c r="CG61" s="68"/>
      <c r="CH61" s="68"/>
      <c r="CI61" s="68"/>
      <c r="CJ61" s="68"/>
      <c r="CK61" s="68"/>
      <c r="CL61" s="619"/>
      <c r="CN61" s="854" t="s">
        <v>409</v>
      </c>
      <c r="CO61" s="702">
        <f>+CT42</f>
        <v>3109494.0389752709</v>
      </c>
      <c r="CP61" s="673"/>
      <c r="CQ61" s="673"/>
      <c r="CR61" s="673"/>
      <c r="CS61" s="673"/>
      <c r="CT61" s="673"/>
      <c r="CU61" s="673"/>
      <c r="CV61" s="674"/>
      <c r="CX61" s="860" t="s">
        <v>409</v>
      </c>
      <c r="CY61" s="821">
        <f>+DD42</f>
        <v>3115245.7718581189</v>
      </c>
      <c r="CZ61" s="708"/>
      <c r="DA61" s="708"/>
      <c r="DB61" s="708"/>
      <c r="DC61" s="708"/>
      <c r="DD61" s="708"/>
      <c r="DE61" s="708"/>
      <c r="DF61" s="709"/>
      <c r="DH61" s="866" t="s">
        <v>409</v>
      </c>
      <c r="DI61" s="772">
        <f>+DN42</f>
        <v>3114369.9835488917</v>
      </c>
      <c r="DJ61" s="829"/>
      <c r="DK61" s="745"/>
      <c r="DL61" s="745"/>
      <c r="DM61" s="745"/>
      <c r="DN61" s="745"/>
      <c r="DO61" s="745"/>
      <c r="DP61" s="746"/>
    </row>
    <row r="62" spans="2:120" ht="50.25" customHeight="1" x14ac:dyDescent="0.25">
      <c r="B62" s="665" t="s">
        <v>446</v>
      </c>
      <c r="C62" s="661">
        <f>+E47</f>
        <v>200000</v>
      </c>
      <c r="D62" s="635"/>
      <c r="E62" s="666"/>
      <c r="F62" s="635"/>
      <c r="G62" s="635"/>
      <c r="H62" s="635"/>
      <c r="I62" s="635"/>
      <c r="J62" s="634"/>
      <c r="L62" s="855" t="s">
        <v>446</v>
      </c>
      <c r="M62" s="702">
        <f>+O47</f>
        <v>205000</v>
      </c>
      <c r="N62" s="673"/>
      <c r="O62" s="673"/>
      <c r="P62" s="673"/>
      <c r="Q62" s="673"/>
      <c r="R62" s="673"/>
      <c r="S62" s="673"/>
      <c r="T62" s="674"/>
      <c r="V62" s="860" t="s">
        <v>446</v>
      </c>
      <c r="W62" s="737">
        <f>+Y47</f>
        <v>210000</v>
      </c>
      <c r="X62" s="708"/>
      <c r="Y62" s="708"/>
      <c r="Z62" s="708"/>
      <c r="AA62" s="708"/>
      <c r="AB62" s="708"/>
      <c r="AC62" s="708"/>
      <c r="AD62" s="709"/>
      <c r="AF62" s="866" t="s">
        <v>446</v>
      </c>
      <c r="AG62" s="772">
        <f>+AI47</f>
        <v>210000</v>
      </c>
      <c r="AH62" s="745"/>
      <c r="AI62" s="745"/>
      <c r="AJ62" s="745"/>
      <c r="AK62" s="745"/>
      <c r="AL62" s="745"/>
      <c r="AM62" s="745"/>
      <c r="AN62" s="746"/>
      <c r="AP62" s="874" t="s">
        <v>447</v>
      </c>
      <c r="AQ62" s="813">
        <f>+AS47</f>
        <v>220000</v>
      </c>
      <c r="AR62" s="779"/>
      <c r="AS62" s="779"/>
      <c r="AT62" s="779"/>
      <c r="AU62" s="779"/>
      <c r="AV62" s="779"/>
      <c r="AW62" s="779"/>
      <c r="AX62" s="778"/>
      <c r="AZ62" s="854" t="s">
        <v>446</v>
      </c>
      <c r="BA62" s="702">
        <f>+BC47</f>
        <v>215000</v>
      </c>
      <c r="BB62" s="673"/>
      <c r="BC62" s="673"/>
      <c r="BD62" s="673"/>
      <c r="BE62" s="673"/>
      <c r="BF62" s="673"/>
      <c r="BG62" s="673"/>
      <c r="BH62" s="674"/>
      <c r="BJ62" s="860" t="s">
        <v>446</v>
      </c>
      <c r="BK62" s="821">
        <f>+BM47</f>
        <v>210000</v>
      </c>
      <c r="BL62" s="708"/>
      <c r="BM62" s="708"/>
      <c r="BN62" s="708"/>
      <c r="BO62" s="708"/>
      <c r="BP62" s="708"/>
      <c r="BQ62" s="708"/>
      <c r="BR62" s="709"/>
      <c r="BT62" s="866" t="s">
        <v>446</v>
      </c>
      <c r="BU62" s="769">
        <f>+BW47</f>
        <v>210000</v>
      </c>
      <c r="BV62" s="745"/>
      <c r="BW62" s="745"/>
      <c r="BX62" s="745"/>
      <c r="BY62" s="745"/>
      <c r="BZ62" s="745"/>
      <c r="CA62" s="745"/>
      <c r="CB62" s="746"/>
      <c r="CD62" s="891" t="s">
        <v>446</v>
      </c>
      <c r="CE62" s="125">
        <f>+CG47</f>
        <v>210000</v>
      </c>
      <c r="CF62" s="68"/>
      <c r="CG62" s="68"/>
      <c r="CH62" s="68"/>
      <c r="CI62" s="68"/>
      <c r="CJ62" s="68"/>
      <c r="CK62" s="68"/>
      <c r="CL62" s="619"/>
      <c r="CN62" s="854" t="s">
        <v>446</v>
      </c>
      <c r="CO62" s="702">
        <f>+CQ47</f>
        <v>210000</v>
      </c>
      <c r="CP62" s="673"/>
      <c r="CQ62" s="673"/>
      <c r="CR62" s="673"/>
      <c r="CS62" s="673"/>
      <c r="CT62" s="673"/>
      <c r="CU62" s="673"/>
      <c r="CV62" s="674"/>
      <c r="CX62" s="860" t="s">
        <v>446</v>
      </c>
      <c r="CY62" s="821">
        <f>+DA47</f>
        <v>210000</v>
      </c>
      <c r="CZ62" s="708"/>
      <c r="DA62" s="708"/>
      <c r="DB62" s="708"/>
      <c r="DC62" s="708"/>
      <c r="DD62" s="708"/>
      <c r="DE62" s="708"/>
      <c r="DF62" s="709"/>
      <c r="DH62" s="866" t="s">
        <v>446</v>
      </c>
      <c r="DI62" s="772">
        <f>+DK47</f>
        <v>210000</v>
      </c>
      <c r="DJ62" s="745"/>
      <c r="DK62" s="829"/>
      <c r="DL62" s="745"/>
      <c r="DM62" s="745"/>
      <c r="DN62" s="745"/>
      <c r="DO62" s="745"/>
      <c r="DP62" s="746"/>
    </row>
    <row r="63" spans="2:120" ht="33" customHeight="1" x14ac:dyDescent="0.25">
      <c r="B63" s="665" t="s">
        <v>410</v>
      </c>
      <c r="C63" s="661">
        <f>+E56</f>
        <v>116695.99999999999</v>
      </c>
      <c r="D63" s="635"/>
      <c r="E63" s="666"/>
      <c r="F63" s="635"/>
      <c r="G63" s="635"/>
      <c r="H63" s="635"/>
      <c r="I63" s="666"/>
      <c r="J63" s="634"/>
      <c r="L63" s="855" t="s">
        <v>410</v>
      </c>
      <c r="M63" s="702">
        <f>+O56</f>
        <v>115834</v>
      </c>
      <c r="N63" s="673"/>
      <c r="O63" s="673"/>
      <c r="P63" s="673"/>
      <c r="Q63" s="673"/>
      <c r="R63" s="673"/>
      <c r="S63" s="673"/>
      <c r="T63" s="674"/>
      <c r="V63" s="860" t="s">
        <v>410</v>
      </c>
      <c r="W63" s="737">
        <f>+Y56</f>
        <v>115834</v>
      </c>
      <c r="X63" s="708"/>
      <c r="Y63" s="708"/>
      <c r="Z63" s="708"/>
      <c r="AA63" s="708"/>
      <c r="AB63" s="708"/>
      <c r="AC63" s="708"/>
      <c r="AD63" s="709"/>
      <c r="AF63" s="866" t="s">
        <v>410</v>
      </c>
      <c r="AG63" s="772">
        <f>+AI56</f>
        <v>116364</v>
      </c>
      <c r="AH63" s="745"/>
      <c r="AI63" s="745"/>
      <c r="AJ63" s="745"/>
      <c r="AK63" s="745"/>
      <c r="AL63" s="745"/>
      <c r="AM63" s="745"/>
      <c r="AN63" s="746"/>
      <c r="AP63" s="874" t="s">
        <v>410</v>
      </c>
      <c r="AQ63" s="813">
        <f>+AS56</f>
        <v>115918</v>
      </c>
      <c r="AR63" s="779"/>
      <c r="AS63" s="779"/>
      <c r="AT63" s="779"/>
      <c r="AU63" s="779"/>
      <c r="AV63" s="779"/>
      <c r="AW63" s="779"/>
      <c r="AX63" s="778"/>
      <c r="AZ63" s="854" t="s">
        <v>410</v>
      </c>
      <c r="BA63" s="702">
        <f>+BC56</f>
        <v>116595.48387096773</v>
      </c>
      <c r="BB63" s="673"/>
      <c r="BC63" s="673"/>
      <c r="BD63" s="673"/>
      <c r="BE63" s="673"/>
      <c r="BF63" s="673"/>
      <c r="BG63" s="673"/>
      <c r="BH63" s="674"/>
      <c r="BJ63" s="860" t="s">
        <v>410</v>
      </c>
      <c r="BK63" s="821">
        <f>+BM56</f>
        <v>115486.45161290323</v>
      </c>
      <c r="BL63" s="708"/>
      <c r="BM63" s="708"/>
      <c r="BN63" s="708"/>
      <c r="BO63" s="708"/>
      <c r="BP63" s="708"/>
      <c r="BQ63" s="708"/>
      <c r="BR63" s="709"/>
      <c r="BT63" s="866" t="s">
        <v>410</v>
      </c>
      <c r="BU63" s="769">
        <f>+BW56</f>
        <v>115149.67741935483</v>
      </c>
      <c r="BV63" s="745"/>
      <c r="BW63" s="745"/>
      <c r="BX63" s="745"/>
      <c r="BY63" s="745"/>
      <c r="BZ63" s="745"/>
      <c r="CA63" s="745"/>
      <c r="CB63" s="746"/>
      <c r="CD63" s="891" t="s">
        <v>410</v>
      </c>
      <c r="CE63" s="125">
        <f>+CG56</f>
        <v>117102.58064516129</v>
      </c>
      <c r="CF63" s="68"/>
      <c r="CG63" s="68"/>
      <c r="CH63" s="68"/>
      <c r="CI63" s="68"/>
      <c r="CJ63" s="68"/>
      <c r="CK63" s="68"/>
      <c r="CL63" s="619"/>
      <c r="CN63" s="854" t="s">
        <v>410</v>
      </c>
      <c r="CO63" s="702">
        <f>+CQ56</f>
        <v>117124</v>
      </c>
      <c r="CP63" s="673"/>
      <c r="CQ63" s="673"/>
      <c r="CR63" s="673"/>
      <c r="CS63" s="673"/>
      <c r="CT63" s="673"/>
      <c r="CU63" s="673"/>
      <c r="CV63" s="674"/>
      <c r="CX63" s="860" t="s">
        <v>410</v>
      </c>
      <c r="CY63" s="821">
        <f>+DA56</f>
        <v>116149.99999999999</v>
      </c>
      <c r="CZ63" s="708"/>
      <c r="DA63" s="708"/>
      <c r="DB63" s="708"/>
      <c r="DC63" s="708"/>
      <c r="DD63" s="708"/>
      <c r="DE63" s="708"/>
      <c r="DF63" s="709"/>
      <c r="DH63" s="866" t="s">
        <v>410</v>
      </c>
      <c r="DI63" s="772">
        <f>+DK56</f>
        <v>116312.90322580645</v>
      </c>
      <c r="DJ63" s="745"/>
      <c r="DK63" s="829"/>
      <c r="DL63" s="745"/>
      <c r="DM63" s="745"/>
      <c r="DN63" s="745"/>
      <c r="DO63" s="745"/>
      <c r="DP63" s="746"/>
    </row>
    <row r="64" spans="2:120" ht="42" customHeight="1" x14ac:dyDescent="0.25">
      <c r="B64" s="665" t="s">
        <v>412</v>
      </c>
      <c r="C64" s="640">
        <f>+J42</f>
        <v>5957000</v>
      </c>
      <c r="D64" s="635"/>
      <c r="E64" s="666"/>
      <c r="F64" s="635"/>
      <c r="G64" s="635"/>
      <c r="H64" s="635"/>
      <c r="I64" s="666"/>
      <c r="J64" s="634"/>
      <c r="L64" s="855" t="s">
        <v>412</v>
      </c>
      <c r="M64" s="703">
        <f>+T42</f>
        <v>5835000</v>
      </c>
      <c r="N64" s="673"/>
      <c r="O64" s="673"/>
      <c r="P64" s="673"/>
      <c r="Q64" s="673"/>
      <c r="R64" s="673"/>
      <c r="S64" s="673"/>
      <c r="T64" s="674"/>
      <c r="V64" s="860" t="s">
        <v>412</v>
      </c>
      <c r="W64" s="713">
        <f>+AD42</f>
        <v>5877000</v>
      </c>
      <c r="X64" s="708"/>
      <c r="Y64" s="708"/>
      <c r="Z64" s="708"/>
      <c r="AA64" s="708"/>
      <c r="AB64" s="708"/>
      <c r="AC64" s="708"/>
      <c r="AD64" s="709"/>
      <c r="AF64" s="866" t="s">
        <v>412</v>
      </c>
      <c r="AG64" s="773">
        <f>+AN42</f>
        <v>5755000</v>
      </c>
      <c r="AH64" s="745"/>
      <c r="AI64" s="745"/>
      <c r="AJ64" s="745"/>
      <c r="AK64" s="745"/>
      <c r="AL64" s="745"/>
      <c r="AM64" s="745"/>
      <c r="AN64" s="746"/>
      <c r="AP64" s="874" t="s">
        <v>412</v>
      </c>
      <c r="AQ64" s="782">
        <f>+AX42</f>
        <v>5986000</v>
      </c>
      <c r="AR64" s="779"/>
      <c r="AS64" s="779"/>
      <c r="AT64" s="779"/>
      <c r="AU64" s="779"/>
      <c r="AV64" s="779"/>
      <c r="AW64" s="779"/>
      <c r="AX64" s="778"/>
      <c r="AZ64" s="854" t="s">
        <v>412</v>
      </c>
      <c r="BA64" s="703">
        <f>+BH42</f>
        <v>5805000</v>
      </c>
      <c r="BB64" s="673"/>
      <c r="BC64" s="673"/>
      <c r="BD64" s="673"/>
      <c r="BE64" s="673"/>
      <c r="BF64" s="673"/>
      <c r="BG64" s="673"/>
      <c r="BH64" s="674"/>
      <c r="BJ64" s="860" t="s">
        <v>412</v>
      </c>
      <c r="BK64" s="822">
        <f>+BR42</f>
        <v>5814000</v>
      </c>
      <c r="BL64" s="708"/>
      <c r="BM64" s="708"/>
      <c r="BN64" s="708"/>
      <c r="BO64" s="708"/>
      <c r="BP64" s="708"/>
      <c r="BQ64" s="708"/>
      <c r="BR64" s="709"/>
      <c r="BT64" s="866" t="s">
        <v>412</v>
      </c>
      <c r="BU64" s="748">
        <f>+CB42</f>
        <v>5862000</v>
      </c>
      <c r="BV64" s="745"/>
      <c r="BW64" s="745"/>
      <c r="BX64" s="745"/>
      <c r="BY64" s="745"/>
      <c r="BZ64" s="745"/>
      <c r="CA64" s="745"/>
      <c r="CB64" s="746"/>
      <c r="CD64" s="891" t="s">
        <v>412</v>
      </c>
      <c r="CE64" s="110">
        <f>+CL42</f>
        <v>5882000</v>
      </c>
      <c r="CF64" s="68"/>
      <c r="CG64" s="68"/>
      <c r="CH64" s="68"/>
      <c r="CI64" s="68"/>
      <c r="CJ64" s="68"/>
      <c r="CK64" s="68"/>
      <c r="CL64" s="619"/>
      <c r="CN64" s="854" t="s">
        <v>412</v>
      </c>
      <c r="CO64" s="703">
        <f>+CV42</f>
        <v>5617000</v>
      </c>
      <c r="CP64" s="673"/>
      <c r="CQ64" s="673"/>
      <c r="CR64" s="673"/>
      <c r="CS64" s="673"/>
      <c r="CT64" s="673"/>
      <c r="CU64" s="673"/>
      <c r="CV64" s="674"/>
      <c r="CX64" s="860" t="s">
        <v>412</v>
      </c>
      <c r="CY64" s="822">
        <f>+DF42</f>
        <v>5693000</v>
      </c>
      <c r="CZ64" s="708"/>
      <c r="DA64" s="708"/>
      <c r="DB64" s="708"/>
      <c r="DC64" s="708"/>
      <c r="DD64" s="708"/>
      <c r="DE64" s="708"/>
      <c r="DF64" s="709"/>
      <c r="DH64" s="866" t="s">
        <v>412</v>
      </c>
      <c r="DI64" s="773">
        <f>+DP42</f>
        <v>5719000</v>
      </c>
      <c r="DJ64" s="745"/>
      <c r="DK64" s="829"/>
      <c r="DL64" s="829"/>
      <c r="DM64" s="745"/>
      <c r="DN64" s="745"/>
      <c r="DO64" s="745"/>
      <c r="DP64" s="746"/>
    </row>
    <row r="65" spans="2:120" ht="15.75" thickBot="1" x14ac:dyDescent="0.3">
      <c r="B65" s="667" t="s">
        <v>242</v>
      </c>
      <c r="C65" s="668">
        <f>(C62+C64)-(C61+C63)</f>
        <v>2842429.6786883543</v>
      </c>
      <c r="D65" s="669"/>
      <c r="E65" s="670"/>
      <c r="F65" s="671"/>
      <c r="G65" s="670"/>
      <c r="H65" s="671"/>
      <c r="I65" s="671"/>
      <c r="J65" s="672"/>
      <c r="L65" s="856" t="s">
        <v>242</v>
      </c>
      <c r="M65" s="704">
        <f>(M64+M62)-(M61+M63)</f>
        <v>2758204.6476141592</v>
      </c>
      <c r="N65" s="705"/>
      <c r="O65" s="706"/>
      <c r="P65" s="706"/>
      <c r="Q65" s="706"/>
      <c r="R65" s="706"/>
      <c r="S65" s="706"/>
      <c r="T65" s="707"/>
      <c r="V65" s="862" t="s">
        <v>242</v>
      </c>
      <c r="W65" s="741">
        <f>(W64+W62)-(W61+W63)</f>
        <v>2814569.117126307</v>
      </c>
      <c r="X65" s="742"/>
      <c r="Y65" s="743"/>
      <c r="Z65" s="743"/>
      <c r="AA65" s="743"/>
      <c r="AB65" s="743"/>
      <c r="AC65" s="743"/>
      <c r="AD65" s="744"/>
      <c r="AF65" s="869" t="s">
        <v>242</v>
      </c>
      <c r="AG65" s="774">
        <f>(AG64+AG62)-(AG61+AG63)</f>
        <v>2727525.1867222404</v>
      </c>
      <c r="AH65" s="775"/>
      <c r="AI65" s="776"/>
      <c r="AJ65" s="776"/>
      <c r="AK65" s="776"/>
      <c r="AL65" s="776"/>
      <c r="AM65" s="776"/>
      <c r="AN65" s="777"/>
      <c r="AP65" s="876" t="s">
        <v>242</v>
      </c>
      <c r="AQ65" s="814">
        <f>SUM(AQ64+AQ62)-(AQ61+AQ63)</f>
        <v>2959448.1255021086</v>
      </c>
      <c r="AR65" s="815"/>
      <c r="AS65" s="816"/>
      <c r="AT65" s="816"/>
      <c r="AU65" s="816"/>
      <c r="AV65" s="816"/>
      <c r="AW65" s="816"/>
      <c r="AX65" s="817"/>
      <c r="AZ65" s="883" t="s">
        <v>242</v>
      </c>
      <c r="BA65" s="704">
        <f>(BA64+BA62)-(BA61+BA63)</f>
        <v>2790121.33057698</v>
      </c>
      <c r="BB65" s="705"/>
      <c r="BC65" s="706"/>
      <c r="BD65" s="706"/>
      <c r="BE65" s="706"/>
      <c r="BF65" s="706"/>
      <c r="BG65" s="706"/>
      <c r="BH65" s="707"/>
      <c r="BJ65" s="862" t="s">
        <v>242</v>
      </c>
      <c r="BK65" s="823">
        <f>(BK64+BK62)-(BK61+BK63)</f>
        <v>2783611.9716502056</v>
      </c>
      <c r="BL65" s="742"/>
      <c r="BM65" s="743"/>
      <c r="BN65" s="743"/>
      <c r="BO65" s="743"/>
      <c r="BP65" s="743"/>
      <c r="BQ65" s="743"/>
      <c r="BR65" s="744"/>
      <c r="BT65" s="869" t="s">
        <v>242</v>
      </c>
      <c r="BU65" s="826">
        <f>(BU64+BU62)-(BU61+BU63)</f>
        <v>2842522.503330403</v>
      </c>
      <c r="BV65" s="827"/>
      <c r="BW65" s="776"/>
      <c r="BX65" s="776"/>
      <c r="BY65" s="776"/>
      <c r="BZ65" s="776"/>
      <c r="CA65" s="776"/>
      <c r="CB65" s="777"/>
      <c r="CD65" s="893" t="s">
        <v>242</v>
      </c>
      <c r="CE65" s="835">
        <f>(CE64+CE62)-(CE61+CE63)</f>
        <v>2877882.51106267</v>
      </c>
      <c r="CF65" s="836"/>
      <c r="CG65" s="630"/>
      <c r="CH65" s="630"/>
      <c r="CI65" s="630"/>
      <c r="CJ65" s="630"/>
      <c r="CK65" s="630"/>
      <c r="CL65" s="631"/>
      <c r="CN65" s="883" t="s">
        <v>242</v>
      </c>
      <c r="CO65" s="704">
        <f>(CO64+CO62)-(CO61+CO63)</f>
        <v>2600381.9610247291</v>
      </c>
      <c r="CP65" s="705"/>
      <c r="CQ65" s="706"/>
      <c r="CR65" s="706"/>
      <c r="CS65" s="706"/>
      <c r="CT65" s="706"/>
      <c r="CU65" s="706"/>
      <c r="CV65" s="707"/>
      <c r="CX65" s="862" t="s">
        <v>242</v>
      </c>
      <c r="CY65" s="741">
        <f>(CY64+CY62)-(CY61+CY63)</f>
        <v>2671604.2281418811</v>
      </c>
      <c r="CZ65" s="832"/>
      <c r="DA65" s="743"/>
      <c r="DB65" s="743"/>
      <c r="DC65" s="743"/>
      <c r="DD65" s="743"/>
      <c r="DE65" s="743"/>
      <c r="DF65" s="744"/>
      <c r="DH65" s="869" t="s">
        <v>242</v>
      </c>
      <c r="DI65" s="774">
        <f>(DI64+DI62)-(DI61+DI63)</f>
        <v>2698317.1132253017</v>
      </c>
      <c r="DJ65" s="830"/>
      <c r="DK65" s="830"/>
      <c r="DL65" s="830"/>
      <c r="DM65" s="776"/>
      <c r="DN65" s="776"/>
      <c r="DO65" s="776"/>
      <c r="DP65" s="777"/>
    </row>
    <row r="66" spans="2:120" s="37" customFormat="1" x14ac:dyDescent="0.25">
      <c r="C66" s="35"/>
      <c r="L66" s="848"/>
      <c r="V66" s="304"/>
      <c r="AF66" s="304"/>
      <c r="AP66" s="304"/>
      <c r="AZ66" s="304"/>
      <c r="BJ66" s="304"/>
      <c r="BT66" s="304"/>
      <c r="CD66" s="304"/>
      <c r="CN66" s="304"/>
      <c r="CX66" s="304"/>
      <c r="DH66" s="304"/>
    </row>
    <row r="67" spans="2:120" s="37" customFormat="1" x14ac:dyDescent="0.25">
      <c r="C67" s="618"/>
      <c r="L67" s="848"/>
      <c r="V67" s="304"/>
      <c r="AF67" s="304"/>
      <c r="AP67" s="304"/>
      <c r="AZ67" s="304"/>
      <c r="BJ67" s="304"/>
      <c r="BT67" s="304"/>
      <c r="CD67" s="304"/>
      <c r="CN67" s="304"/>
      <c r="CX67" s="304"/>
      <c r="DH67" s="304"/>
    </row>
    <row r="68" spans="2:120" s="37" customFormat="1" x14ac:dyDescent="0.25">
      <c r="C68" s="35"/>
      <c r="L68" s="848"/>
      <c r="V68" s="304"/>
      <c r="AF68" s="304"/>
      <c r="AP68" s="304"/>
      <c r="AZ68" s="304"/>
      <c r="BJ68" s="304"/>
      <c r="BT68" s="304"/>
      <c r="CD68" s="304"/>
      <c r="CN68" s="304"/>
      <c r="CX68" s="304"/>
      <c r="DH68" s="304"/>
    </row>
    <row r="69" spans="2:120" s="37" customFormat="1" x14ac:dyDescent="0.25">
      <c r="C69" s="35"/>
      <c r="L69" s="848"/>
      <c r="V69" s="304"/>
      <c r="AF69" s="304"/>
      <c r="AP69" s="304"/>
      <c r="AZ69" s="304"/>
      <c r="BJ69" s="304"/>
      <c r="BT69" s="304"/>
      <c r="CD69" s="304"/>
      <c r="CN69" s="304"/>
      <c r="CX69" s="304"/>
      <c r="DH69" s="304"/>
    </row>
    <row r="70" spans="2:120" s="37" customFormat="1" hidden="1" x14ac:dyDescent="0.25">
      <c r="C70" s="35"/>
      <c r="L70" s="848"/>
      <c r="V70" s="304"/>
      <c r="AF70" s="304"/>
      <c r="AP70" s="304"/>
      <c r="AZ70" s="304"/>
      <c r="BJ70" s="304"/>
      <c r="BT70" s="304"/>
      <c r="CD70" s="304"/>
      <c r="CN70" s="304"/>
      <c r="CX70" s="304"/>
      <c r="DH70" s="304"/>
    </row>
    <row r="71" spans="2:120" s="37" customFormat="1" hidden="1" x14ac:dyDescent="0.25">
      <c r="C71" s="35"/>
      <c r="L71" s="848"/>
      <c r="V71" s="304"/>
      <c r="AF71" s="304"/>
      <c r="AP71" s="304"/>
      <c r="AZ71" s="304"/>
      <c r="BJ71" s="304"/>
      <c r="BT71" s="304"/>
      <c r="CD71" s="304"/>
      <c r="CN71" s="304"/>
      <c r="CX71" s="304"/>
      <c r="DH71" s="304"/>
    </row>
    <row r="72" spans="2:120" s="37" customFormat="1" hidden="1" x14ac:dyDescent="0.25">
      <c r="C72" s="35"/>
      <c r="L72" s="848"/>
      <c r="V72" s="304"/>
      <c r="AF72" s="304"/>
      <c r="AP72" s="304"/>
      <c r="AZ72" s="304"/>
      <c r="BJ72" s="304"/>
      <c r="BT72" s="304"/>
      <c r="CD72" s="304"/>
      <c r="CN72" s="304"/>
      <c r="CX72" s="304"/>
      <c r="DH72" s="304"/>
    </row>
    <row r="73" spans="2:120" s="37" customFormat="1" hidden="1" x14ac:dyDescent="0.25">
      <c r="C73" s="35"/>
      <c r="L73" s="848"/>
      <c r="V73" s="304"/>
      <c r="AF73" s="304"/>
      <c r="AP73" s="304"/>
      <c r="AZ73" s="304"/>
      <c r="BJ73" s="304"/>
      <c r="BT73" s="304"/>
      <c r="CD73" s="304"/>
      <c r="CN73" s="304"/>
      <c r="CX73" s="304"/>
      <c r="DH73" s="304"/>
    </row>
    <row r="74" spans="2:120" s="37" customFormat="1" hidden="1" x14ac:dyDescent="0.25">
      <c r="C74" s="35"/>
      <c r="L74" s="848"/>
      <c r="V74" s="304"/>
      <c r="AF74" s="304"/>
      <c r="AP74" s="304"/>
      <c r="AZ74" s="304"/>
      <c r="BJ74" s="304"/>
      <c r="BT74" s="304"/>
      <c r="CD74" s="304"/>
      <c r="CN74" s="304"/>
      <c r="CX74" s="304"/>
      <c r="DH74" s="304"/>
    </row>
    <row r="75" spans="2:120" s="37" customFormat="1" hidden="1" x14ac:dyDescent="0.25">
      <c r="C75" s="35"/>
      <c r="L75" s="848"/>
      <c r="V75" s="304"/>
      <c r="AF75" s="304"/>
      <c r="AP75" s="304"/>
      <c r="AZ75" s="304"/>
      <c r="BJ75" s="304"/>
      <c r="BT75" s="304"/>
      <c r="CD75" s="304"/>
      <c r="CN75" s="304"/>
      <c r="CX75" s="304"/>
      <c r="DH75" s="304"/>
    </row>
    <row r="76" spans="2:120" s="37" customFormat="1" hidden="1" x14ac:dyDescent="0.25">
      <c r="C76" s="35"/>
      <c r="L76" s="848"/>
      <c r="V76" s="304"/>
      <c r="AF76" s="304"/>
      <c r="AP76" s="304"/>
      <c r="AZ76" s="304"/>
      <c r="BJ76" s="304"/>
      <c r="BT76" s="304"/>
      <c r="CD76" s="304"/>
      <c r="CN76" s="304"/>
      <c r="CX76" s="304"/>
      <c r="DH76" s="304"/>
    </row>
    <row r="77" spans="2:120" s="37" customFormat="1" hidden="1" x14ac:dyDescent="0.25">
      <c r="C77" s="35"/>
      <c r="L77" s="848"/>
      <c r="V77" s="304"/>
      <c r="AF77" s="304"/>
      <c r="AP77" s="304"/>
      <c r="AZ77" s="304"/>
      <c r="BJ77" s="304"/>
      <c r="BT77" s="304"/>
      <c r="CD77" s="304"/>
      <c r="CN77" s="304"/>
      <c r="CX77" s="304"/>
      <c r="DH77" s="304"/>
    </row>
    <row r="78" spans="2:120" s="37" customFormat="1" hidden="1" x14ac:dyDescent="0.25">
      <c r="C78" s="35"/>
      <c r="L78" s="848"/>
      <c r="V78" s="304"/>
      <c r="AF78" s="304"/>
      <c r="AP78" s="304"/>
      <c r="AZ78" s="304"/>
      <c r="BJ78" s="304"/>
      <c r="BT78" s="304"/>
      <c r="CD78" s="304"/>
      <c r="CN78" s="304"/>
      <c r="CX78" s="304"/>
      <c r="DH78" s="304"/>
    </row>
    <row r="79" spans="2:120" s="37" customFormat="1" hidden="1" x14ac:dyDescent="0.25">
      <c r="C79" s="35"/>
      <c r="L79" s="848"/>
      <c r="V79" s="304"/>
      <c r="AF79" s="304"/>
      <c r="AP79" s="304"/>
      <c r="AZ79" s="304"/>
      <c r="BJ79" s="304"/>
      <c r="BT79" s="304"/>
      <c r="CD79" s="304"/>
      <c r="CN79" s="304"/>
      <c r="CX79" s="304"/>
      <c r="DH79" s="304"/>
    </row>
    <row r="80" spans="2:120" s="37" customFormat="1" hidden="1" x14ac:dyDescent="0.25">
      <c r="C80" s="35"/>
      <c r="L80" s="848"/>
      <c r="V80" s="304"/>
      <c r="AF80" s="304"/>
      <c r="AP80" s="304"/>
      <c r="AZ80" s="304"/>
      <c r="BJ80" s="304"/>
      <c r="BT80" s="304"/>
      <c r="CD80" s="304"/>
      <c r="CN80" s="304"/>
      <c r="CX80" s="304"/>
      <c r="DH80" s="304"/>
    </row>
    <row r="81" spans="3:112" s="37" customFormat="1" hidden="1" x14ac:dyDescent="0.25">
      <c r="C81" s="35"/>
      <c r="L81" s="848"/>
      <c r="V81" s="304"/>
      <c r="AF81" s="304"/>
      <c r="AP81" s="304"/>
      <c r="AZ81" s="304"/>
      <c r="BJ81" s="304"/>
      <c r="BT81" s="304"/>
      <c r="CD81" s="304"/>
      <c r="CN81" s="304"/>
      <c r="CX81" s="304"/>
      <c r="DH81" s="304"/>
    </row>
    <row r="82" spans="3:112" s="37" customFormat="1" hidden="1" x14ac:dyDescent="0.25">
      <c r="C82" s="35"/>
      <c r="L82" s="848"/>
      <c r="V82" s="304"/>
      <c r="AF82" s="304"/>
      <c r="AP82" s="304"/>
      <c r="AZ82" s="304"/>
      <c r="BJ82" s="304"/>
      <c r="BT82" s="304"/>
      <c r="CD82" s="304"/>
      <c r="CN82" s="304"/>
      <c r="CX82" s="304"/>
      <c r="DH82" s="304"/>
    </row>
    <row r="83" spans="3:112" s="37" customFormat="1" hidden="1" x14ac:dyDescent="0.25">
      <c r="C83" s="35"/>
      <c r="L83" s="848"/>
      <c r="V83" s="304"/>
      <c r="AF83" s="304"/>
      <c r="AP83" s="304"/>
      <c r="AZ83" s="304"/>
      <c r="BJ83" s="304"/>
      <c r="BT83" s="304"/>
      <c r="CD83" s="304"/>
      <c r="CN83" s="304"/>
      <c r="CX83" s="304"/>
      <c r="DH83" s="304"/>
    </row>
    <row r="84" spans="3:112" s="37" customFormat="1" hidden="1" x14ac:dyDescent="0.25">
      <c r="C84" s="35"/>
      <c r="L84" s="848"/>
      <c r="V84" s="304"/>
      <c r="AF84" s="304"/>
      <c r="AP84" s="304"/>
      <c r="AZ84" s="304"/>
      <c r="BJ84" s="304"/>
      <c r="BT84" s="304"/>
      <c r="CD84" s="304"/>
      <c r="CN84" s="304"/>
      <c r="CX84" s="304"/>
      <c r="DH84" s="304"/>
    </row>
    <row r="85" spans="3:112" s="37" customFormat="1" hidden="1" x14ac:dyDescent="0.25">
      <c r="C85" s="35"/>
      <c r="L85" s="848"/>
      <c r="V85" s="304"/>
      <c r="AF85" s="304"/>
      <c r="AP85" s="304"/>
      <c r="AZ85" s="304"/>
      <c r="BJ85" s="304"/>
      <c r="BT85" s="304"/>
      <c r="CD85" s="304"/>
      <c r="CN85" s="304"/>
      <c r="CX85" s="304"/>
      <c r="DH85" s="304"/>
    </row>
    <row r="86" spans="3:112" s="37" customFormat="1" hidden="1" x14ac:dyDescent="0.25">
      <c r="C86" s="35"/>
      <c r="L86" s="848"/>
      <c r="V86" s="304"/>
      <c r="AF86" s="304"/>
      <c r="AP86" s="304"/>
      <c r="AZ86" s="304"/>
      <c r="BJ86" s="304"/>
      <c r="BT86" s="304"/>
      <c r="CD86" s="304"/>
      <c r="CN86" s="304"/>
      <c r="CX86" s="304"/>
      <c r="DH86" s="304"/>
    </row>
    <row r="87" spans="3:112" s="37" customFormat="1" hidden="1" x14ac:dyDescent="0.25">
      <c r="C87" s="35"/>
      <c r="L87" s="848"/>
      <c r="V87" s="304"/>
      <c r="AF87" s="304"/>
      <c r="AP87" s="304"/>
      <c r="AZ87" s="304"/>
      <c r="BJ87" s="304"/>
      <c r="BT87" s="304"/>
      <c r="CD87" s="304"/>
      <c r="CN87" s="304"/>
      <c r="CX87" s="304"/>
      <c r="DH87" s="304"/>
    </row>
    <row r="88" spans="3:112" s="37" customFormat="1" hidden="1" x14ac:dyDescent="0.25">
      <c r="C88" s="35"/>
      <c r="L88" s="848"/>
      <c r="V88" s="304"/>
      <c r="AF88" s="304"/>
      <c r="AP88" s="304"/>
      <c r="AZ88" s="304"/>
      <c r="BJ88" s="304"/>
      <c r="BT88" s="304"/>
      <c r="CD88" s="304"/>
      <c r="CN88" s="304"/>
      <c r="CX88" s="304"/>
      <c r="DH88" s="304"/>
    </row>
    <row r="89" spans="3:112" s="37" customFormat="1" hidden="1" x14ac:dyDescent="0.25">
      <c r="C89" s="35"/>
      <c r="L89" s="848"/>
      <c r="V89" s="304"/>
      <c r="AF89" s="304"/>
      <c r="AP89" s="304"/>
      <c r="AZ89" s="304"/>
      <c r="BJ89" s="304"/>
      <c r="BT89" s="304"/>
      <c r="CD89" s="304"/>
      <c r="CN89" s="304"/>
      <c r="CX89" s="304"/>
      <c r="DH89" s="304"/>
    </row>
    <row r="90" spans="3:112" s="37" customFormat="1" hidden="1" x14ac:dyDescent="0.25">
      <c r="C90" s="35"/>
      <c r="L90" s="848"/>
      <c r="V90" s="304"/>
      <c r="AF90" s="304"/>
      <c r="AP90" s="304"/>
      <c r="AZ90" s="304"/>
      <c r="BJ90" s="304"/>
      <c r="BT90" s="304"/>
      <c r="CD90" s="304"/>
      <c r="CN90" s="304"/>
      <c r="CX90" s="304"/>
      <c r="DH90" s="304"/>
    </row>
    <row r="91" spans="3:112" s="37" customFormat="1" hidden="1" x14ac:dyDescent="0.25">
      <c r="C91" s="35"/>
      <c r="L91" s="848"/>
      <c r="V91" s="304"/>
      <c r="AF91" s="304"/>
      <c r="AP91" s="304"/>
      <c r="AZ91" s="304"/>
      <c r="BJ91" s="304"/>
      <c r="BT91" s="304"/>
      <c r="CD91" s="304"/>
      <c r="CN91" s="304"/>
      <c r="CX91" s="304"/>
      <c r="DH91" s="304"/>
    </row>
    <row r="92" spans="3:112" s="37" customFormat="1" hidden="1" x14ac:dyDescent="0.25">
      <c r="C92" s="35"/>
      <c r="L92" s="848"/>
      <c r="V92" s="304"/>
      <c r="AF92" s="304"/>
      <c r="AP92" s="304"/>
      <c r="AZ92" s="304"/>
      <c r="BJ92" s="304"/>
      <c r="BT92" s="304"/>
      <c r="CD92" s="304"/>
      <c r="CN92" s="304"/>
      <c r="CX92" s="304"/>
      <c r="DH92" s="304"/>
    </row>
    <row r="93" spans="3:112" s="37" customFormat="1" hidden="1" x14ac:dyDescent="0.25">
      <c r="C93" s="35"/>
      <c r="L93" s="848"/>
      <c r="V93" s="304"/>
      <c r="AF93" s="304"/>
      <c r="AP93" s="304"/>
      <c r="AZ93" s="304"/>
      <c r="BJ93" s="304"/>
      <c r="BT93" s="304"/>
      <c r="CD93" s="304"/>
      <c r="CN93" s="304"/>
      <c r="CX93" s="304"/>
      <c r="DH93" s="304"/>
    </row>
    <row r="94" spans="3:112" s="37" customFormat="1" hidden="1" x14ac:dyDescent="0.25">
      <c r="C94" s="35"/>
      <c r="L94" s="848"/>
      <c r="V94" s="304"/>
      <c r="AF94" s="304"/>
      <c r="AP94" s="304"/>
      <c r="AZ94" s="304"/>
      <c r="BJ94" s="304"/>
      <c r="BT94" s="304"/>
      <c r="CD94" s="304"/>
      <c r="CN94" s="304"/>
      <c r="CX94" s="304"/>
      <c r="DH94" s="304"/>
    </row>
    <row r="95" spans="3:112" s="37" customFormat="1" hidden="1" x14ac:dyDescent="0.25">
      <c r="C95" s="35"/>
      <c r="L95" s="848"/>
      <c r="V95" s="304"/>
      <c r="AF95" s="304"/>
      <c r="AP95" s="304"/>
      <c r="AZ95" s="304"/>
      <c r="BJ95" s="304"/>
      <c r="BT95" s="304"/>
      <c r="CD95" s="304"/>
      <c r="CN95" s="304"/>
      <c r="CX95" s="304"/>
      <c r="DH95" s="304"/>
    </row>
    <row r="96" spans="3:112" s="37" customFormat="1" hidden="1" x14ac:dyDescent="0.25">
      <c r="C96" s="35"/>
      <c r="L96" s="848"/>
      <c r="V96" s="304"/>
      <c r="AF96" s="304"/>
      <c r="AP96" s="304"/>
      <c r="AZ96" s="304"/>
      <c r="BJ96" s="304"/>
      <c r="BT96" s="304"/>
      <c r="CD96" s="304"/>
      <c r="CN96" s="304"/>
      <c r="CX96" s="304"/>
      <c r="DH96" s="304"/>
    </row>
    <row r="97" spans="3:112" s="37" customFormat="1" hidden="1" x14ac:dyDescent="0.25">
      <c r="C97" s="35"/>
      <c r="L97" s="848"/>
      <c r="V97" s="304"/>
      <c r="AF97" s="304"/>
      <c r="AP97" s="304"/>
      <c r="AZ97" s="304"/>
      <c r="BJ97" s="304"/>
      <c r="BT97" s="304"/>
      <c r="CD97" s="304"/>
      <c r="CN97" s="304"/>
      <c r="CX97" s="304"/>
      <c r="DH97" s="304"/>
    </row>
    <row r="98" spans="3:112" s="37" customFormat="1" hidden="1" x14ac:dyDescent="0.25">
      <c r="C98" s="35"/>
      <c r="L98" s="848"/>
      <c r="V98" s="304"/>
      <c r="AF98" s="304"/>
      <c r="AP98" s="304"/>
      <c r="AZ98" s="304"/>
      <c r="BJ98" s="304"/>
      <c r="BT98" s="304"/>
      <c r="CD98" s="304"/>
      <c r="CN98" s="304"/>
      <c r="CX98" s="304"/>
      <c r="DH98" s="304"/>
    </row>
    <row r="99" spans="3:112" s="37" customFormat="1" hidden="1" x14ac:dyDescent="0.25">
      <c r="C99" s="35"/>
      <c r="L99" s="848"/>
      <c r="V99" s="304"/>
      <c r="AF99" s="304"/>
      <c r="AP99" s="304"/>
      <c r="AZ99" s="304"/>
      <c r="BJ99" s="304"/>
      <c r="BT99" s="304"/>
      <c r="CD99" s="304"/>
      <c r="CN99" s="304"/>
      <c r="CX99" s="304"/>
      <c r="DH99" s="304"/>
    </row>
    <row r="100" spans="3:112" s="37" customFormat="1" hidden="1" x14ac:dyDescent="0.25">
      <c r="C100" s="35"/>
      <c r="L100" s="848"/>
      <c r="V100" s="304"/>
      <c r="AF100" s="304"/>
      <c r="AP100" s="304"/>
      <c r="AZ100" s="304"/>
      <c r="BJ100" s="304"/>
      <c r="BT100" s="304"/>
      <c r="CD100" s="304"/>
      <c r="CN100" s="304"/>
      <c r="CX100" s="304"/>
      <c r="DH100" s="304"/>
    </row>
    <row r="101" spans="3:112" s="37" customFormat="1" hidden="1" x14ac:dyDescent="0.25">
      <c r="C101" s="35"/>
      <c r="L101" s="848"/>
      <c r="V101" s="304"/>
      <c r="AF101" s="304"/>
      <c r="AP101" s="304"/>
      <c r="AZ101" s="304"/>
      <c r="BJ101" s="304"/>
      <c r="BT101" s="304"/>
      <c r="CD101" s="304"/>
      <c r="CN101" s="304"/>
      <c r="CX101" s="304"/>
      <c r="DH101" s="304"/>
    </row>
    <row r="102" spans="3:112" s="37" customFormat="1" hidden="1" x14ac:dyDescent="0.25">
      <c r="C102" s="35"/>
      <c r="L102" s="848"/>
      <c r="V102" s="304"/>
      <c r="AF102" s="304"/>
      <c r="AP102" s="304"/>
      <c r="AZ102" s="304"/>
      <c r="BJ102" s="304"/>
      <c r="BT102" s="304"/>
      <c r="CD102" s="304"/>
      <c r="CN102" s="304"/>
      <c r="CX102" s="304"/>
      <c r="DH102" s="304"/>
    </row>
    <row r="103" spans="3:112" s="37" customFormat="1" hidden="1" x14ac:dyDescent="0.25">
      <c r="C103" s="35"/>
      <c r="L103" s="848"/>
      <c r="V103" s="304"/>
      <c r="AF103" s="304"/>
      <c r="AP103" s="304"/>
      <c r="AZ103" s="304"/>
      <c r="BJ103" s="304"/>
      <c r="BT103" s="304"/>
      <c r="CD103" s="304"/>
      <c r="CN103" s="304"/>
      <c r="CX103" s="304"/>
      <c r="DH103" s="304"/>
    </row>
    <row r="104" spans="3:112" s="37" customFormat="1" hidden="1" x14ac:dyDescent="0.25">
      <c r="C104" s="35"/>
      <c r="L104" s="848"/>
      <c r="V104" s="304"/>
      <c r="AF104" s="304"/>
      <c r="AP104" s="304"/>
      <c r="AZ104" s="304"/>
      <c r="BJ104" s="304"/>
      <c r="BT104" s="304"/>
      <c r="CD104" s="304"/>
      <c r="CN104" s="304"/>
      <c r="CX104" s="304"/>
      <c r="DH104" s="304"/>
    </row>
    <row r="105" spans="3:112" s="37" customFormat="1" hidden="1" x14ac:dyDescent="0.25">
      <c r="C105" s="35"/>
      <c r="L105" s="848"/>
      <c r="V105" s="304"/>
      <c r="AF105" s="304"/>
      <c r="AP105" s="304"/>
      <c r="AZ105" s="304"/>
      <c r="BJ105" s="304"/>
      <c r="BT105" s="304"/>
      <c r="CD105" s="304"/>
      <c r="CN105" s="304"/>
      <c r="CX105" s="304"/>
      <c r="DH105" s="304"/>
    </row>
    <row r="106" spans="3:112" s="37" customFormat="1" hidden="1" x14ac:dyDescent="0.25">
      <c r="C106" s="35"/>
      <c r="L106" s="848"/>
      <c r="V106" s="304"/>
      <c r="AF106" s="304"/>
      <c r="AP106" s="304"/>
      <c r="AZ106" s="304"/>
      <c r="BJ106" s="304"/>
      <c r="BT106" s="304"/>
      <c r="CD106" s="304"/>
      <c r="CN106" s="304"/>
      <c r="CX106" s="304"/>
      <c r="DH106" s="304"/>
    </row>
    <row r="107" spans="3:112" s="37" customFormat="1" hidden="1" x14ac:dyDescent="0.25">
      <c r="C107" s="35"/>
      <c r="L107" s="848"/>
      <c r="V107" s="304"/>
      <c r="AF107" s="304"/>
      <c r="AP107" s="304"/>
      <c r="AZ107" s="304"/>
      <c r="BJ107" s="304"/>
      <c r="BT107" s="304"/>
      <c r="CD107" s="304"/>
      <c r="CN107" s="304"/>
      <c r="CX107" s="304"/>
      <c r="DH107" s="304"/>
    </row>
    <row r="108" spans="3:112" s="37" customFormat="1" hidden="1" x14ac:dyDescent="0.25">
      <c r="C108" s="35"/>
      <c r="L108" s="848"/>
      <c r="V108" s="304"/>
      <c r="AF108" s="304"/>
      <c r="AP108" s="304"/>
      <c r="AZ108" s="304"/>
      <c r="BJ108" s="304"/>
      <c r="BT108" s="304"/>
      <c r="CD108" s="304"/>
      <c r="CN108" s="304"/>
      <c r="CX108" s="304"/>
      <c r="DH108" s="304"/>
    </row>
    <row r="109" spans="3:112" s="37" customFormat="1" hidden="1" x14ac:dyDescent="0.25">
      <c r="C109" s="35"/>
      <c r="L109" s="848"/>
      <c r="V109" s="304"/>
      <c r="AF109" s="304"/>
      <c r="AP109" s="304"/>
      <c r="AZ109" s="304"/>
      <c r="BJ109" s="304"/>
      <c r="BT109" s="304"/>
      <c r="CD109" s="304"/>
      <c r="CN109" s="304"/>
      <c r="CX109" s="304"/>
      <c r="DH109" s="304"/>
    </row>
    <row r="110" spans="3:112" s="37" customFormat="1" hidden="1" x14ac:dyDescent="0.25">
      <c r="C110" s="35"/>
      <c r="L110" s="848"/>
      <c r="V110" s="304"/>
      <c r="AF110" s="304"/>
      <c r="AP110" s="304"/>
      <c r="AZ110" s="304"/>
      <c r="BJ110" s="304"/>
      <c r="BT110" s="304"/>
      <c r="CD110" s="304"/>
      <c r="CN110" s="304"/>
      <c r="CX110" s="304"/>
      <c r="DH110" s="304"/>
    </row>
    <row r="111" spans="3:112" s="37" customFormat="1" hidden="1" x14ac:dyDescent="0.25">
      <c r="C111" s="35"/>
      <c r="L111" s="848"/>
      <c r="V111" s="304"/>
      <c r="AF111" s="304"/>
      <c r="AP111" s="304"/>
      <c r="AZ111" s="304"/>
      <c r="BJ111" s="304"/>
      <c r="BT111" s="304"/>
      <c r="CD111" s="304"/>
      <c r="CN111" s="304"/>
      <c r="CX111" s="304"/>
      <c r="DH111" s="304"/>
    </row>
    <row r="112" spans="3:112" s="37" customFormat="1" hidden="1" x14ac:dyDescent="0.25">
      <c r="C112" s="35"/>
      <c r="L112" s="848"/>
      <c r="V112" s="304"/>
      <c r="AF112" s="304"/>
      <c r="AP112" s="304"/>
      <c r="AZ112" s="304"/>
      <c r="BJ112" s="304"/>
      <c r="BT112" s="304"/>
      <c r="CD112" s="304"/>
      <c r="CN112" s="304"/>
      <c r="CX112" s="304"/>
      <c r="DH112" s="304"/>
    </row>
    <row r="113" spans="3:112" s="37" customFormat="1" hidden="1" x14ac:dyDescent="0.25">
      <c r="C113" s="35"/>
      <c r="L113" s="848"/>
      <c r="V113" s="304"/>
      <c r="AF113" s="304"/>
      <c r="AP113" s="304"/>
      <c r="AZ113" s="304"/>
      <c r="BJ113" s="304"/>
      <c r="BT113" s="304"/>
      <c r="CD113" s="304"/>
      <c r="CN113" s="304"/>
      <c r="CX113" s="304"/>
      <c r="DH113" s="304"/>
    </row>
    <row r="114" spans="3:112" s="37" customFormat="1" hidden="1" x14ac:dyDescent="0.25">
      <c r="C114" s="35"/>
      <c r="L114" s="848"/>
      <c r="V114" s="304"/>
      <c r="AF114" s="304"/>
      <c r="AP114" s="304"/>
      <c r="AZ114" s="304"/>
      <c r="BJ114" s="304"/>
      <c r="BT114" s="304"/>
      <c r="CD114" s="304"/>
      <c r="CN114" s="304"/>
      <c r="CX114" s="304"/>
      <c r="DH114" s="304"/>
    </row>
    <row r="115" spans="3:112" s="37" customFormat="1" hidden="1" x14ac:dyDescent="0.25">
      <c r="C115" s="35"/>
      <c r="L115" s="848"/>
      <c r="V115" s="304"/>
      <c r="AF115" s="304"/>
      <c r="AP115" s="304"/>
      <c r="AZ115" s="304"/>
      <c r="BJ115" s="304"/>
      <c r="BT115" s="304"/>
      <c r="CD115" s="304"/>
      <c r="CN115" s="304"/>
      <c r="CX115" s="304"/>
      <c r="DH115" s="304"/>
    </row>
    <row r="116" spans="3:112" s="37" customFormat="1" hidden="1" x14ac:dyDescent="0.25">
      <c r="C116" s="35"/>
      <c r="L116" s="848"/>
      <c r="V116" s="304"/>
      <c r="AF116" s="304"/>
      <c r="AP116" s="304"/>
      <c r="AZ116" s="304"/>
      <c r="BJ116" s="304"/>
      <c r="BT116" s="304"/>
      <c r="CD116" s="304"/>
      <c r="CN116" s="304"/>
      <c r="CX116" s="304"/>
      <c r="DH116" s="304"/>
    </row>
    <row r="117" spans="3:112" s="37" customFormat="1" hidden="1" x14ac:dyDescent="0.25">
      <c r="C117" s="35"/>
      <c r="L117" s="848"/>
      <c r="V117" s="304"/>
      <c r="AF117" s="304"/>
      <c r="AP117" s="304"/>
      <c r="AZ117" s="304"/>
      <c r="BJ117" s="304"/>
      <c r="BT117" s="304"/>
      <c r="CD117" s="304"/>
      <c r="CN117" s="304"/>
      <c r="CX117" s="304"/>
      <c r="DH117" s="304"/>
    </row>
    <row r="118" spans="3:112" s="37" customFormat="1" hidden="1" x14ac:dyDescent="0.25">
      <c r="C118" s="35"/>
      <c r="L118" s="848"/>
      <c r="V118" s="304"/>
      <c r="AF118" s="304"/>
      <c r="AP118" s="304"/>
      <c r="AZ118" s="304"/>
      <c r="BJ118" s="304"/>
      <c r="BT118" s="304"/>
      <c r="CD118" s="304"/>
      <c r="CN118" s="304"/>
      <c r="CX118" s="304"/>
      <c r="DH118" s="304"/>
    </row>
    <row r="119" spans="3:112" s="37" customFormat="1" hidden="1" x14ac:dyDescent="0.25">
      <c r="C119" s="35"/>
      <c r="L119" s="848"/>
      <c r="V119" s="304"/>
      <c r="AF119" s="304"/>
      <c r="AP119" s="304"/>
      <c r="AZ119" s="304"/>
      <c r="BJ119" s="304"/>
      <c r="BT119" s="304"/>
      <c r="CD119" s="304"/>
      <c r="CN119" s="304"/>
      <c r="CX119" s="304"/>
      <c r="DH119" s="304"/>
    </row>
    <row r="120" spans="3:112" s="37" customFormat="1" hidden="1" x14ac:dyDescent="0.25">
      <c r="C120" s="35"/>
      <c r="L120" s="848"/>
      <c r="V120" s="304"/>
      <c r="AF120" s="304"/>
      <c r="AP120" s="304"/>
      <c r="AZ120" s="304"/>
      <c r="BJ120" s="304"/>
      <c r="BT120" s="304"/>
      <c r="CD120" s="304"/>
      <c r="CN120" s="304"/>
      <c r="CX120" s="304"/>
      <c r="DH120" s="304"/>
    </row>
    <row r="121" spans="3:112" s="37" customFormat="1" hidden="1" x14ac:dyDescent="0.25">
      <c r="C121" s="35"/>
      <c r="L121" s="848"/>
      <c r="V121" s="304"/>
      <c r="AF121" s="304"/>
      <c r="AP121" s="304"/>
      <c r="AZ121" s="304"/>
      <c r="BJ121" s="304"/>
      <c r="BT121" s="304"/>
      <c r="CD121" s="304"/>
      <c r="CN121" s="304"/>
      <c r="CX121" s="304"/>
      <c r="DH121" s="304"/>
    </row>
    <row r="122" spans="3:112" s="37" customFormat="1" hidden="1" x14ac:dyDescent="0.25">
      <c r="C122" s="35"/>
      <c r="L122" s="848"/>
      <c r="V122" s="304"/>
      <c r="AF122" s="304"/>
      <c r="AP122" s="304"/>
      <c r="AZ122" s="304"/>
      <c r="BJ122" s="304"/>
      <c r="BT122" s="304"/>
      <c r="CD122" s="304"/>
      <c r="CN122" s="304"/>
      <c r="CX122" s="304"/>
      <c r="DH122" s="304"/>
    </row>
    <row r="123" spans="3:112" s="37" customFormat="1" hidden="1" x14ac:dyDescent="0.25">
      <c r="C123" s="35"/>
      <c r="L123" s="848"/>
      <c r="V123" s="304"/>
      <c r="AF123" s="304"/>
      <c r="AP123" s="304"/>
      <c r="AZ123" s="304"/>
      <c r="BJ123" s="304"/>
      <c r="BT123" s="304"/>
      <c r="CD123" s="304"/>
      <c r="CN123" s="304"/>
      <c r="CX123" s="304"/>
      <c r="DH123" s="304"/>
    </row>
    <row r="124" spans="3:112" s="37" customFormat="1" hidden="1" x14ac:dyDescent="0.25">
      <c r="C124" s="35"/>
      <c r="L124" s="848"/>
      <c r="V124" s="304"/>
      <c r="AF124" s="304"/>
      <c r="AP124" s="304"/>
      <c r="AZ124" s="304"/>
      <c r="BJ124" s="304"/>
      <c r="BT124" s="304"/>
      <c r="CD124" s="304"/>
      <c r="CN124" s="304"/>
      <c r="CX124" s="304"/>
      <c r="DH124" s="304"/>
    </row>
    <row r="125" spans="3:112" s="37" customFormat="1" hidden="1" x14ac:dyDescent="0.25">
      <c r="C125" s="35"/>
      <c r="L125" s="848"/>
      <c r="V125" s="304"/>
      <c r="AF125" s="304"/>
      <c r="AP125" s="304"/>
      <c r="AZ125" s="304"/>
      <c r="BJ125" s="304"/>
      <c r="BT125" s="304"/>
      <c r="CD125" s="304"/>
      <c r="CN125" s="304"/>
      <c r="CX125" s="304"/>
      <c r="DH125" s="304"/>
    </row>
    <row r="126" spans="3:112" s="37" customFormat="1" hidden="1" x14ac:dyDescent="0.25">
      <c r="C126" s="35"/>
      <c r="L126" s="848"/>
      <c r="V126" s="304"/>
      <c r="AF126" s="304"/>
      <c r="AP126" s="304"/>
      <c r="AZ126" s="304"/>
      <c r="BJ126" s="304"/>
      <c r="BT126" s="304"/>
      <c r="CD126" s="304"/>
      <c r="CN126" s="304"/>
      <c r="CX126" s="304"/>
      <c r="DH126" s="304"/>
    </row>
    <row r="127" spans="3:112" s="37" customFormat="1" hidden="1" x14ac:dyDescent="0.25">
      <c r="C127" s="35"/>
      <c r="L127" s="848"/>
      <c r="V127" s="304"/>
      <c r="AF127" s="304"/>
      <c r="AP127" s="304"/>
      <c r="AZ127" s="304"/>
      <c r="BJ127" s="304"/>
      <c r="BT127" s="304"/>
      <c r="CD127" s="304"/>
      <c r="CN127" s="304"/>
      <c r="CX127" s="304"/>
      <c r="DH127" s="304"/>
    </row>
    <row r="128" spans="3:112" s="37" customFormat="1" hidden="1" x14ac:dyDescent="0.25">
      <c r="C128" s="35"/>
      <c r="L128" s="848"/>
      <c r="V128" s="304"/>
      <c r="AF128" s="304"/>
      <c r="AP128" s="304"/>
      <c r="AZ128" s="304"/>
      <c r="BJ128" s="304"/>
      <c r="BT128" s="304"/>
      <c r="CD128" s="304"/>
      <c r="CN128" s="304"/>
      <c r="CX128" s="304"/>
      <c r="DH128" s="304"/>
    </row>
    <row r="129" spans="3:112" s="37" customFormat="1" hidden="1" x14ac:dyDescent="0.25">
      <c r="C129" s="35"/>
      <c r="L129" s="848"/>
      <c r="V129" s="304"/>
      <c r="AF129" s="304"/>
      <c r="AP129" s="304"/>
      <c r="AZ129" s="304"/>
      <c r="BJ129" s="304"/>
      <c r="BT129" s="304"/>
      <c r="CD129" s="304"/>
      <c r="CN129" s="304"/>
      <c r="CX129" s="304"/>
      <c r="DH129" s="304"/>
    </row>
    <row r="130" spans="3:112" s="37" customFormat="1" hidden="1" x14ac:dyDescent="0.25">
      <c r="C130" s="35"/>
      <c r="L130" s="848"/>
      <c r="V130" s="304"/>
      <c r="AF130" s="304"/>
      <c r="AP130" s="304"/>
      <c r="AZ130" s="304"/>
      <c r="BJ130" s="304"/>
      <c r="BT130" s="304"/>
      <c r="CD130" s="304"/>
      <c r="CN130" s="304"/>
      <c r="CX130" s="304"/>
      <c r="DH130" s="304"/>
    </row>
    <row r="131" spans="3:112" s="37" customFormat="1" hidden="1" x14ac:dyDescent="0.25">
      <c r="C131" s="35"/>
      <c r="L131" s="848"/>
      <c r="V131" s="304"/>
      <c r="AF131" s="304"/>
      <c r="AP131" s="304"/>
      <c r="AZ131" s="304"/>
      <c r="BJ131" s="304"/>
      <c r="BT131" s="304"/>
      <c r="CD131" s="304"/>
      <c r="CN131" s="304"/>
      <c r="CX131" s="304"/>
      <c r="DH131" s="304"/>
    </row>
    <row r="132" spans="3:112" s="37" customFormat="1" hidden="1" x14ac:dyDescent="0.25">
      <c r="C132" s="35"/>
      <c r="L132" s="848"/>
      <c r="V132" s="304"/>
      <c r="AF132" s="304"/>
      <c r="AP132" s="304"/>
      <c r="AZ132" s="304"/>
      <c r="BJ132" s="304"/>
      <c r="BT132" s="304"/>
      <c r="CD132" s="304"/>
      <c r="CN132" s="304"/>
      <c r="CX132" s="304"/>
      <c r="DH132" s="304"/>
    </row>
    <row r="133" spans="3:112" s="37" customFormat="1" hidden="1" x14ac:dyDescent="0.25">
      <c r="C133" s="35"/>
      <c r="L133" s="848"/>
      <c r="V133" s="304"/>
      <c r="AF133" s="304"/>
      <c r="AP133" s="304"/>
      <c r="AZ133" s="304"/>
      <c r="BJ133" s="304"/>
      <c r="BT133" s="304"/>
      <c r="CD133" s="304"/>
      <c r="CN133" s="304"/>
      <c r="CX133" s="304"/>
      <c r="DH133" s="304"/>
    </row>
    <row r="134" spans="3:112" s="37" customFormat="1" hidden="1" x14ac:dyDescent="0.25">
      <c r="C134" s="35"/>
      <c r="L134" s="848"/>
      <c r="V134" s="304"/>
      <c r="AF134" s="304"/>
      <c r="AP134" s="304"/>
      <c r="AZ134" s="304"/>
      <c r="BJ134" s="304"/>
      <c r="BT134" s="304"/>
      <c r="CD134" s="304"/>
      <c r="CN134" s="304"/>
      <c r="CX134" s="304"/>
      <c r="DH134" s="304"/>
    </row>
    <row r="135" spans="3:112" s="37" customFormat="1" hidden="1" x14ac:dyDescent="0.25">
      <c r="C135" s="35"/>
      <c r="L135" s="848"/>
      <c r="V135" s="304"/>
      <c r="AF135" s="304"/>
      <c r="AP135" s="304"/>
      <c r="AZ135" s="304"/>
      <c r="BJ135" s="304"/>
      <c r="BT135" s="304"/>
      <c r="CD135" s="304"/>
      <c r="CN135" s="304"/>
      <c r="CX135" s="304"/>
      <c r="DH135" s="304"/>
    </row>
    <row r="136" spans="3:112" s="37" customFormat="1" hidden="1" x14ac:dyDescent="0.25">
      <c r="C136" s="35"/>
      <c r="L136" s="848"/>
      <c r="V136" s="304"/>
      <c r="AF136" s="304"/>
      <c r="AP136" s="304"/>
      <c r="AZ136" s="304"/>
      <c r="BJ136" s="304"/>
      <c r="BT136" s="304"/>
      <c r="CD136" s="304"/>
      <c r="CN136" s="304"/>
      <c r="CX136" s="304"/>
      <c r="DH136" s="304"/>
    </row>
    <row r="137" spans="3:112" s="37" customFormat="1" hidden="1" x14ac:dyDescent="0.25">
      <c r="C137" s="35"/>
      <c r="L137" s="848"/>
      <c r="V137" s="304"/>
      <c r="AF137" s="304"/>
      <c r="AP137" s="304"/>
      <c r="AZ137" s="304"/>
      <c r="BJ137" s="304"/>
      <c r="BT137" s="304"/>
      <c r="CD137" s="304"/>
      <c r="CN137" s="304"/>
      <c r="CX137" s="304"/>
      <c r="DH137" s="304"/>
    </row>
    <row r="138" spans="3:112" s="37" customFormat="1" hidden="1" x14ac:dyDescent="0.25">
      <c r="C138" s="35"/>
      <c r="L138" s="848"/>
      <c r="V138" s="304"/>
      <c r="AF138" s="304"/>
      <c r="AP138" s="304"/>
      <c r="AZ138" s="304"/>
      <c r="BJ138" s="304"/>
      <c r="BT138" s="304"/>
      <c r="CD138" s="304"/>
      <c r="CN138" s="304"/>
      <c r="CX138" s="304"/>
      <c r="DH138" s="304"/>
    </row>
    <row r="139" spans="3:112" s="37" customFormat="1" hidden="1" x14ac:dyDescent="0.25">
      <c r="C139" s="35"/>
      <c r="L139" s="848"/>
      <c r="V139" s="304"/>
      <c r="AF139" s="304"/>
      <c r="AP139" s="304"/>
      <c r="AZ139" s="304"/>
      <c r="BJ139" s="304"/>
      <c r="BT139" s="304"/>
      <c r="CD139" s="304"/>
      <c r="CN139" s="304"/>
      <c r="CX139" s="304"/>
      <c r="DH139" s="304"/>
    </row>
    <row r="140" spans="3:112" s="37" customFormat="1" hidden="1" x14ac:dyDescent="0.25">
      <c r="C140" s="35"/>
      <c r="L140" s="848"/>
      <c r="V140" s="304"/>
      <c r="AF140" s="304"/>
      <c r="AP140" s="304"/>
      <c r="AZ140" s="304"/>
      <c r="BJ140" s="304"/>
      <c r="BT140" s="304"/>
      <c r="CD140" s="304"/>
      <c r="CN140" s="304"/>
      <c r="CX140" s="304"/>
      <c r="DH140" s="304"/>
    </row>
    <row r="141" spans="3:112" s="37" customFormat="1" hidden="1" x14ac:dyDescent="0.25">
      <c r="C141" s="35"/>
      <c r="L141" s="848"/>
      <c r="V141" s="304"/>
      <c r="AF141" s="304"/>
      <c r="AP141" s="304"/>
      <c r="AZ141" s="304"/>
      <c r="BJ141" s="304"/>
      <c r="BT141" s="304"/>
      <c r="CD141" s="304"/>
      <c r="CN141" s="304"/>
      <c r="CX141" s="304"/>
      <c r="DH141" s="304"/>
    </row>
    <row r="142" spans="3:112" s="37" customFormat="1" hidden="1" x14ac:dyDescent="0.25">
      <c r="C142" s="35"/>
      <c r="L142" s="848"/>
      <c r="V142" s="304"/>
      <c r="AF142" s="304"/>
      <c r="AP142" s="304"/>
      <c r="AZ142" s="304"/>
      <c r="BJ142" s="304"/>
      <c r="BT142" s="304"/>
      <c r="CD142" s="304"/>
      <c r="CN142" s="304"/>
      <c r="CX142" s="304"/>
      <c r="DH142" s="304"/>
    </row>
    <row r="143" spans="3:112" s="37" customFormat="1" hidden="1" x14ac:dyDescent="0.25">
      <c r="C143" s="35"/>
      <c r="L143" s="848"/>
      <c r="V143" s="304"/>
      <c r="AF143" s="304"/>
      <c r="AP143" s="304"/>
      <c r="AZ143" s="304"/>
      <c r="BJ143" s="304"/>
      <c r="BT143" s="304"/>
      <c r="CD143" s="304"/>
      <c r="CN143" s="304"/>
      <c r="CX143" s="304"/>
      <c r="DH143" s="304"/>
    </row>
    <row r="144" spans="3:112" s="37" customFormat="1" hidden="1" x14ac:dyDescent="0.25">
      <c r="C144" s="35"/>
      <c r="L144" s="848"/>
      <c r="V144" s="304"/>
      <c r="AF144" s="304"/>
      <c r="AP144" s="304"/>
      <c r="AZ144" s="304"/>
      <c r="BJ144" s="304"/>
      <c r="BT144" s="304"/>
      <c r="CD144" s="304"/>
      <c r="CN144" s="304"/>
      <c r="CX144" s="304"/>
      <c r="DH144" s="304"/>
    </row>
    <row r="145" spans="3:112" s="37" customFormat="1" hidden="1" x14ac:dyDescent="0.25">
      <c r="C145" s="35"/>
      <c r="L145" s="848"/>
      <c r="V145" s="304"/>
      <c r="AF145" s="304"/>
      <c r="AP145" s="304"/>
      <c r="AZ145" s="304"/>
      <c r="BJ145" s="304"/>
      <c r="BT145" s="304"/>
      <c r="CD145" s="304"/>
      <c r="CN145" s="304"/>
      <c r="CX145" s="304"/>
      <c r="DH145" s="304"/>
    </row>
    <row r="146" spans="3:112" s="37" customFormat="1" hidden="1" x14ac:dyDescent="0.25">
      <c r="C146" s="35"/>
      <c r="L146" s="848"/>
      <c r="V146" s="304"/>
      <c r="AF146" s="304"/>
      <c r="AP146" s="304"/>
      <c r="AZ146" s="304"/>
      <c r="BJ146" s="304"/>
      <c r="BT146" s="304"/>
      <c r="CD146" s="304"/>
      <c r="CN146" s="304"/>
      <c r="CX146" s="304"/>
      <c r="DH146" s="304"/>
    </row>
    <row r="147" spans="3:112" s="37" customFormat="1" hidden="1" x14ac:dyDescent="0.25">
      <c r="C147" s="35"/>
      <c r="L147" s="848"/>
      <c r="V147" s="304"/>
      <c r="AF147" s="304"/>
      <c r="AP147" s="304"/>
      <c r="AZ147" s="304"/>
      <c r="BJ147" s="304"/>
      <c r="BT147" s="304"/>
      <c r="CD147" s="304"/>
      <c r="CN147" s="304"/>
      <c r="CX147" s="304"/>
      <c r="DH147" s="304"/>
    </row>
    <row r="148" spans="3:112" s="37" customFormat="1" hidden="1" x14ac:dyDescent="0.25">
      <c r="C148" s="35"/>
      <c r="L148" s="848"/>
      <c r="V148" s="304"/>
      <c r="AF148" s="304"/>
      <c r="AP148" s="304"/>
      <c r="AZ148" s="304"/>
      <c r="BJ148" s="304"/>
      <c r="BT148" s="304"/>
      <c r="CD148" s="304"/>
      <c r="CN148" s="304"/>
      <c r="CX148" s="304"/>
      <c r="DH148" s="304"/>
    </row>
    <row r="149" spans="3:112" s="37" customFormat="1" hidden="1" x14ac:dyDescent="0.25">
      <c r="C149" s="35"/>
      <c r="L149" s="848"/>
      <c r="V149" s="304"/>
      <c r="AF149" s="304"/>
      <c r="AP149" s="304"/>
      <c r="AZ149" s="304"/>
      <c r="BJ149" s="304"/>
      <c r="BT149" s="304"/>
      <c r="CD149" s="304"/>
      <c r="CN149" s="304"/>
      <c r="CX149" s="304"/>
      <c r="DH149" s="304"/>
    </row>
    <row r="150" spans="3:112" s="37" customFormat="1" hidden="1" x14ac:dyDescent="0.25">
      <c r="C150" s="35"/>
      <c r="L150" s="848"/>
      <c r="V150" s="304"/>
      <c r="AF150" s="304"/>
      <c r="AP150" s="304"/>
      <c r="AZ150" s="304"/>
      <c r="BJ150" s="304"/>
      <c r="BT150" s="304"/>
      <c r="CD150" s="304"/>
      <c r="CN150" s="304"/>
      <c r="CX150" s="304"/>
      <c r="DH150" s="304"/>
    </row>
    <row r="151" spans="3:112" s="37" customFormat="1" hidden="1" x14ac:dyDescent="0.25">
      <c r="C151" s="35"/>
      <c r="L151" s="848"/>
      <c r="V151" s="304"/>
      <c r="AF151" s="304"/>
      <c r="AP151" s="304"/>
      <c r="AZ151" s="304"/>
      <c r="BJ151" s="304"/>
      <c r="BT151" s="304"/>
      <c r="CD151" s="304"/>
      <c r="CN151" s="304"/>
      <c r="CX151" s="304"/>
      <c r="DH151" s="304"/>
    </row>
    <row r="152" spans="3:112" s="37" customFormat="1" hidden="1" x14ac:dyDescent="0.25">
      <c r="C152" s="35"/>
      <c r="L152" s="848"/>
      <c r="V152" s="304"/>
      <c r="AF152" s="304"/>
      <c r="AP152" s="304"/>
      <c r="AZ152" s="304"/>
      <c r="BJ152" s="304"/>
      <c r="BT152" s="304"/>
      <c r="CD152" s="304"/>
      <c r="CN152" s="304"/>
      <c r="CX152" s="304"/>
      <c r="DH152" s="304"/>
    </row>
    <row r="153" spans="3:112" s="37" customFormat="1" hidden="1" x14ac:dyDescent="0.25">
      <c r="C153" s="35"/>
      <c r="L153" s="848"/>
      <c r="V153" s="304"/>
      <c r="AF153" s="304"/>
      <c r="AP153" s="304"/>
      <c r="AZ153" s="304"/>
      <c r="BJ153" s="304"/>
      <c r="BT153" s="304"/>
      <c r="CD153" s="304"/>
      <c r="CN153" s="304"/>
      <c r="CX153" s="304"/>
      <c r="DH153" s="304"/>
    </row>
    <row r="154" spans="3:112" s="37" customFormat="1" hidden="1" x14ac:dyDescent="0.25">
      <c r="C154" s="35"/>
      <c r="L154" s="848"/>
      <c r="V154" s="304"/>
      <c r="AF154" s="304"/>
      <c r="AP154" s="304"/>
      <c r="AZ154" s="304"/>
      <c r="BJ154" s="304"/>
      <c r="BT154" s="304"/>
      <c r="CD154" s="304"/>
      <c r="CN154" s="304"/>
      <c r="CX154" s="304"/>
      <c r="DH154" s="304"/>
    </row>
    <row r="155" spans="3:112" s="37" customFormat="1" hidden="1" x14ac:dyDescent="0.25">
      <c r="C155" s="35"/>
      <c r="L155" s="848"/>
      <c r="V155" s="304"/>
      <c r="AF155" s="304"/>
      <c r="AP155" s="304"/>
      <c r="AZ155" s="304"/>
      <c r="BJ155" s="304"/>
      <c r="BT155" s="304"/>
      <c r="CD155" s="304"/>
      <c r="CN155" s="304"/>
      <c r="CX155" s="304"/>
      <c r="DH155" s="304"/>
    </row>
    <row r="156" spans="3:112" s="37" customFormat="1" hidden="1" x14ac:dyDescent="0.25">
      <c r="C156" s="35"/>
      <c r="L156" s="848"/>
      <c r="V156" s="304"/>
      <c r="AF156" s="304"/>
      <c r="AP156" s="304"/>
      <c r="AZ156" s="304"/>
      <c r="BJ156" s="304"/>
      <c r="BT156" s="304"/>
      <c r="CD156" s="304"/>
      <c r="CN156" s="304"/>
      <c r="CX156" s="304"/>
      <c r="DH156" s="304"/>
    </row>
    <row r="157" spans="3:112" s="37" customFormat="1" hidden="1" x14ac:dyDescent="0.25">
      <c r="C157" s="35"/>
      <c r="L157" s="848"/>
      <c r="V157" s="304"/>
      <c r="AF157" s="304"/>
      <c r="AP157" s="304"/>
      <c r="AZ157" s="304"/>
      <c r="BJ157" s="304"/>
      <c r="BT157" s="304"/>
      <c r="CD157" s="304"/>
      <c r="CN157" s="304"/>
      <c r="CX157" s="304"/>
      <c r="DH157" s="304"/>
    </row>
    <row r="158" spans="3:112" s="37" customFormat="1" hidden="1" x14ac:dyDescent="0.25">
      <c r="C158" s="35"/>
      <c r="L158" s="848"/>
      <c r="V158" s="304"/>
      <c r="AF158" s="304"/>
      <c r="AP158" s="304"/>
      <c r="AZ158" s="304"/>
      <c r="BJ158" s="304"/>
      <c r="BT158" s="304"/>
      <c r="CD158" s="304"/>
      <c r="CN158" s="304"/>
      <c r="CX158" s="304"/>
      <c r="DH158" s="304"/>
    </row>
    <row r="159" spans="3:112" s="37" customFormat="1" hidden="1" x14ac:dyDescent="0.25">
      <c r="C159" s="35"/>
      <c r="L159" s="848"/>
      <c r="V159" s="304"/>
      <c r="AF159" s="304"/>
      <c r="AP159" s="304"/>
      <c r="AZ159" s="304"/>
      <c r="BJ159" s="304"/>
      <c r="BT159" s="304"/>
      <c r="CD159" s="304"/>
      <c r="CN159" s="304"/>
      <c r="CX159" s="304"/>
      <c r="DH159" s="304"/>
    </row>
    <row r="160" spans="3:112" s="37" customFormat="1" hidden="1" x14ac:dyDescent="0.25">
      <c r="C160" s="35"/>
      <c r="L160" s="848"/>
      <c r="V160" s="304"/>
      <c r="AF160" s="304"/>
      <c r="AP160" s="304"/>
      <c r="AZ160" s="304"/>
      <c r="BJ160" s="304"/>
      <c r="BT160" s="304"/>
      <c r="CD160" s="304"/>
      <c r="CN160" s="304"/>
      <c r="CX160" s="304"/>
      <c r="DH160" s="304"/>
    </row>
    <row r="161" spans="3:112" s="37" customFormat="1" hidden="1" x14ac:dyDescent="0.25">
      <c r="C161" s="35"/>
      <c r="L161" s="848"/>
      <c r="V161" s="304"/>
      <c r="AF161" s="304"/>
      <c r="AP161" s="304"/>
      <c r="AZ161" s="304"/>
      <c r="BJ161" s="304"/>
      <c r="BT161" s="304"/>
      <c r="CD161" s="304"/>
      <c r="CN161" s="304"/>
      <c r="CX161" s="304"/>
      <c r="DH161" s="304"/>
    </row>
    <row r="162" spans="3:112" s="37" customFormat="1" hidden="1" x14ac:dyDescent="0.25">
      <c r="C162" s="35"/>
      <c r="L162" s="848"/>
      <c r="V162" s="304"/>
      <c r="AF162" s="304"/>
      <c r="AP162" s="304"/>
      <c r="AZ162" s="304"/>
      <c r="BJ162" s="304"/>
      <c r="BT162" s="304"/>
      <c r="CD162" s="304"/>
      <c r="CN162" s="304"/>
      <c r="CX162" s="304"/>
      <c r="DH162" s="304"/>
    </row>
    <row r="163" spans="3:112" s="37" customFormat="1" hidden="1" x14ac:dyDescent="0.25">
      <c r="C163" s="35"/>
      <c r="L163" s="848"/>
      <c r="V163" s="304"/>
      <c r="AF163" s="304"/>
      <c r="AP163" s="304"/>
      <c r="AZ163" s="304"/>
      <c r="BJ163" s="304"/>
      <c r="BT163" s="304"/>
      <c r="CD163" s="304"/>
      <c r="CN163" s="304"/>
      <c r="CX163" s="304"/>
      <c r="DH163" s="304"/>
    </row>
    <row r="164" spans="3:112" s="37" customFormat="1" hidden="1" x14ac:dyDescent="0.25">
      <c r="C164" s="35"/>
      <c r="L164" s="848"/>
      <c r="V164" s="304"/>
      <c r="AF164" s="304"/>
      <c r="AP164" s="304"/>
      <c r="AZ164" s="304"/>
      <c r="BJ164" s="304"/>
      <c r="BT164" s="304"/>
      <c r="CD164" s="304"/>
      <c r="CN164" s="304"/>
      <c r="CX164" s="304"/>
      <c r="DH164" s="304"/>
    </row>
    <row r="165" spans="3:112" s="37" customFormat="1" hidden="1" x14ac:dyDescent="0.25">
      <c r="C165" s="35"/>
      <c r="L165" s="848"/>
      <c r="V165" s="304"/>
      <c r="AF165" s="304"/>
      <c r="AP165" s="304"/>
      <c r="AZ165" s="304"/>
      <c r="BJ165" s="304"/>
      <c r="BT165" s="304"/>
      <c r="CD165" s="304"/>
      <c r="CN165" s="304"/>
      <c r="CX165" s="304"/>
      <c r="DH165" s="304"/>
    </row>
    <row r="166" spans="3:112" s="37" customFormat="1" hidden="1" x14ac:dyDescent="0.25">
      <c r="C166" s="35"/>
      <c r="L166" s="848"/>
      <c r="V166" s="304"/>
      <c r="AF166" s="304"/>
      <c r="AP166" s="304"/>
      <c r="AZ166" s="304"/>
      <c r="BJ166" s="304"/>
      <c r="BT166" s="304"/>
      <c r="CD166" s="304"/>
      <c r="CN166" s="304"/>
      <c r="CX166" s="304"/>
      <c r="DH166" s="304"/>
    </row>
    <row r="167" spans="3:112" s="37" customFormat="1" hidden="1" x14ac:dyDescent="0.25">
      <c r="C167" s="35"/>
      <c r="L167" s="848"/>
      <c r="V167" s="304"/>
      <c r="AF167" s="304"/>
      <c r="AP167" s="304"/>
      <c r="AZ167" s="304"/>
      <c r="BJ167" s="304"/>
      <c r="BT167" s="304"/>
      <c r="CD167" s="304"/>
      <c r="CN167" s="304"/>
      <c r="CX167" s="304"/>
      <c r="DH167" s="304"/>
    </row>
    <row r="168" spans="3:112" s="37" customFormat="1" hidden="1" x14ac:dyDescent="0.25">
      <c r="C168" s="35"/>
      <c r="L168" s="848"/>
      <c r="V168" s="304"/>
      <c r="AF168" s="304"/>
      <c r="AP168" s="304"/>
      <c r="AZ168" s="304"/>
      <c r="BJ168" s="304"/>
      <c r="BT168" s="304"/>
      <c r="CD168" s="304"/>
      <c r="CN168" s="304"/>
      <c r="CX168" s="304"/>
      <c r="DH168" s="304"/>
    </row>
    <row r="169" spans="3:112" s="37" customFormat="1" hidden="1" x14ac:dyDescent="0.25">
      <c r="C169" s="35"/>
      <c r="L169" s="848"/>
      <c r="V169" s="304"/>
      <c r="AF169" s="304"/>
      <c r="AP169" s="304"/>
      <c r="AZ169" s="304"/>
      <c r="BJ169" s="304"/>
      <c r="BT169" s="304"/>
      <c r="CD169" s="304"/>
      <c r="CN169" s="304"/>
      <c r="CX169" s="304"/>
      <c r="DH169" s="304"/>
    </row>
    <row r="170" spans="3:112" s="37" customFormat="1" hidden="1" x14ac:dyDescent="0.25">
      <c r="C170" s="35"/>
      <c r="L170" s="848"/>
      <c r="V170" s="304"/>
      <c r="AF170" s="304"/>
      <c r="AP170" s="304"/>
      <c r="AZ170" s="304"/>
      <c r="BJ170" s="304"/>
      <c r="BT170" s="304"/>
      <c r="CD170" s="304"/>
      <c r="CN170" s="304"/>
      <c r="CX170" s="304"/>
      <c r="DH170" s="304"/>
    </row>
    <row r="171" spans="3:112" s="37" customFormat="1" hidden="1" x14ac:dyDescent="0.25">
      <c r="C171" s="35"/>
      <c r="L171" s="848"/>
      <c r="V171" s="304"/>
      <c r="AF171" s="304"/>
      <c r="AP171" s="304"/>
      <c r="AZ171" s="304"/>
      <c r="BJ171" s="304"/>
      <c r="BT171" s="304"/>
      <c r="CD171" s="304"/>
      <c r="CN171" s="304"/>
      <c r="CX171" s="304"/>
      <c r="DH171" s="304"/>
    </row>
    <row r="172" spans="3:112" s="37" customFormat="1" hidden="1" x14ac:dyDescent="0.25">
      <c r="C172" s="35"/>
      <c r="L172" s="848"/>
      <c r="V172" s="304"/>
      <c r="AF172" s="304"/>
      <c r="AP172" s="304"/>
      <c r="AZ172" s="304"/>
      <c r="BJ172" s="304"/>
      <c r="BT172" s="304"/>
      <c r="CD172" s="304"/>
      <c r="CN172" s="304"/>
      <c r="CX172" s="304"/>
      <c r="DH172" s="304"/>
    </row>
    <row r="173" spans="3:112" s="37" customFormat="1" hidden="1" x14ac:dyDescent="0.25">
      <c r="C173" s="35"/>
      <c r="L173" s="848"/>
      <c r="V173" s="304"/>
      <c r="AF173" s="304"/>
      <c r="AP173" s="304"/>
      <c r="AZ173" s="304"/>
      <c r="BJ173" s="304"/>
      <c r="BT173" s="304"/>
      <c r="CD173" s="304"/>
      <c r="CN173" s="304"/>
      <c r="CX173" s="304"/>
      <c r="DH173" s="304"/>
    </row>
    <row r="174" spans="3:112" s="37" customFormat="1" hidden="1" x14ac:dyDescent="0.25">
      <c r="C174" s="35"/>
      <c r="L174" s="848"/>
      <c r="V174" s="304"/>
      <c r="AF174" s="304"/>
      <c r="AP174" s="304"/>
      <c r="AZ174" s="304"/>
      <c r="BJ174" s="304"/>
      <c r="BT174" s="304"/>
      <c r="CD174" s="304"/>
      <c r="CN174" s="304"/>
      <c r="CX174" s="304"/>
      <c r="DH174" s="304"/>
    </row>
    <row r="175" spans="3:112" s="37" customFormat="1" hidden="1" x14ac:dyDescent="0.25">
      <c r="C175" s="35"/>
      <c r="L175" s="848"/>
      <c r="V175" s="304"/>
      <c r="AF175" s="304"/>
      <c r="AP175" s="304"/>
      <c r="AZ175" s="304"/>
      <c r="BJ175" s="304"/>
      <c r="BT175" s="304"/>
      <c r="CD175" s="304"/>
      <c r="CN175" s="304"/>
      <c r="CX175" s="304"/>
      <c r="DH175" s="304"/>
    </row>
    <row r="176" spans="3:112" s="37" customFormat="1" hidden="1" x14ac:dyDescent="0.25">
      <c r="C176" s="35"/>
      <c r="L176" s="848"/>
      <c r="V176" s="304"/>
      <c r="AF176" s="304"/>
      <c r="AP176" s="304"/>
      <c r="AZ176" s="304"/>
      <c r="BJ176" s="304"/>
      <c r="BT176" s="304"/>
      <c r="CD176" s="304"/>
      <c r="CN176" s="304"/>
      <c r="CX176" s="304"/>
      <c r="DH176" s="304"/>
    </row>
    <row r="177" spans="3:112" s="37" customFormat="1" hidden="1" x14ac:dyDescent="0.25">
      <c r="C177" s="35"/>
      <c r="L177" s="848"/>
      <c r="V177" s="304"/>
      <c r="AF177" s="304"/>
      <c r="AP177" s="304"/>
      <c r="AZ177" s="304"/>
      <c r="BJ177" s="304"/>
      <c r="BT177" s="304"/>
      <c r="CD177" s="304"/>
      <c r="CN177" s="304"/>
      <c r="CX177" s="304"/>
      <c r="DH177" s="304"/>
    </row>
    <row r="178" spans="3:112" s="37" customFormat="1" hidden="1" x14ac:dyDescent="0.25">
      <c r="C178" s="35"/>
      <c r="L178" s="848"/>
      <c r="V178" s="304"/>
      <c r="AF178" s="304"/>
      <c r="AP178" s="304"/>
      <c r="AZ178" s="304"/>
      <c r="BJ178" s="304"/>
      <c r="BT178" s="304"/>
      <c r="CD178" s="304"/>
      <c r="CN178" s="304"/>
      <c r="CX178" s="304"/>
      <c r="DH178" s="304"/>
    </row>
    <row r="179" spans="3:112" s="37" customFormat="1" hidden="1" x14ac:dyDescent="0.25">
      <c r="C179" s="35"/>
      <c r="L179" s="848"/>
      <c r="V179" s="304"/>
      <c r="AF179" s="304"/>
      <c r="AP179" s="304"/>
      <c r="AZ179" s="304"/>
      <c r="BJ179" s="304"/>
      <c r="BT179" s="304"/>
      <c r="CD179" s="304"/>
      <c r="CN179" s="304"/>
      <c r="CX179" s="304"/>
      <c r="DH179" s="304"/>
    </row>
    <row r="180" spans="3:112" s="37" customFormat="1" hidden="1" x14ac:dyDescent="0.25">
      <c r="C180" s="35"/>
      <c r="L180" s="848"/>
      <c r="V180" s="304"/>
      <c r="AF180" s="304"/>
      <c r="AP180" s="304"/>
      <c r="AZ180" s="304"/>
      <c r="BJ180" s="304"/>
      <c r="BT180" s="304"/>
      <c r="CD180" s="304"/>
      <c r="CN180" s="304"/>
      <c r="CX180" s="304"/>
      <c r="DH180" s="304"/>
    </row>
    <row r="181" spans="3:112" s="37" customFormat="1" hidden="1" x14ac:dyDescent="0.25">
      <c r="C181" s="35"/>
      <c r="L181" s="848"/>
      <c r="V181" s="304"/>
      <c r="AF181" s="304"/>
      <c r="AP181" s="304"/>
      <c r="AZ181" s="304"/>
      <c r="BJ181" s="304"/>
      <c r="BT181" s="304"/>
      <c r="CD181" s="304"/>
      <c r="CN181" s="304"/>
      <c r="CX181" s="304"/>
      <c r="DH181" s="304"/>
    </row>
    <row r="182" spans="3:112" s="37" customFormat="1" hidden="1" x14ac:dyDescent="0.25">
      <c r="C182" s="35"/>
      <c r="L182" s="848"/>
      <c r="V182" s="304"/>
      <c r="AF182" s="304"/>
      <c r="AP182" s="304"/>
      <c r="AZ182" s="304"/>
      <c r="BJ182" s="304"/>
      <c r="BT182" s="304"/>
      <c r="CD182" s="304"/>
      <c r="CN182" s="304"/>
      <c r="CX182" s="304"/>
      <c r="DH182" s="304"/>
    </row>
    <row r="183" spans="3:112" s="37" customFormat="1" hidden="1" x14ac:dyDescent="0.25">
      <c r="C183" s="35"/>
      <c r="L183" s="848"/>
      <c r="V183" s="304"/>
      <c r="AF183" s="304"/>
      <c r="AP183" s="304"/>
      <c r="AZ183" s="304"/>
      <c r="BJ183" s="304"/>
      <c r="BT183" s="304"/>
      <c r="CD183" s="304"/>
      <c r="CN183" s="304"/>
      <c r="CX183" s="304"/>
      <c r="DH183" s="304"/>
    </row>
    <row r="184" spans="3:112" s="37" customFormat="1" hidden="1" x14ac:dyDescent="0.25">
      <c r="C184" s="35"/>
      <c r="L184" s="848"/>
      <c r="V184" s="304"/>
      <c r="AF184" s="304"/>
      <c r="AP184" s="304"/>
      <c r="AZ184" s="304"/>
      <c r="BJ184" s="304"/>
      <c r="BT184" s="304"/>
      <c r="CD184" s="304"/>
      <c r="CN184" s="304"/>
      <c r="CX184" s="304"/>
      <c r="DH184" s="304"/>
    </row>
    <row r="185" spans="3:112" s="37" customFormat="1" hidden="1" x14ac:dyDescent="0.25">
      <c r="C185" s="35"/>
      <c r="L185" s="848"/>
      <c r="V185" s="304"/>
      <c r="AF185" s="304"/>
      <c r="AP185" s="304"/>
      <c r="AZ185" s="304"/>
      <c r="BJ185" s="304"/>
      <c r="BT185" s="304"/>
      <c r="CD185" s="304"/>
      <c r="CN185" s="304"/>
      <c r="CX185" s="304"/>
      <c r="DH185" s="304"/>
    </row>
    <row r="186" spans="3:112" s="37" customFormat="1" hidden="1" x14ac:dyDescent="0.25">
      <c r="C186" s="35"/>
      <c r="L186" s="848"/>
      <c r="V186" s="304"/>
      <c r="AF186" s="304"/>
      <c r="AP186" s="304"/>
      <c r="AZ186" s="304"/>
      <c r="BJ186" s="304"/>
      <c r="BT186" s="304"/>
      <c r="CD186" s="304"/>
      <c r="CN186" s="304"/>
      <c r="CX186" s="304"/>
      <c r="DH186" s="304"/>
    </row>
    <row r="187" spans="3:112" s="37" customFormat="1" hidden="1" x14ac:dyDescent="0.25">
      <c r="C187" s="35"/>
      <c r="L187" s="848"/>
      <c r="V187" s="304"/>
      <c r="AF187" s="304"/>
      <c r="AP187" s="304"/>
      <c r="AZ187" s="304"/>
      <c r="BJ187" s="304"/>
      <c r="BT187" s="304"/>
      <c r="CD187" s="304"/>
      <c r="CN187" s="304"/>
      <c r="CX187" s="304"/>
      <c r="DH187" s="304"/>
    </row>
    <row r="188" spans="3:112" s="37" customFormat="1" hidden="1" x14ac:dyDescent="0.25">
      <c r="C188" s="35"/>
      <c r="L188" s="848"/>
      <c r="V188" s="304"/>
      <c r="AF188" s="304"/>
      <c r="AP188" s="304"/>
      <c r="AZ188" s="304"/>
      <c r="BJ188" s="304"/>
      <c r="BT188" s="304"/>
      <c r="CD188" s="304"/>
      <c r="CN188" s="304"/>
      <c r="CX188" s="304"/>
      <c r="DH188" s="304"/>
    </row>
    <row r="189" spans="3:112" s="37" customFormat="1" hidden="1" x14ac:dyDescent="0.25">
      <c r="C189" s="35"/>
      <c r="L189" s="848"/>
      <c r="V189" s="304"/>
      <c r="AF189" s="304"/>
      <c r="AP189" s="304"/>
      <c r="AZ189" s="304"/>
      <c r="BJ189" s="304"/>
      <c r="BT189" s="304"/>
      <c r="CD189" s="304"/>
      <c r="CN189" s="304"/>
      <c r="CX189" s="304"/>
      <c r="DH189" s="304"/>
    </row>
    <row r="190" spans="3:112" s="37" customFormat="1" hidden="1" x14ac:dyDescent="0.25">
      <c r="C190" s="35"/>
      <c r="L190" s="848"/>
      <c r="V190" s="304"/>
      <c r="AF190" s="304"/>
      <c r="AP190" s="304"/>
      <c r="AZ190" s="304"/>
      <c r="BJ190" s="304"/>
      <c r="BT190" s="304"/>
      <c r="CD190" s="304"/>
      <c r="CN190" s="304"/>
      <c r="CX190" s="304"/>
      <c r="DH190" s="304"/>
    </row>
    <row r="191" spans="3:112" s="37" customFormat="1" hidden="1" x14ac:dyDescent="0.25">
      <c r="C191" s="35"/>
      <c r="L191" s="848"/>
      <c r="V191" s="304"/>
      <c r="AF191" s="304"/>
      <c r="AP191" s="304"/>
      <c r="AZ191" s="304"/>
      <c r="BJ191" s="304"/>
      <c r="BT191" s="304"/>
      <c r="CD191" s="304"/>
      <c r="CN191" s="304"/>
      <c r="CX191" s="304"/>
      <c r="DH191" s="304"/>
    </row>
    <row r="192" spans="3:112" s="37" customFormat="1" hidden="1" x14ac:dyDescent="0.25">
      <c r="C192" s="35"/>
      <c r="L192" s="848"/>
      <c r="V192" s="304"/>
      <c r="AF192" s="304"/>
      <c r="AP192" s="304"/>
      <c r="AZ192" s="304"/>
      <c r="BJ192" s="304"/>
      <c r="BT192" s="304"/>
      <c r="CD192" s="304"/>
      <c r="CN192" s="304"/>
      <c r="CX192" s="304"/>
      <c r="DH192" s="304"/>
    </row>
    <row r="193" spans="3:112" s="37" customFormat="1" hidden="1" x14ac:dyDescent="0.25">
      <c r="C193" s="35"/>
      <c r="L193" s="848"/>
      <c r="V193" s="304"/>
      <c r="AF193" s="304"/>
      <c r="AP193" s="304"/>
      <c r="AZ193" s="304"/>
      <c r="BJ193" s="304"/>
      <c r="BT193" s="304"/>
      <c r="CD193" s="304"/>
      <c r="CN193" s="304"/>
      <c r="CX193" s="304"/>
      <c r="DH193" s="304"/>
    </row>
    <row r="194" spans="3:112" s="37" customFormat="1" hidden="1" x14ac:dyDescent="0.25">
      <c r="C194" s="35"/>
      <c r="L194" s="848"/>
      <c r="V194" s="304"/>
      <c r="AF194" s="304"/>
      <c r="AP194" s="304"/>
      <c r="AZ194" s="304"/>
      <c r="BJ194" s="304"/>
      <c r="BT194" s="304"/>
      <c r="CD194" s="304"/>
      <c r="CN194" s="304"/>
      <c r="CX194" s="304"/>
      <c r="DH194" s="304"/>
    </row>
    <row r="195" spans="3:112" s="37" customFormat="1" hidden="1" x14ac:dyDescent="0.25">
      <c r="C195" s="35"/>
      <c r="L195" s="848"/>
      <c r="V195" s="304"/>
      <c r="AF195" s="304"/>
      <c r="AP195" s="304"/>
      <c r="AZ195" s="304"/>
      <c r="BJ195" s="304"/>
      <c r="BT195" s="304"/>
      <c r="CD195" s="304"/>
      <c r="CN195" s="304"/>
      <c r="CX195" s="304"/>
      <c r="DH195" s="304"/>
    </row>
    <row r="196" spans="3:112" s="37" customFormat="1" hidden="1" x14ac:dyDescent="0.25">
      <c r="C196" s="35"/>
      <c r="L196" s="848"/>
      <c r="V196" s="304"/>
      <c r="AF196" s="304"/>
      <c r="AP196" s="304"/>
      <c r="AZ196" s="304"/>
      <c r="BJ196" s="304"/>
      <c r="BT196" s="304"/>
      <c r="CD196" s="304"/>
      <c r="CN196" s="304"/>
      <c r="CX196" s="304"/>
      <c r="DH196" s="304"/>
    </row>
    <row r="197" spans="3:112" s="37" customFormat="1" hidden="1" x14ac:dyDescent="0.25">
      <c r="C197" s="35"/>
      <c r="L197" s="848"/>
      <c r="V197" s="304"/>
      <c r="AF197" s="304"/>
      <c r="AP197" s="304"/>
      <c r="AZ197" s="304"/>
      <c r="BJ197" s="304"/>
      <c r="BT197" s="304"/>
      <c r="CD197" s="304"/>
      <c r="CN197" s="304"/>
      <c r="CX197" s="304"/>
      <c r="DH197" s="304"/>
    </row>
    <row r="198" spans="3:112" s="37" customFormat="1" hidden="1" x14ac:dyDescent="0.25">
      <c r="C198" s="35"/>
      <c r="L198" s="848"/>
      <c r="V198" s="304"/>
      <c r="AF198" s="304"/>
      <c r="AP198" s="304"/>
      <c r="AZ198" s="304"/>
      <c r="BJ198" s="304"/>
      <c r="BT198" s="304"/>
      <c r="CD198" s="304"/>
      <c r="CN198" s="304"/>
      <c r="CX198" s="304"/>
      <c r="DH198" s="304"/>
    </row>
    <row r="199" spans="3:112" s="37" customFormat="1" hidden="1" x14ac:dyDescent="0.25">
      <c r="C199" s="35"/>
      <c r="L199" s="848"/>
      <c r="V199" s="304"/>
      <c r="AF199" s="304"/>
      <c r="AP199" s="304"/>
      <c r="AZ199" s="304"/>
      <c r="BJ199" s="304"/>
      <c r="BT199" s="304"/>
      <c r="CD199" s="304"/>
      <c r="CN199" s="304"/>
      <c r="CX199" s="304"/>
      <c r="DH199" s="304"/>
    </row>
    <row r="200" spans="3:112" s="37" customFormat="1" hidden="1" x14ac:dyDescent="0.25">
      <c r="C200" s="35"/>
      <c r="L200" s="848"/>
      <c r="V200" s="304"/>
      <c r="AF200" s="304"/>
      <c r="AP200" s="304"/>
      <c r="AZ200" s="304"/>
      <c r="BJ200" s="304"/>
      <c r="BT200" s="304"/>
      <c r="CD200" s="304"/>
      <c r="CN200" s="304"/>
      <c r="CX200" s="304"/>
      <c r="DH200" s="304"/>
    </row>
    <row r="201" spans="3:112" s="37" customFormat="1" hidden="1" x14ac:dyDescent="0.25">
      <c r="C201" s="35"/>
      <c r="L201" s="848"/>
      <c r="V201" s="304"/>
      <c r="AF201" s="304"/>
      <c r="AP201" s="304"/>
      <c r="AZ201" s="304"/>
      <c r="BJ201" s="304"/>
      <c r="BT201" s="304"/>
      <c r="CD201" s="304"/>
      <c r="CN201" s="304"/>
      <c r="CX201" s="304"/>
      <c r="DH201" s="304"/>
    </row>
    <row r="202" spans="3:112" s="37" customFormat="1" hidden="1" x14ac:dyDescent="0.25">
      <c r="C202" s="35"/>
      <c r="L202" s="848"/>
      <c r="V202" s="304"/>
      <c r="AF202" s="304"/>
      <c r="AP202" s="304"/>
      <c r="AZ202" s="304"/>
      <c r="BJ202" s="304"/>
      <c r="BT202" s="304"/>
      <c r="CD202" s="304"/>
      <c r="CN202" s="304"/>
      <c r="CX202" s="304"/>
      <c r="DH202" s="304"/>
    </row>
    <row r="203" spans="3:112" s="37" customFormat="1" hidden="1" x14ac:dyDescent="0.25">
      <c r="C203" s="35"/>
      <c r="L203" s="848"/>
      <c r="V203" s="304"/>
      <c r="AF203" s="304"/>
      <c r="AP203" s="304"/>
      <c r="AZ203" s="304"/>
      <c r="BJ203" s="304"/>
      <c r="BT203" s="304"/>
      <c r="CD203" s="304"/>
      <c r="CN203" s="304"/>
      <c r="CX203" s="304"/>
      <c r="DH203" s="304"/>
    </row>
    <row r="204" spans="3:112" s="37" customFormat="1" hidden="1" x14ac:dyDescent="0.25">
      <c r="C204" s="35"/>
      <c r="L204" s="848"/>
      <c r="V204" s="304"/>
      <c r="AF204" s="304"/>
      <c r="AP204" s="304"/>
      <c r="AZ204" s="304"/>
      <c r="BJ204" s="304"/>
      <c r="BT204" s="304"/>
      <c r="CD204" s="304"/>
      <c r="CN204" s="304"/>
      <c r="CX204" s="304"/>
      <c r="DH204" s="304"/>
    </row>
    <row r="205" spans="3:112" s="37" customFormat="1" hidden="1" x14ac:dyDescent="0.25">
      <c r="C205" s="35"/>
      <c r="L205" s="848"/>
      <c r="V205" s="304"/>
      <c r="AF205" s="304"/>
      <c r="AP205" s="304"/>
      <c r="AZ205" s="304"/>
      <c r="BJ205" s="304"/>
      <c r="BT205" s="304"/>
      <c r="CD205" s="304"/>
      <c r="CN205" s="304"/>
      <c r="CX205" s="304"/>
      <c r="DH205" s="304"/>
    </row>
    <row r="206" spans="3:112" s="37" customFormat="1" hidden="1" x14ac:dyDescent="0.25">
      <c r="C206" s="35"/>
      <c r="L206" s="848"/>
      <c r="V206" s="304"/>
      <c r="AF206" s="304"/>
      <c r="AP206" s="304"/>
      <c r="AZ206" s="304"/>
      <c r="BJ206" s="304"/>
      <c r="BT206" s="304"/>
      <c r="CD206" s="304"/>
      <c r="CN206" s="304"/>
      <c r="CX206" s="304"/>
      <c r="DH206" s="304"/>
    </row>
    <row r="207" spans="3:112" s="37" customFormat="1" hidden="1" x14ac:dyDescent="0.25">
      <c r="C207" s="35"/>
      <c r="L207" s="848"/>
      <c r="V207" s="304"/>
      <c r="AF207" s="304"/>
      <c r="AP207" s="304"/>
      <c r="AZ207" s="304"/>
      <c r="BJ207" s="304"/>
      <c r="BT207" s="304"/>
      <c r="CD207" s="304"/>
      <c r="CN207" s="304"/>
      <c r="CX207" s="304"/>
      <c r="DH207" s="304"/>
    </row>
    <row r="208" spans="3:112" s="37" customFormat="1" hidden="1" x14ac:dyDescent="0.25">
      <c r="C208" s="35"/>
      <c r="L208" s="848"/>
      <c r="V208" s="304"/>
      <c r="AF208" s="304"/>
      <c r="AP208" s="304"/>
      <c r="AZ208" s="304"/>
      <c r="BJ208" s="304"/>
      <c r="BT208" s="304"/>
      <c r="CD208" s="304"/>
      <c r="CN208" s="304"/>
      <c r="CX208" s="304"/>
      <c r="DH208" s="304"/>
    </row>
    <row r="209" spans="3:112" s="37" customFormat="1" hidden="1" x14ac:dyDescent="0.25">
      <c r="C209" s="35"/>
      <c r="L209" s="848"/>
      <c r="V209" s="304"/>
      <c r="AF209" s="304"/>
      <c r="AP209" s="304"/>
      <c r="AZ209" s="304"/>
      <c r="BJ209" s="304"/>
      <c r="BT209" s="304"/>
      <c r="CD209" s="304"/>
      <c r="CN209" s="304"/>
      <c r="CX209" s="304"/>
      <c r="DH209" s="304"/>
    </row>
    <row r="210" spans="3:112" s="37" customFormat="1" hidden="1" x14ac:dyDescent="0.25">
      <c r="C210" s="35"/>
      <c r="L210" s="848"/>
      <c r="V210" s="304"/>
      <c r="AF210" s="304"/>
      <c r="AP210" s="304"/>
      <c r="AZ210" s="304"/>
      <c r="BJ210" s="304"/>
      <c r="BT210" s="304"/>
      <c r="CD210" s="304"/>
      <c r="CN210" s="304"/>
      <c r="CX210" s="304"/>
      <c r="DH210" s="304"/>
    </row>
    <row r="211" spans="3:112" s="37" customFormat="1" hidden="1" x14ac:dyDescent="0.25">
      <c r="C211" s="35"/>
      <c r="L211" s="848"/>
      <c r="V211" s="304"/>
      <c r="AF211" s="304"/>
      <c r="AP211" s="304"/>
      <c r="AZ211" s="304"/>
      <c r="BJ211" s="304"/>
      <c r="BT211" s="304"/>
      <c r="CD211" s="304"/>
      <c r="CN211" s="304"/>
      <c r="CX211" s="304"/>
      <c r="DH211" s="304"/>
    </row>
    <row r="212" spans="3:112" s="37" customFormat="1" hidden="1" x14ac:dyDescent="0.25">
      <c r="C212" s="35"/>
      <c r="L212" s="848"/>
      <c r="V212" s="304"/>
      <c r="AF212" s="304"/>
      <c r="AP212" s="304"/>
      <c r="AZ212" s="304"/>
      <c r="BJ212" s="304"/>
      <c r="BT212" s="304"/>
      <c r="CD212" s="304"/>
      <c r="CN212" s="304"/>
      <c r="CX212" s="304"/>
      <c r="DH212" s="304"/>
    </row>
    <row r="213" spans="3:112" s="37" customFormat="1" hidden="1" x14ac:dyDescent="0.25">
      <c r="C213" s="35"/>
      <c r="L213" s="848"/>
      <c r="V213" s="304"/>
      <c r="AF213" s="304"/>
      <c r="AP213" s="304"/>
      <c r="AZ213" s="304"/>
      <c r="BJ213" s="304"/>
      <c r="BT213" s="304"/>
      <c r="CD213" s="304"/>
      <c r="CN213" s="304"/>
      <c r="CX213" s="304"/>
      <c r="DH213" s="304"/>
    </row>
    <row r="214" spans="3:112" s="37" customFormat="1" hidden="1" x14ac:dyDescent="0.25">
      <c r="C214" s="35"/>
      <c r="L214" s="848"/>
      <c r="V214" s="304"/>
      <c r="AF214" s="304"/>
      <c r="AP214" s="304"/>
      <c r="AZ214" s="304"/>
      <c r="BJ214" s="304"/>
      <c r="BT214" s="304"/>
      <c r="CD214" s="304"/>
      <c r="CN214" s="304"/>
      <c r="CX214" s="304"/>
      <c r="DH214" s="304"/>
    </row>
    <row r="215" spans="3:112" s="37" customFormat="1" hidden="1" x14ac:dyDescent="0.25">
      <c r="C215" s="35"/>
      <c r="L215" s="848"/>
      <c r="V215" s="304"/>
      <c r="AF215" s="304"/>
      <c r="AP215" s="304"/>
      <c r="AZ215" s="304"/>
      <c r="BJ215" s="304"/>
      <c r="BT215" s="304"/>
      <c r="CD215" s="304"/>
      <c r="CN215" s="304"/>
      <c r="CX215" s="304"/>
      <c r="DH215" s="304"/>
    </row>
    <row r="216" spans="3:112" s="37" customFormat="1" hidden="1" x14ac:dyDescent="0.25">
      <c r="C216" s="35"/>
      <c r="L216" s="848"/>
      <c r="V216" s="304"/>
      <c r="AF216" s="304"/>
      <c r="AP216" s="304"/>
      <c r="AZ216" s="304"/>
      <c r="BJ216" s="304"/>
      <c r="BT216" s="304"/>
      <c r="CD216" s="304"/>
      <c r="CN216" s="304"/>
      <c r="CX216" s="304"/>
      <c r="DH216" s="304"/>
    </row>
    <row r="217" spans="3:112" s="37" customFormat="1" hidden="1" x14ac:dyDescent="0.25">
      <c r="C217" s="35"/>
      <c r="L217" s="848"/>
      <c r="V217" s="304"/>
      <c r="AF217" s="304"/>
      <c r="AP217" s="304"/>
      <c r="AZ217" s="304"/>
      <c r="BJ217" s="304"/>
      <c r="BT217" s="304"/>
      <c r="CD217" s="304"/>
      <c r="CN217" s="304"/>
      <c r="CX217" s="304"/>
      <c r="DH217" s="304"/>
    </row>
    <row r="218" spans="3:112" s="37" customFormat="1" hidden="1" x14ac:dyDescent="0.25">
      <c r="C218" s="35"/>
      <c r="L218" s="848"/>
      <c r="V218" s="304"/>
      <c r="AF218" s="304"/>
      <c r="AP218" s="304"/>
      <c r="AZ218" s="304"/>
      <c r="BJ218" s="304"/>
      <c r="BT218" s="304"/>
      <c r="CD218" s="304"/>
      <c r="CN218" s="304"/>
      <c r="CX218" s="304"/>
      <c r="DH218" s="304"/>
    </row>
    <row r="219" spans="3:112" s="37" customFormat="1" hidden="1" x14ac:dyDescent="0.25">
      <c r="C219" s="35"/>
      <c r="L219" s="848"/>
      <c r="V219" s="304"/>
      <c r="AF219" s="304"/>
      <c r="AP219" s="304"/>
      <c r="AZ219" s="304"/>
      <c r="BJ219" s="304"/>
      <c r="BT219" s="304"/>
      <c r="CD219" s="304"/>
      <c r="CN219" s="304"/>
      <c r="CX219" s="304"/>
      <c r="DH219" s="304"/>
    </row>
    <row r="220" spans="3:112" s="37" customFormat="1" hidden="1" x14ac:dyDescent="0.25">
      <c r="C220" s="35"/>
      <c r="L220" s="848"/>
      <c r="V220" s="304"/>
      <c r="AF220" s="304"/>
      <c r="AP220" s="304"/>
      <c r="AZ220" s="304"/>
      <c r="BJ220" s="304"/>
      <c r="BT220" s="304"/>
      <c r="CD220" s="304"/>
      <c r="CN220" s="304"/>
      <c r="CX220" s="304"/>
      <c r="DH220" s="304"/>
    </row>
    <row r="221" spans="3:112" s="37" customFormat="1" hidden="1" x14ac:dyDescent="0.25">
      <c r="C221" s="35"/>
      <c r="L221" s="848"/>
      <c r="V221" s="304"/>
      <c r="AF221" s="304"/>
      <c r="AP221" s="304"/>
      <c r="AZ221" s="304"/>
      <c r="BJ221" s="304"/>
      <c r="BT221" s="304"/>
      <c r="CD221" s="304"/>
      <c r="CN221" s="304"/>
      <c r="CX221" s="304"/>
      <c r="DH221" s="304"/>
    </row>
    <row r="222" spans="3:112" s="37" customFormat="1" hidden="1" x14ac:dyDescent="0.25">
      <c r="C222" s="35"/>
      <c r="L222" s="848"/>
      <c r="V222" s="304"/>
      <c r="AF222" s="304"/>
      <c r="AP222" s="304"/>
      <c r="AZ222" s="304"/>
      <c r="BJ222" s="304"/>
      <c r="BT222" s="304"/>
      <c r="CD222" s="304"/>
      <c r="CN222" s="304"/>
      <c r="CX222" s="304"/>
      <c r="DH222" s="304"/>
    </row>
    <row r="223" spans="3:112" s="37" customFormat="1" hidden="1" x14ac:dyDescent="0.25">
      <c r="C223" s="35"/>
      <c r="L223" s="848"/>
      <c r="V223" s="304"/>
      <c r="AF223" s="304"/>
      <c r="AP223" s="304"/>
      <c r="AZ223" s="304"/>
      <c r="BJ223" s="304"/>
      <c r="BT223" s="304"/>
      <c r="CD223" s="304"/>
      <c r="CN223" s="304"/>
      <c r="CX223" s="304"/>
      <c r="DH223" s="304"/>
    </row>
    <row r="224" spans="3:112" s="37" customFormat="1" hidden="1" x14ac:dyDescent="0.25">
      <c r="C224" s="35"/>
      <c r="L224" s="848"/>
      <c r="V224" s="304"/>
      <c r="AF224" s="304"/>
      <c r="AP224" s="304"/>
      <c r="AZ224" s="304"/>
      <c r="BJ224" s="304"/>
      <c r="BT224" s="304"/>
      <c r="CD224" s="304"/>
      <c r="CN224" s="304"/>
      <c r="CX224" s="304"/>
      <c r="DH224" s="304"/>
    </row>
    <row r="225" spans="3:112" s="37" customFormat="1" hidden="1" x14ac:dyDescent="0.25">
      <c r="C225" s="35"/>
      <c r="L225" s="848"/>
      <c r="V225" s="304"/>
      <c r="AF225" s="304"/>
      <c r="AP225" s="304"/>
      <c r="AZ225" s="304"/>
      <c r="BJ225" s="304"/>
      <c r="BT225" s="304"/>
      <c r="CD225" s="304"/>
      <c r="CN225" s="304"/>
      <c r="CX225" s="304"/>
      <c r="DH225" s="304"/>
    </row>
    <row r="226" spans="3:112" s="37" customFormat="1" hidden="1" x14ac:dyDescent="0.25">
      <c r="C226" s="35"/>
      <c r="L226" s="848"/>
      <c r="V226" s="304"/>
      <c r="AF226" s="304"/>
      <c r="AP226" s="304"/>
      <c r="AZ226" s="304"/>
      <c r="BJ226" s="304"/>
      <c r="BT226" s="304"/>
      <c r="CD226" s="304"/>
      <c r="CN226" s="304"/>
      <c r="CX226" s="304"/>
      <c r="DH226" s="304"/>
    </row>
    <row r="227" spans="3:112" s="37" customFormat="1" hidden="1" x14ac:dyDescent="0.25">
      <c r="C227" s="35"/>
      <c r="L227" s="848"/>
      <c r="V227" s="304"/>
      <c r="AF227" s="304"/>
      <c r="AP227" s="304"/>
      <c r="AZ227" s="304"/>
      <c r="BJ227" s="304"/>
      <c r="BT227" s="304"/>
      <c r="CD227" s="304"/>
      <c r="CN227" s="304"/>
      <c r="CX227" s="304"/>
      <c r="DH227" s="304"/>
    </row>
    <row r="228" spans="3:112" s="37" customFormat="1" hidden="1" x14ac:dyDescent="0.25">
      <c r="C228" s="35"/>
      <c r="L228" s="848"/>
      <c r="V228" s="304"/>
      <c r="AF228" s="304"/>
      <c r="AP228" s="304"/>
      <c r="AZ228" s="304"/>
      <c r="BJ228" s="304"/>
      <c r="BT228" s="304"/>
      <c r="CD228" s="304"/>
      <c r="CN228" s="304"/>
      <c r="CX228" s="304"/>
      <c r="DH228" s="304"/>
    </row>
    <row r="229" spans="3:112" s="37" customFormat="1" hidden="1" x14ac:dyDescent="0.25">
      <c r="C229" s="35"/>
      <c r="L229" s="848"/>
      <c r="V229" s="304"/>
      <c r="AF229" s="304"/>
      <c r="AP229" s="304"/>
      <c r="AZ229" s="304"/>
      <c r="BJ229" s="304"/>
      <c r="BT229" s="304"/>
      <c r="CD229" s="304"/>
      <c r="CN229" s="304"/>
      <c r="CX229" s="304"/>
      <c r="DH229" s="304"/>
    </row>
    <row r="230" spans="3:112" s="37" customFormat="1" hidden="1" x14ac:dyDescent="0.25">
      <c r="C230" s="35"/>
      <c r="L230" s="848"/>
      <c r="V230" s="304"/>
      <c r="AF230" s="304"/>
      <c r="AP230" s="304"/>
      <c r="AZ230" s="304"/>
      <c r="BJ230" s="304"/>
      <c r="BT230" s="304"/>
      <c r="CD230" s="304"/>
      <c r="CN230" s="304"/>
      <c r="CX230" s="304"/>
      <c r="DH230" s="304"/>
    </row>
    <row r="231" spans="3:112" s="37" customFormat="1" hidden="1" x14ac:dyDescent="0.25">
      <c r="C231" s="35"/>
      <c r="L231" s="848"/>
      <c r="V231" s="304"/>
      <c r="AF231" s="304"/>
      <c r="AP231" s="304"/>
      <c r="AZ231" s="304"/>
      <c r="BJ231" s="304"/>
      <c r="BT231" s="304"/>
      <c r="CD231" s="304"/>
      <c r="CN231" s="304"/>
      <c r="CX231" s="304"/>
      <c r="DH231" s="304"/>
    </row>
    <row r="232" spans="3:112" s="37" customFormat="1" hidden="1" x14ac:dyDescent="0.25">
      <c r="C232" s="35"/>
      <c r="L232" s="848"/>
      <c r="V232" s="304"/>
      <c r="AF232" s="304"/>
      <c r="AP232" s="304"/>
      <c r="AZ232" s="304"/>
      <c r="BJ232" s="304"/>
      <c r="BT232" s="304"/>
      <c r="CD232" s="304"/>
      <c r="CN232" s="304"/>
      <c r="CX232" s="304"/>
      <c r="DH232" s="304"/>
    </row>
    <row r="233" spans="3:112" s="37" customFormat="1" hidden="1" x14ac:dyDescent="0.25">
      <c r="C233" s="35"/>
      <c r="L233" s="848"/>
      <c r="V233" s="304"/>
      <c r="AF233" s="304"/>
      <c r="AP233" s="304"/>
      <c r="AZ233" s="304"/>
      <c r="BJ233" s="304"/>
      <c r="BT233" s="304"/>
      <c r="CD233" s="304"/>
      <c r="CN233" s="304"/>
      <c r="CX233" s="304"/>
      <c r="DH233" s="304"/>
    </row>
    <row r="234" spans="3:112" s="37" customFormat="1" hidden="1" x14ac:dyDescent="0.25">
      <c r="C234" s="35"/>
      <c r="L234" s="848"/>
      <c r="V234" s="304"/>
      <c r="AF234" s="304"/>
      <c r="AP234" s="304"/>
      <c r="AZ234" s="304"/>
      <c r="BJ234" s="304"/>
      <c r="BT234" s="304"/>
      <c r="CD234" s="304"/>
      <c r="CN234" s="304"/>
      <c r="CX234" s="304"/>
      <c r="DH234" s="304"/>
    </row>
    <row r="235" spans="3:112" s="37" customFormat="1" hidden="1" x14ac:dyDescent="0.25">
      <c r="C235" s="35"/>
      <c r="L235" s="848"/>
      <c r="V235" s="304"/>
      <c r="AF235" s="304"/>
      <c r="AP235" s="304"/>
      <c r="AZ235" s="304"/>
      <c r="BJ235" s="304"/>
      <c r="BT235" s="304"/>
      <c r="CD235" s="304"/>
      <c r="CN235" s="304"/>
      <c r="CX235" s="304"/>
      <c r="DH235" s="304"/>
    </row>
    <row r="236" spans="3:112" s="37" customFormat="1" hidden="1" x14ac:dyDescent="0.25">
      <c r="C236" s="35"/>
      <c r="L236" s="848"/>
      <c r="V236" s="304"/>
      <c r="AF236" s="304"/>
      <c r="AP236" s="304"/>
      <c r="AZ236" s="304"/>
      <c r="BJ236" s="304"/>
      <c r="BT236" s="304"/>
      <c r="CD236" s="304"/>
      <c r="CN236" s="304"/>
      <c r="CX236" s="304"/>
      <c r="DH236" s="304"/>
    </row>
    <row r="237" spans="3:112" s="37" customFormat="1" hidden="1" x14ac:dyDescent="0.25">
      <c r="C237" s="35"/>
      <c r="L237" s="848"/>
      <c r="V237" s="304"/>
      <c r="AF237" s="304"/>
      <c r="AP237" s="304"/>
      <c r="AZ237" s="304"/>
      <c r="BJ237" s="304"/>
      <c r="BT237" s="304"/>
      <c r="CD237" s="304"/>
      <c r="CN237" s="304"/>
      <c r="CX237" s="304"/>
      <c r="DH237" s="304"/>
    </row>
    <row r="238" spans="3:112" s="37" customFormat="1" hidden="1" x14ac:dyDescent="0.25">
      <c r="C238" s="35"/>
      <c r="L238" s="848"/>
      <c r="V238" s="304"/>
      <c r="AF238" s="304"/>
      <c r="AP238" s="304"/>
      <c r="AZ238" s="304"/>
      <c r="BJ238" s="304"/>
      <c r="BT238" s="304"/>
      <c r="CD238" s="304"/>
      <c r="CN238" s="304"/>
      <c r="CX238" s="304"/>
      <c r="DH238" s="304"/>
    </row>
    <row r="239" spans="3:112" s="37" customFormat="1" hidden="1" x14ac:dyDescent="0.25">
      <c r="C239" s="35"/>
      <c r="L239" s="848"/>
      <c r="V239" s="304"/>
      <c r="AF239" s="304"/>
      <c r="AP239" s="304"/>
      <c r="AZ239" s="304"/>
      <c r="BJ239" s="304"/>
      <c r="BT239" s="304"/>
      <c r="CD239" s="304"/>
      <c r="CN239" s="304"/>
      <c r="CX239" s="304"/>
      <c r="DH239" s="304"/>
    </row>
    <row r="240" spans="3:112" s="37" customFormat="1" hidden="1" x14ac:dyDescent="0.25">
      <c r="C240" s="35"/>
      <c r="L240" s="848"/>
      <c r="V240" s="304"/>
      <c r="AF240" s="304"/>
      <c r="AP240" s="304"/>
      <c r="AZ240" s="304"/>
      <c r="BJ240" s="304"/>
      <c r="BT240" s="304"/>
      <c r="CD240" s="304"/>
      <c r="CN240" s="304"/>
      <c r="CX240" s="304"/>
      <c r="DH240" s="304"/>
    </row>
    <row r="241" spans="3:112" s="37" customFormat="1" hidden="1" x14ac:dyDescent="0.25">
      <c r="C241" s="35"/>
      <c r="L241" s="848"/>
      <c r="V241" s="304"/>
      <c r="AF241" s="304"/>
      <c r="AP241" s="304"/>
      <c r="AZ241" s="304"/>
      <c r="BJ241" s="304"/>
      <c r="BT241" s="304"/>
      <c r="CD241" s="304"/>
      <c r="CN241" s="304"/>
      <c r="CX241" s="304"/>
      <c r="DH241" s="304"/>
    </row>
    <row r="242" spans="3:112" s="37" customFormat="1" hidden="1" x14ac:dyDescent="0.25">
      <c r="C242" s="35"/>
      <c r="L242" s="848"/>
      <c r="V242" s="304"/>
      <c r="AF242" s="304"/>
      <c r="AP242" s="304"/>
      <c r="AZ242" s="304"/>
      <c r="BJ242" s="304"/>
      <c r="BT242" s="304"/>
      <c r="CD242" s="304"/>
      <c r="CN242" s="304"/>
      <c r="CX242" s="304"/>
      <c r="DH242" s="304"/>
    </row>
    <row r="243" spans="3:112" s="37" customFormat="1" hidden="1" x14ac:dyDescent="0.25">
      <c r="C243" s="35"/>
      <c r="L243" s="848"/>
      <c r="V243" s="304"/>
      <c r="AF243" s="304"/>
      <c r="AP243" s="304"/>
      <c r="AZ243" s="304"/>
      <c r="BJ243" s="304"/>
      <c r="BT243" s="304"/>
      <c r="CD243" s="304"/>
      <c r="CN243" s="304"/>
      <c r="CX243" s="304"/>
      <c r="DH243" s="304"/>
    </row>
    <row r="244" spans="3:112" s="37" customFormat="1" hidden="1" x14ac:dyDescent="0.25">
      <c r="C244" s="35"/>
      <c r="L244" s="848"/>
      <c r="V244" s="304"/>
      <c r="AF244" s="304"/>
      <c r="AP244" s="304"/>
      <c r="AZ244" s="304"/>
      <c r="BJ244" s="304"/>
      <c r="BT244" s="304"/>
      <c r="CD244" s="304"/>
      <c r="CN244" s="304"/>
      <c r="CX244" s="304"/>
      <c r="DH244" s="304"/>
    </row>
    <row r="245" spans="3:112" s="37" customFormat="1" hidden="1" x14ac:dyDescent="0.25">
      <c r="C245" s="35"/>
      <c r="L245" s="848"/>
      <c r="V245" s="304"/>
      <c r="AF245" s="304"/>
      <c r="AP245" s="304"/>
      <c r="AZ245" s="304"/>
      <c r="BJ245" s="304"/>
      <c r="BT245" s="304"/>
      <c r="CD245" s="304"/>
      <c r="CN245" s="304"/>
      <c r="CX245" s="304"/>
      <c r="DH245" s="304"/>
    </row>
    <row r="246" spans="3:112" s="37" customFormat="1" hidden="1" x14ac:dyDescent="0.25">
      <c r="C246" s="35"/>
      <c r="L246" s="848"/>
      <c r="V246" s="304"/>
      <c r="AF246" s="304"/>
      <c r="AP246" s="304"/>
      <c r="AZ246" s="304"/>
      <c r="BJ246" s="304"/>
      <c r="BT246" s="304"/>
      <c r="CD246" s="304"/>
      <c r="CN246" s="304"/>
      <c r="CX246" s="304"/>
      <c r="DH246" s="304"/>
    </row>
    <row r="247" spans="3:112" s="37" customFormat="1" hidden="1" x14ac:dyDescent="0.25">
      <c r="C247" s="35"/>
      <c r="L247" s="848"/>
      <c r="V247" s="304"/>
      <c r="AF247" s="304"/>
      <c r="AP247" s="304"/>
      <c r="AZ247" s="304"/>
      <c r="BJ247" s="304"/>
      <c r="BT247" s="304"/>
      <c r="CD247" s="304"/>
      <c r="CN247" s="304"/>
      <c r="CX247" s="304"/>
      <c r="DH247" s="304"/>
    </row>
    <row r="248" spans="3:112" s="37" customFormat="1" hidden="1" x14ac:dyDescent="0.25">
      <c r="C248" s="35"/>
      <c r="L248" s="848"/>
      <c r="V248" s="304"/>
      <c r="AF248" s="304"/>
      <c r="AP248" s="304"/>
      <c r="AZ248" s="304"/>
      <c r="BJ248" s="304"/>
      <c r="BT248" s="304"/>
      <c r="CD248" s="304"/>
      <c r="CN248" s="304"/>
      <c r="CX248" s="304"/>
      <c r="DH248" s="304"/>
    </row>
    <row r="249" spans="3:112" s="37" customFormat="1" hidden="1" x14ac:dyDescent="0.25">
      <c r="C249" s="35"/>
      <c r="L249" s="848"/>
      <c r="V249" s="304"/>
      <c r="AF249" s="304"/>
      <c r="AP249" s="304"/>
      <c r="AZ249" s="304"/>
      <c r="BJ249" s="304"/>
      <c r="BT249" s="304"/>
      <c r="CD249" s="304"/>
      <c r="CN249" s="304"/>
      <c r="CX249" s="304"/>
      <c r="DH249" s="304"/>
    </row>
    <row r="250" spans="3:112" s="37" customFormat="1" hidden="1" x14ac:dyDescent="0.25">
      <c r="C250" s="35"/>
      <c r="L250" s="848"/>
      <c r="V250" s="304"/>
      <c r="AF250" s="304"/>
      <c r="AP250" s="304"/>
      <c r="AZ250" s="304"/>
      <c r="BJ250" s="304"/>
      <c r="BT250" s="304"/>
      <c r="CD250" s="304"/>
      <c r="CN250" s="304"/>
      <c r="CX250" s="304"/>
      <c r="DH250" s="304"/>
    </row>
    <row r="251" spans="3:112" s="37" customFormat="1" hidden="1" x14ac:dyDescent="0.25">
      <c r="C251" s="35"/>
      <c r="L251" s="848"/>
      <c r="V251" s="304"/>
      <c r="AF251" s="304"/>
      <c r="AP251" s="304"/>
      <c r="AZ251" s="304"/>
      <c r="BJ251" s="304"/>
      <c r="BT251" s="304"/>
      <c r="CD251" s="304"/>
      <c r="CN251" s="304"/>
      <c r="CX251" s="304"/>
      <c r="DH251" s="304"/>
    </row>
    <row r="252" spans="3:112" s="37" customFormat="1" hidden="1" x14ac:dyDescent="0.25">
      <c r="C252" s="35"/>
      <c r="L252" s="848"/>
      <c r="V252" s="304"/>
      <c r="AF252" s="304"/>
      <c r="AP252" s="304"/>
      <c r="AZ252" s="304"/>
      <c r="BJ252" s="304"/>
      <c r="BT252" s="304"/>
      <c r="CD252" s="304"/>
      <c r="CN252" s="304"/>
      <c r="CX252" s="304"/>
      <c r="DH252" s="304"/>
    </row>
    <row r="253" spans="3:112" s="37" customFormat="1" hidden="1" x14ac:dyDescent="0.25">
      <c r="C253" s="35"/>
      <c r="L253" s="848"/>
      <c r="V253" s="304"/>
      <c r="AF253" s="304"/>
      <c r="AP253" s="304"/>
      <c r="AZ253" s="304"/>
      <c r="BJ253" s="304"/>
      <c r="BT253" s="304"/>
      <c r="CD253" s="304"/>
      <c r="CN253" s="304"/>
      <c r="CX253" s="304"/>
      <c r="DH253" s="304"/>
    </row>
    <row r="254" spans="3:112" s="37" customFormat="1" hidden="1" x14ac:dyDescent="0.25">
      <c r="C254" s="35"/>
      <c r="L254" s="848"/>
      <c r="V254" s="304"/>
      <c r="AF254" s="304"/>
      <c r="AP254" s="304"/>
      <c r="AZ254" s="304"/>
      <c r="BJ254" s="304"/>
      <c r="BT254" s="304"/>
      <c r="CD254" s="304"/>
      <c r="CN254" s="304"/>
      <c r="CX254" s="304"/>
      <c r="DH254" s="304"/>
    </row>
    <row r="255" spans="3:112" s="37" customFormat="1" hidden="1" x14ac:dyDescent="0.25">
      <c r="C255" s="35"/>
      <c r="L255" s="848"/>
      <c r="V255" s="304"/>
      <c r="AF255" s="304"/>
      <c r="AP255" s="304"/>
      <c r="AZ255" s="304"/>
      <c r="BJ255" s="304"/>
      <c r="BT255" s="304"/>
      <c r="CD255" s="304"/>
      <c r="CN255" s="304"/>
      <c r="CX255" s="304"/>
      <c r="DH255" s="304"/>
    </row>
    <row r="256" spans="3:112" s="37" customFormat="1" hidden="1" x14ac:dyDescent="0.25">
      <c r="C256" s="35"/>
      <c r="L256" s="848"/>
      <c r="V256" s="304"/>
      <c r="AF256" s="304"/>
      <c r="AP256" s="304"/>
      <c r="AZ256" s="304"/>
      <c r="BJ256" s="304"/>
      <c r="BT256" s="304"/>
      <c r="CD256" s="304"/>
      <c r="CN256" s="304"/>
      <c r="CX256" s="304"/>
      <c r="DH256" s="304"/>
    </row>
    <row r="257" spans="3:112" s="37" customFormat="1" hidden="1" x14ac:dyDescent="0.25">
      <c r="C257" s="35"/>
      <c r="L257" s="848"/>
      <c r="V257" s="304"/>
      <c r="AF257" s="304"/>
      <c r="AP257" s="304"/>
      <c r="AZ257" s="304"/>
      <c r="BJ257" s="304"/>
      <c r="BT257" s="304"/>
      <c r="CD257" s="304"/>
      <c r="CN257" s="304"/>
      <c r="CX257" s="304"/>
      <c r="DH257" s="304"/>
    </row>
    <row r="258" spans="3:112" s="37" customFormat="1" hidden="1" x14ac:dyDescent="0.25">
      <c r="C258" s="35"/>
      <c r="L258" s="848"/>
      <c r="V258" s="304"/>
      <c r="AF258" s="304"/>
      <c r="AP258" s="304"/>
      <c r="AZ258" s="304"/>
      <c r="BJ258" s="304"/>
      <c r="BT258" s="304"/>
      <c r="CD258" s="304"/>
      <c r="CN258" s="304"/>
      <c r="CX258" s="304"/>
      <c r="DH258" s="304"/>
    </row>
    <row r="259" spans="3:112" s="37" customFormat="1" hidden="1" x14ac:dyDescent="0.25">
      <c r="C259" s="35"/>
      <c r="L259" s="848"/>
      <c r="V259" s="304"/>
      <c r="AF259" s="304"/>
      <c r="AP259" s="304"/>
      <c r="AZ259" s="304"/>
      <c r="BJ259" s="304"/>
      <c r="BT259" s="304"/>
      <c r="CD259" s="304"/>
      <c r="CN259" s="304"/>
      <c r="CX259" s="304"/>
      <c r="DH259" s="304"/>
    </row>
    <row r="260" spans="3:112" s="37" customFormat="1" hidden="1" x14ac:dyDescent="0.25">
      <c r="C260" s="35"/>
      <c r="L260" s="848"/>
      <c r="V260" s="304"/>
      <c r="AF260" s="304"/>
      <c r="AP260" s="304"/>
      <c r="AZ260" s="304"/>
      <c r="BJ260" s="304"/>
      <c r="BT260" s="304"/>
      <c r="CD260" s="304"/>
      <c r="CN260" s="304"/>
      <c r="CX260" s="304"/>
      <c r="DH260" s="304"/>
    </row>
    <row r="261" spans="3:112" s="37" customFormat="1" hidden="1" x14ac:dyDescent="0.25">
      <c r="C261" s="35"/>
      <c r="L261" s="848"/>
      <c r="V261" s="304"/>
      <c r="AF261" s="304"/>
      <c r="AP261" s="304"/>
      <c r="AZ261" s="304"/>
      <c r="BJ261" s="304"/>
      <c r="BT261" s="304"/>
      <c r="CD261" s="304"/>
      <c r="CN261" s="304"/>
      <c r="CX261" s="304"/>
      <c r="DH261" s="304"/>
    </row>
    <row r="262" spans="3:112" s="37" customFormat="1" hidden="1" x14ac:dyDescent="0.25">
      <c r="C262" s="35"/>
      <c r="L262" s="848"/>
      <c r="V262" s="304"/>
      <c r="AF262" s="304"/>
      <c r="AP262" s="304"/>
      <c r="AZ262" s="304"/>
      <c r="BJ262" s="304"/>
      <c r="BT262" s="304"/>
      <c r="CD262" s="304"/>
      <c r="CN262" s="304"/>
      <c r="CX262" s="304"/>
      <c r="DH262" s="304"/>
    </row>
    <row r="263" spans="3:112" s="37" customFormat="1" hidden="1" x14ac:dyDescent="0.25">
      <c r="C263" s="35"/>
      <c r="L263" s="848"/>
      <c r="V263" s="304"/>
      <c r="AF263" s="304"/>
      <c r="AP263" s="304"/>
      <c r="AZ263" s="304"/>
      <c r="BJ263" s="304"/>
      <c r="BT263" s="304"/>
      <c r="CD263" s="304"/>
      <c r="CN263" s="304"/>
      <c r="CX263" s="304"/>
      <c r="DH263" s="304"/>
    </row>
    <row r="264" spans="3:112" s="37" customFormat="1" hidden="1" x14ac:dyDescent="0.25">
      <c r="C264" s="35"/>
      <c r="L264" s="848"/>
      <c r="V264" s="304"/>
      <c r="AF264" s="304"/>
      <c r="AP264" s="304"/>
      <c r="AZ264" s="304"/>
      <c r="BJ264" s="304"/>
      <c r="BT264" s="304"/>
      <c r="CD264" s="304"/>
      <c r="CN264" s="304"/>
      <c r="CX264" s="304"/>
      <c r="DH264" s="304"/>
    </row>
    <row r="265" spans="3:112" s="37" customFormat="1" hidden="1" x14ac:dyDescent="0.25">
      <c r="C265" s="35"/>
      <c r="L265" s="848"/>
      <c r="V265" s="304"/>
      <c r="AF265" s="304"/>
      <c r="AP265" s="304"/>
      <c r="AZ265" s="304"/>
      <c r="BJ265" s="304"/>
      <c r="BT265" s="304"/>
      <c r="CD265" s="304"/>
      <c r="CN265" s="304"/>
      <c r="CX265" s="304"/>
      <c r="DH265" s="304"/>
    </row>
    <row r="266" spans="3:112" s="37" customFormat="1" hidden="1" x14ac:dyDescent="0.25">
      <c r="C266" s="35"/>
      <c r="L266" s="848"/>
      <c r="V266" s="304"/>
      <c r="AF266" s="304"/>
      <c r="AP266" s="304"/>
      <c r="AZ266" s="304"/>
      <c r="BJ266" s="304"/>
      <c r="BT266" s="304"/>
      <c r="CD266" s="304"/>
      <c r="CN266" s="304"/>
      <c r="CX266" s="304"/>
      <c r="DH266" s="304"/>
    </row>
    <row r="267" spans="3:112" s="37" customFormat="1" hidden="1" x14ac:dyDescent="0.25">
      <c r="C267" s="35"/>
      <c r="L267" s="848"/>
      <c r="V267" s="304"/>
      <c r="AF267" s="304"/>
      <c r="AP267" s="304"/>
      <c r="AZ267" s="304"/>
      <c r="BJ267" s="304"/>
      <c r="BT267" s="304"/>
      <c r="CD267" s="304"/>
      <c r="CN267" s="304"/>
      <c r="CX267" s="304"/>
      <c r="DH267" s="304"/>
    </row>
    <row r="268" spans="3:112" s="37" customFormat="1" hidden="1" x14ac:dyDescent="0.25">
      <c r="C268" s="35"/>
      <c r="L268" s="848"/>
      <c r="V268" s="304"/>
      <c r="AF268" s="304"/>
      <c r="AP268" s="304"/>
      <c r="AZ268" s="304"/>
      <c r="BJ268" s="304"/>
      <c r="BT268" s="304"/>
      <c r="CD268" s="304"/>
      <c r="CN268" s="304"/>
      <c r="CX268" s="304"/>
      <c r="DH268" s="304"/>
    </row>
    <row r="269" spans="3:112" s="37" customFormat="1" hidden="1" x14ac:dyDescent="0.25">
      <c r="C269" s="35"/>
      <c r="L269" s="848"/>
      <c r="V269" s="304"/>
      <c r="AF269" s="304"/>
      <c r="AP269" s="304"/>
      <c r="AZ269" s="304"/>
      <c r="BJ269" s="304"/>
      <c r="BT269" s="304"/>
      <c r="CD269" s="304"/>
      <c r="CN269" s="304"/>
      <c r="CX269" s="304"/>
      <c r="DH269" s="304"/>
    </row>
    <row r="270" spans="3:112" s="37" customFormat="1" hidden="1" x14ac:dyDescent="0.25">
      <c r="C270" s="35"/>
      <c r="L270" s="848"/>
      <c r="V270" s="304"/>
      <c r="AF270" s="304"/>
      <c r="AP270" s="304"/>
      <c r="AZ270" s="304"/>
      <c r="BJ270" s="304"/>
      <c r="BT270" s="304"/>
      <c r="CD270" s="304"/>
      <c r="CN270" s="304"/>
      <c r="CX270" s="304"/>
      <c r="DH270" s="304"/>
    </row>
    <row r="271" spans="3:112" s="37" customFormat="1" hidden="1" x14ac:dyDescent="0.25">
      <c r="C271" s="35"/>
      <c r="L271" s="848"/>
      <c r="V271" s="304"/>
      <c r="AF271" s="304"/>
      <c r="AP271" s="304"/>
      <c r="AZ271" s="304"/>
      <c r="BJ271" s="304"/>
      <c r="BT271" s="304"/>
      <c r="CD271" s="304"/>
      <c r="CN271" s="304"/>
      <c r="CX271" s="304"/>
      <c r="DH271" s="304"/>
    </row>
    <row r="272" spans="3:112" s="37" customFormat="1" hidden="1" x14ac:dyDescent="0.25">
      <c r="C272" s="35"/>
      <c r="L272" s="848"/>
      <c r="V272" s="304"/>
      <c r="AF272" s="304"/>
      <c r="AP272" s="304"/>
      <c r="AZ272" s="304"/>
      <c r="BJ272" s="304"/>
      <c r="BT272" s="304"/>
      <c r="CD272" s="304"/>
      <c r="CN272" s="304"/>
      <c r="CX272" s="304"/>
      <c r="DH272" s="304"/>
    </row>
    <row r="273" spans="3:112" s="37" customFormat="1" hidden="1" x14ac:dyDescent="0.25">
      <c r="C273" s="35"/>
      <c r="L273" s="848"/>
      <c r="V273" s="304"/>
      <c r="AF273" s="304"/>
      <c r="AP273" s="304"/>
      <c r="AZ273" s="304"/>
      <c r="BJ273" s="304"/>
      <c r="BT273" s="304"/>
      <c r="CD273" s="304"/>
      <c r="CN273" s="304"/>
      <c r="CX273" s="304"/>
      <c r="DH273" s="304"/>
    </row>
    <row r="274" spans="3:112" s="37" customFormat="1" hidden="1" x14ac:dyDescent="0.25">
      <c r="C274" s="35"/>
      <c r="L274" s="848"/>
      <c r="V274" s="304"/>
      <c r="AF274" s="304"/>
      <c r="AP274" s="304"/>
      <c r="AZ274" s="304"/>
      <c r="BJ274" s="304"/>
      <c r="BT274" s="304"/>
      <c r="CD274" s="304"/>
      <c r="CN274" s="304"/>
      <c r="CX274" s="304"/>
      <c r="DH274" s="304"/>
    </row>
    <row r="275" spans="3:112" s="37" customFormat="1" hidden="1" x14ac:dyDescent="0.25">
      <c r="C275" s="35"/>
      <c r="L275" s="848"/>
      <c r="V275" s="304"/>
      <c r="AF275" s="304"/>
      <c r="AP275" s="304"/>
      <c r="AZ275" s="304"/>
      <c r="BJ275" s="304"/>
      <c r="BT275" s="304"/>
      <c r="CD275" s="304"/>
      <c r="CN275" s="304"/>
      <c r="CX275" s="304"/>
      <c r="DH275" s="304"/>
    </row>
    <row r="276" spans="3:112" s="37" customFormat="1" hidden="1" x14ac:dyDescent="0.25">
      <c r="C276" s="35"/>
      <c r="L276" s="848"/>
      <c r="V276" s="304"/>
      <c r="AF276" s="304"/>
      <c r="AP276" s="304"/>
      <c r="AZ276" s="304"/>
      <c r="BJ276" s="304"/>
      <c r="BT276" s="304"/>
      <c r="CD276" s="304"/>
      <c r="CN276" s="304"/>
      <c r="CX276" s="304"/>
      <c r="DH276" s="304"/>
    </row>
    <row r="277" spans="3:112" s="37" customFormat="1" hidden="1" x14ac:dyDescent="0.25">
      <c r="C277" s="35"/>
      <c r="L277" s="848"/>
      <c r="V277" s="304"/>
      <c r="AF277" s="304"/>
      <c r="AP277" s="304"/>
      <c r="AZ277" s="304"/>
      <c r="BJ277" s="304"/>
      <c r="BT277" s="304"/>
      <c r="CD277" s="304"/>
      <c r="CN277" s="304"/>
      <c r="CX277" s="304"/>
      <c r="DH277" s="304"/>
    </row>
    <row r="278" spans="3:112" s="37" customFormat="1" hidden="1" x14ac:dyDescent="0.25">
      <c r="C278" s="35"/>
      <c r="L278" s="848"/>
      <c r="V278" s="304"/>
      <c r="AF278" s="304"/>
      <c r="AP278" s="304"/>
      <c r="AZ278" s="304"/>
      <c r="BJ278" s="304"/>
      <c r="BT278" s="304"/>
      <c r="CD278" s="304"/>
      <c r="CN278" s="304"/>
      <c r="CX278" s="304"/>
      <c r="DH278" s="304"/>
    </row>
    <row r="279" spans="3:112" s="37" customFormat="1" hidden="1" x14ac:dyDescent="0.25">
      <c r="C279" s="35"/>
      <c r="L279" s="848"/>
      <c r="V279" s="304"/>
      <c r="AF279" s="304"/>
      <c r="AP279" s="304"/>
      <c r="AZ279" s="304"/>
      <c r="BJ279" s="304"/>
      <c r="BT279" s="304"/>
      <c r="CD279" s="304"/>
      <c r="CN279" s="304"/>
      <c r="CX279" s="304"/>
      <c r="DH279" s="304"/>
    </row>
    <row r="280" spans="3:112" s="37" customFormat="1" hidden="1" x14ac:dyDescent="0.25">
      <c r="C280" s="35"/>
      <c r="L280" s="848"/>
      <c r="V280" s="304"/>
      <c r="AF280" s="304"/>
      <c r="AP280" s="304"/>
      <c r="AZ280" s="304"/>
      <c r="BJ280" s="304"/>
      <c r="BT280" s="304"/>
      <c r="CD280" s="304"/>
      <c r="CN280" s="304"/>
      <c r="CX280" s="304"/>
      <c r="DH280" s="304"/>
    </row>
    <row r="281" spans="3:112" s="37" customFormat="1" hidden="1" x14ac:dyDescent="0.25">
      <c r="C281" s="35"/>
      <c r="L281" s="848"/>
      <c r="V281" s="304"/>
      <c r="AF281" s="304"/>
      <c r="AP281" s="304"/>
      <c r="AZ281" s="304"/>
      <c r="BJ281" s="304"/>
      <c r="BT281" s="304"/>
      <c r="CD281" s="304"/>
      <c r="CN281" s="304"/>
      <c r="CX281" s="304"/>
      <c r="DH281" s="304"/>
    </row>
    <row r="282" spans="3:112" s="37" customFormat="1" hidden="1" x14ac:dyDescent="0.25">
      <c r="C282" s="35"/>
      <c r="L282" s="848"/>
      <c r="V282" s="304"/>
      <c r="AF282" s="304"/>
      <c r="AP282" s="304"/>
      <c r="AZ282" s="304"/>
      <c r="BJ282" s="304"/>
      <c r="BT282" s="304"/>
      <c r="CD282" s="304"/>
      <c r="CN282" s="304"/>
      <c r="CX282" s="304"/>
      <c r="DH282" s="304"/>
    </row>
    <row r="283" spans="3:112" s="37" customFormat="1" hidden="1" x14ac:dyDescent="0.25">
      <c r="C283" s="35"/>
      <c r="L283" s="848"/>
      <c r="V283" s="304"/>
      <c r="AF283" s="304"/>
      <c r="AP283" s="304"/>
      <c r="AZ283" s="304"/>
      <c r="BJ283" s="304"/>
      <c r="BT283" s="304"/>
      <c r="CD283" s="304"/>
      <c r="CN283" s="304"/>
      <c r="CX283" s="304"/>
      <c r="DH283" s="304"/>
    </row>
    <row r="284" spans="3:112" s="37" customFormat="1" hidden="1" x14ac:dyDescent="0.25">
      <c r="C284" s="35"/>
      <c r="L284" s="848"/>
      <c r="V284" s="304"/>
      <c r="AF284" s="304"/>
      <c r="AP284" s="304"/>
      <c r="AZ284" s="304"/>
      <c r="BJ284" s="304"/>
      <c r="BT284" s="304"/>
      <c r="CD284" s="304"/>
      <c r="CN284" s="304"/>
      <c r="CX284" s="304"/>
      <c r="DH284" s="304"/>
    </row>
    <row r="285" spans="3:112" s="37" customFormat="1" hidden="1" x14ac:dyDescent="0.25">
      <c r="C285" s="35"/>
      <c r="L285" s="848"/>
      <c r="V285" s="304"/>
      <c r="AF285" s="304"/>
      <c r="AP285" s="304"/>
      <c r="AZ285" s="304"/>
      <c r="BJ285" s="304"/>
      <c r="BT285" s="304"/>
      <c r="CD285" s="304"/>
      <c r="CN285" s="304"/>
      <c r="CX285" s="304"/>
      <c r="DH285" s="304"/>
    </row>
    <row r="286" spans="3:112" s="37" customFormat="1" hidden="1" x14ac:dyDescent="0.25">
      <c r="C286" s="35"/>
      <c r="L286" s="848"/>
      <c r="V286" s="304"/>
      <c r="AF286" s="304"/>
      <c r="AP286" s="304"/>
      <c r="AZ286" s="304"/>
      <c r="BJ286" s="304"/>
      <c r="BT286" s="304"/>
      <c r="CD286" s="304"/>
      <c r="CN286" s="304"/>
      <c r="CX286" s="304"/>
      <c r="DH286" s="304"/>
    </row>
    <row r="287" spans="3:112" s="37" customFormat="1" hidden="1" x14ac:dyDescent="0.25">
      <c r="C287" s="35"/>
      <c r="L287" s="848"/>
      <c r="V287" s="304"/>
      <c r="AF287" s="304"/>
      <c r="AP287" s="304"/>
      <c r="AZ287" s="304"/>
      <c r="BJ287" s="304"/>
      <c r="BT287" s="304"/>
      <c r="CD287" s="304"/>
      <c r="CN287" s="304"/>
      <c r="CX287" s="304"/>
      <c r="DH287" s="304"/>
    </row>
    <row r="288" spans="3:112" s="37" customFormat="1" hidden="1" x14ac:dyDescent="0.25">
      <c r="C288" s="35"/>
      <c r="L288" s="848"/>
      <c r="V288" s="304"/>
      <c r="AF288" s="304"/>
      <c r="AP288" s="304"/>
      <c r="AZ288" s="304"/>
      <c r="BJ288" s="304"/>
      <c r="BT288" s="304"/>
      <c r="CD288" s="304"/>
      <c r="CN288" s="304"/>
      <c r="CX288" s="304"/>
      <c r="DH288" s="304"/>
    </row>
    <row r="289" spans="3:112" s="37" customFormat="1" hidden="1" x14ac:dyDescent="0.25">
      <c r="C289" s="35"/>
      <c r="L289" s="848"/>
      <c r="V289" s="304"/>
      <c r="AF289" s="304"/>
      <c r="AP289" s="304"/>
      <c r="AZ289" s="304"/>
      <c r="BJ289" s="304"/>
      <c r="BT289" s="304"/>
      <c r="CD289" s="304"/>
      <c r="CN289" s="304"/>
      <c r="CX289" s="304"/>
      <c r="DH289" s="304"/>
    </row>
    <row r="290" spans="3:112" s="37" customFormat="1" hidden="1" x14ac:dyDescent="0.25">
      <c r="C290" s="35"/>
      <c r="L290" s="848"/>
      <c r="V290" s="304"/>
      <c r="AF290" s="304"/>
      <c r="AP290" s="304"/>
      <c r="AZ290" s="304"/>
      <c r="BJ290" s="304"/>
      <c r="BT290" s="304"/>
      <c r="CD290" s="304"/>
      <c r="CN290" s="304"/>
      <c r="CX290" s="304"/>
      <c r="DH290" s="304"/>
    </row>
    <row r="291" spans="3:112" s="37" customFormat="1" hidden="1" x14ac:dyDescent="0.25">
      <c r="C291" s="35"/>
      <c r="L291" s="848"/>
      <c r="V291" s="304"/>
      <c r="AF291" s="304"/>
      <c r="AP291" s="304"/>
      <c r="AZ291" s="304"/>
      <c r="BJ291" s="304"/>
      <c r="BT291" s="304"/>
      <c r="CD291" s="304"/>
      <c r="CN291" s="304"/>
      <c r="CX291" s="304"/>
      <c r="DH291" s="304"/>
    </row>
    <row r="292" spans="3:112" s="37" customFormat="1" hidden="1" x14ac:dyDescent="0.25">
      <c r="C292" s="35"/>
      <c r="L292" s="848"/>
      <c r="V292" s="304"/>
      <c r="AF292" s="304"/>
      <c r="AP292" s="304"/>
      <c r="AZ292" s="304"/>
      <c r="BJ292" s="304"/>
      <c r="BT292" s="304"/>
      <c r="CD292" s="304"/>
      <c r="CN292" s="304"/>
      <c r="CX292" s="304"/>
      <c r="DH292" s="304"/>
    </row>
    <row r="293" spans="3:112" s="37" customFormat="1" hidden="1" x14ac:dyDescent="0.25">
      <c r="C293" s="35"/>
      <c r="L293" s="848"/>
      <c r="V293" s="304"/>
      <c r="AF293" s="304"/>
      <c r="AP293" s="304"/>
      <c r="AZ293" s="304"/>
      <c r="BJ293" s="304"/>
      <c r="BT293" s="304"/>
      <c r="CD293" s="304"/>
      <c r="CN293" s="304"/>
      <c r="CX293" s="304"/>
      <c r="DH293" s="304"/>
    </row>
    <row r="294" spans="3:112" s="37" customFormat="1" hidden="1" x14ac:dyDescent="0.25">
      <c r="C294" s="35"/>
      <c r="L294" s="848"/>
      <c r="V294" s="304"/>
      <c r="AF294" s="304"/>
      <c r="AP294" s="304"/>
      <c r="AZ294" s="304"/>
      <c r="BJ294" s="304"/>
      <c r="BT294" s="304"/>
      <c r="CD294" s="304"/>
      <c r="CN294" s="304"/>
      <c r="CX294" s="304"/>
      <c r="DH294" s="304"/>
    </row>
    <row r="295" spans="3:112" s="37" customFormat="1" hidden="1" x14ac:dyDescent="0.25">
      <c r="C295" s="35"/>
      <c r="L295" s="848"/>
      <c r="V295" s="304"/>
      <c r="AF295" s="304"/>
      <c r="AP295" s="304"/>
      <c r="AZ295" s="304"/>
      <c r="BJ295" s="304"/>
      <c r="BT295" s="304"/>
      <c r="CD295" s="304"/>
      <c r="CN295" s="304"/>
      <c r="CX295" s="304"/>
      <c r="DH295" s="304"/>
    </row>
    <row r="296" spans="3:112" s="37" customFormat="1" hidden="1" x14ac:dyDescent="0.25">
      <c r="C296" s="35"/>
      <c r="L296" s="848"/>
      <c r="V296" s="304"/>
      <c r="AF296" s="304"/>
      <c r="AP296" s="304"/>
      <c r="AZ296" s="304"/>
      <c r="BJ296" s="304"/>
      <c r="BT296" s="304"/>
      <c r="CD296" s="304"/>
      <c r="CN296" s="304"/>
      <c r="CX296" s="304"/>
      <c r="DH296" s="304"/>
    </row>
    <row r="297" spans="3:112" s="37" customFormat="1" hidden="1" x14ac:dyDescent="0.25">
      <c r="C297" s="35"/>
      <c r="L297" s="848"/>
      <c r="V297" s="304"/>
      <c r="AF297" s="304"/>
      <c r="AP297" s="304"/>
      <c r="AZ297" s="304"/>
      <c r="BJ297" s="304"/>
      <c r="BT297" s="304"/>
      <c r="CD297" s="304"/>
      <c r="CN297" s="304"/>
      <c r="CX297" s="304"/>
      <c r="DH297" s="304"/>
    </row>
    <row r="298" spans="3:112" s="37" customFormat="1" hidden="1" x14ac:dyDescent="0.25">
      <c r="C298" s="35"/>
      <c r="L298" s="848"/>
      <c r="V298" s="304"/>
      <c r="AF298" s="304"/>
      <c r="AP298" s="304"/>
      <c r="AZ298" s="304"/>
      <c r="BJ298" s="304"/>
      <c r="BT298" s="304"/>
      <c r="CD298" s="304"/>
      <c r="CN298" s="304"/>
      <c r="CX298" s="304"/>
      <c r="DH298" s="304"/>
    </row>
    <row r="299" spans="3:112" s="37" customFormat="1" hidden="1" x14ac:dyDescent="0.25">
      <c r="C299" s="35"/>
      <c r="L299" s="848"/>
      <c r="V299" s="304"/>
      <c r="AF299" s="304"/>
      <c r="AP299" s="304"/>
      <c r="AZ299" s="304"/>
      <c r="BJ299" s="304"/>
      <c r="BT299" s="304"/>
      <c r="CD299" s="304"/>
      <c r="CN299" s="304"/>
      <c r="CX299" s="304"/>
      <c r="DH299" s="304"/>
    </row>
    <row r="300" spans="3:112" s="37" customFormat="1" hidden="1" x14ac:dyDescent="0.25">
      <c r="C300" s="35"/>
      <c r="L300" s="848"/>
      <c r="V300" s="304"/>
      <c r="AF300" s="304"/>
      <c r="AP300" s="304"/>
      <c r="AZ300" s="304"/>
      <c r="BJ300" s="304"/>
      <c r="BT300" s="304"/>
      <c r="CD300" s="304"/>
      <c r="CN300" s="304"/>
      <c r="CX300" s="304"/>
      <c r="DH300" s="304"/>
    </row>
    <row r="301" spans="3:112" s="37" customFormat="1" hidden="1" x14ac:dyDescent="0.25">
      <c r="C301" s="35"/>
      <c r="L301" s="848"/>
      <c r="V301" s="304"/>
      <c r="AF301" s="304"/>
      <c r="AP301" s="304"/>
      <c r="AZ301" s="304"/>
      <c r="BJ301" s="304"/>
      <c r="BT301" s="304"/>
      <c r="CD301" s="304"/>
      <c r="CN301" s="304"/>
      <c r="CX301" s="304"/>
      <c r="DH301" s="304"/>
    </row>
    <row r="302" spans="3:112" s="37" customFormat="1" hidden="1" x14ac:dyDescent="0.25">
      <c r="C302" s="35"/>
      <c r="L302" s="848"/>
      <c r="V302" s="304"/>
      <c r="AF302" s="304"/>
      <c r="AP302" s="304"/>
      <c r="AZ302" s="304"/>
      <c r="BJ302" s="304"/>
      <c r="BT302" s="304"/>
      <c r="CD302" s="304"/>
      <c r="CN302" s="304"/>
      <c r="CX302" s="304"/>
      <c r="DH302" s="304"/>
    </row>
    <row r="303" spans="3:112" s="37" customFormat="1" hidden="1" x14ac:dyDescent="0.25">
      <c r="C303" s="35"/>
      <c r="L303" s="848"/>
      <c r="V303" s="304"/>
      <c r="AF303" s="304"/>
      <c r="AP303" s="304"/>
      <c r="AZ303" s="304"/>
      <c r="BJ303" s="304"/>
      <c r="BT303" s="304"/>
      <c r="CD303" s="304"/>
      <c r="CN303" s="304"/>
      <c r="CX303" s="304"/>
      <c r="DH303" s="304"/>
    </row>
    <row r="304" spans="3:112" s="37" customFormat="1" hidden="1" x14ac:dyDescent="0.25">
      <c r="C304" s="35"/>
      <c r="L304" s="848"/>
      <c r="V304" s="304"/>
      <c r="AF304" s="304"/>
      <c r="AP304" s="304"/>
      <c r="AZ304" s="304"/>
      <c r="BJ304" s="304"/>
      <c r="BT304" s="304"/>
      <c r="CD304" s="304"/>
      <c r="CN304" s="304"/>
      <c r="CX304" s="304"/>
      <c r="DH304" s="304"/>
    </row>
    <row r="305" spans="3:112" s="37" customFormat="1" hidden="1" x14ac:dyDescent="0.25">
      <c r="C305" s="35"/>
      <c r="L305" s="848"/>
      <c r="V305" s="304"/>
      <c r="AF305" s="304"/>
      <c r="AP305" s="304"/>
      <c r="AZ305" s="304"/>
      <c r="BJ305" s="304"/>
      <c r="BT305" s="304"/>
      <c r="CD305" s="304"/>
      <c r="CN305" s="304"/>
      <c r="CX305" s="304"/>
      <c r="DH305" s="304"/>
    </row>
    <row r="306" spans="3:112" s="37" customFormat="1" hidden="1" x14ac:dyDescent="0.25">
      <c r="C306" s="35"/>
      <c r="L306" s="848"/>
      <c r="V306" s="304"/>
      <c r="AF306" s="304"/>
      <c r="AP306" s="304"/>
      <c r="AZ306" s="304"/>
      <c r="BJ306" s="304"/>
      <c r="BT306" s="304"/>
      <c r="CD306" s="304"/>
      <c r="CN306" s="304"/>
      <c r="CX306" s="304"/>
      <c r="DH306" s="304"/>
    </row>
    <row r="307" spans="3:112" s="37" customFormat="1" hidden="1" x14ac:dyDescent="0.25">
      <c r="C307" s="35"/>
      <c r="L307" s="848"/>
      <c r="V307" s="304"/>
      <c r="AF307" s="304"/>
      <c r="AP307" s="304"/>
      <c r="AZ307" s="304"/>
      <c r="BJ307" s="304"/>
      <c r="BT307" s="304"/>
      <c r="CD307" s="304"/>
      <c r="CN307" s="304"/>
      <c r="CX307" s="304"/>
      <c r="DH307" s="304"/>
    </row>
    <row r="308" spans="3:112" s="37" customFormat="1" hidden="1" x14ac:dyDescent="0.25">
      <c r="C308" s="35"/>
      <c r="L308" s="848"/>
      <c r="V308" s="304"/>
      <c r="AF308" s="304"/>
      <c r="AP308" s="304"/>
      <c r="AZ308" s="304"/>
      <c r="BJ308" s="304"/>
      <c r="BT308" s="304"/>
      <c r="CD308" s="304"/>
      <c r="CN308" s="304"/>
      <c r="CX308" s="304"/>
      <c r="DH308" s="304"/>
    </row>
    <row r="309" spans="3:112" s="37" customFormat="1" hidden="1" x14ac:dyDescent="0.25">
      <c r="C309" s="35"/>
      <c r="L309" s="848"/>
      <c r="V309" s="304"/>
      <c r="AF309" s="304"/>
      <c r="AP309" s="304"/>
      <c r="AZ309" s="304"/>
      <c r="BJ309" s="304"/>
      <c r="BT309" s="304"/>
      <c r="CD309" s="304"/>
      <c r="CN309" s="304"/>
      <c r="CX309" s="304"/>
      <c r="DH309" s="304"/>
    </row>
    <row r="310" spans="3:112" s="37" customFormat="1" hidden="1" x14ac:dyDescent="0.25">
      <c r="C310" s="35"/>
      <c r="L310" s="848"/>
      <c r="V310" s="304"/>
      <c r="AF310" s="304"/>
      <c r="AP310" s="304"/>
      <c r="AZ310" s="304"/>
      <c r="BJ310" s="304"/>
      <c r="BT310" s="304"/>
      <c r="CD310" s="304"/>
      <c r="CN310" s="304"/>
      <c r="CX310" s="304"/>
      <c r="DH310" s="304"/>
    </row>
    <row r="311" spans="3:112" s="37" customFormat="1" hidden="1" x14ac:dyDescent="0.25">
      <c r="C311" s="35"/>
      <c r="L311" s="848"/>
      <c r="V311" s="304"/>
      <c r="AF311" s="304"/>
      <c r="AP311" s="304"/>
      <c r="AZ311" s="304"/>
      <c r="BJ311" s="304"/>
      <c r="BT311" s="304"/>
      <c r="CD311" s="304"/>
      <c r="CN311" s="304"/>
      <c r="CX311" s="304"/>
      <c r="DH311" s="304"/>
    </row>
    <row r="312" spans="3:112" s="37" customFormat="1" hidden="1" x14ac:dyDescent="0.25">
      <c r="C312" s="35"/>
      <c r="L312" s="848"/>
      <c r="V312" s="304"/>
      <c r="AF312" s="304"/>
      <c r="AP312" s="304"/>
      <c r="AZ312" s="304"/>
      <c r="BJ312" s="304"/>
      <c r="BT312" s="304"/>
      <c r="CD312" s="304"/>
      <c r="CN312" s="304"/>
      <c r="CX312" s="304"/>
      <c r="DH312" s="304"/>
    </row>
    <row r="313" spans="3:112" s="37" customFormat="1" hidden="1" x14ac:dyDescent="0.25">
      <c r="C313" s="35"/>
      <c r="L313" s="848"/>
      <c r="V313" s="304"/>
      <c r="AF313" s="304"/>
      <c r="AP313" s="304"/>
      <c r="AZ313" s="304"/>
      <c r="BJ313" s="304"/>
      <c r="BT313" s="304"/>
      <c r="CD313" s="304"/>
      <c r="CN313" s="304"/>
      <c r="CX313" s="304"/>
      <c r="DH313" s="304"/>
    </row>
    <row r="314" spans="3:112" s="37" customFormat="1" hidden="1" x14ac:dyDescent="0.25">
      <c r="C314" s="35"/>
      <c r="L314" s="848"/>
      <c r="V314" s="304"/>
      <c r="AF314" s="304"/>
      <c r="AP314" s="304"/>
      <c r="AZ314" s="304"/>
      <c r="BJ314" s="304"/>
      <c r="BT314" s="304"/>
      <c r="CD314" s="304"/>
      <c r="CN314" s="304"/>
      <c r="CX314" s="304"/>
      <c r="DH314" s="304"/>
    </row>
    <row r="315" spans="3:112" s="37" customFormat="1" hidden="1" x14ac:dyDescent="0.25">
      <c r="C315" s="35"/>
      <c r="L315" s="848"/>
      <c r="V315" s="304"/>
      <c r="AF315" s="304"/>
      <c r="AP315" s="304"/>
      <c r="AZ315" s="304"/>
      <c r="BJ315" s="304"/>
      <c r="BT315" s="304"/>
      <c r="CD315" s="304"/>
      <c r="CN315" s="304"/>
      <c r="CX315" s="304"/>
      <c r="DH315" s="304"/>
    </row>
    <row r="316" spans="3:112" s="37" customFormat="1" hidden="1" x14ac:dyDescent="0.25">
      <c r="C316" s="35"/>
      <c r="L316" s="848"/>
      <c r="V316" s="304"/>
      <c r="AF316" s="304"/>
      <c r="AP316" s="304"/>
      <c r="AZ316" s="304"/>
      <c r="BJ316" s="304"/>
      <c r="BT316" s="304"/>
      <c r="CD316" s="304"/>
      <c r="CN316" s="304"/>
      <c r="CX316" s="304"/>
      <c r="DH316" s="304"/>
    </row>
    <row r="317" spans="3:112" s="37" customFormat="1" hidden="1" x14ac:dyDescent="0.25">
      <c r="C317" s="35"/>
      <c r="L317" s="848"/>
      <c r="V317" s="304"/>
      <c r="AF317" s="304"/>
      <c r="AP317" s="304"/>
      <c r="AZ317" s="304"/>
      <c r="BJ317" s="304"/>
      <c r="BT317" s="304"/>
      <c r="CD317" s="304"/>
      <c r="CN317" s="304"/>
      <c r="CX317" s="304"/>
      <c r="DH317" s="304"/>
    </row>
    <row r="318" spans="3:112" s="37" customFormat="1" hidden="1" x14ac:dyDescent="0.25">
      <c r="C318" s="35"/>
      <c r="L318" s="848"/>
      <c r="V318" s="304"/>
      <c r="AF318" s="304"/>
      <c r="AP318" s="304"/>
      <c r="AZ318" s="304"/>
      <c r="BJ318" s="304"/>
      <c r="BT318" s="304"/>
      <c r="CD318" s="304"/>
      <c r="CN318" s="304"/>
      <c r="CX318" s="304"/>
      <c r="DH318" s="304"/>
    </row>
    <row r="319" spans="3:112" s="37" customFormat="1" hidden="1" x14ac:dyDescent="0.25">
      <c r="C319" s="35"/>
      <c r="L319" s="848"/>
      <c r="V319" s="304"/>
      <c r="AF319" s="304"/>
      <c r="AP319" s="304"/>
      <c r="AZ319" s="304"/>
      <c r="BJ319" s="304"/>
      <c r="BT319" s="304"/>
      <c r="CD319" s="304"/>
      <c r="CN319" s="304"/>
      <c r="CX319" s="304"/>
      <c r="DH319" s="304"/>
    </row>
    <row r="320" spans="3:112" s="37" customFormat="1" hidden="1" x14ac:dyDescent="0.25">
      <c r="C320" s="35"/>
      <c r="L320" s="848"/>
      <c r="V320" s="304"/>
      <c r="AF320" s="304"/>
      <c r="AP320" s="304"/>
      <c r="AZ320" s="304"/>
      <c r="BJ320" s="304"/>
      <c r="BT320" s="304"/>
      <c r="CD320" s="304"/>
      <c r="CN320" s="304"/>
      <c r="CX320" s="304"/>
      <c r="DH320" s="304"/>
    </row>
    <row r="321" spans="3:112" s="37" customFormat="1" hidden="1" x14ac:dyDescent="0.25">
      <c r="C321" s="35"/>
      <c r="L321" s="848"/>
      <c r="V321" s="304"/>
      <c r="AF321" s="304"/>
      <c r="AP321" s="304"/>
      <c r="AZ321" s="304"/>
      <c r="BJ321" s="304"/>
      <c r="BT321" s="304"/>
      <c r="CD321" s="304"/>
      <c r="CN321" s="304"/>
      <c r="CX321" s="304"/>
      <c r="DH321" s="304"/>
    </row>
    <row r="322" spans="3:112" s="37" customFormat="1" hidden="1" x14ac:dyDescent="0.25">
      <c r="C322" s="35"/>
      <c r="L322" s="848"/>
      <c r="V322" s="304"/>
      <c r="AF322" s="304"/>
      <c r="AP322" s="304"/>
      <c r="AZ322" s="304"/>
      <c r="BJ322" s="304"/>
      <c r="BT322" s="304"/>
      <c r="CD322" s="304"/>
      <c r="CN322" s="304"/>
      <c r="CX322" s="304"/>
      <c r="DH322" s="304"/>
    </row>
    <row r="323" spans="3:112" s="37" customFormat="1" hidden="1" x14ac:dyDescent="0.25">
      <c r="C323" s="35"/>
      <c r="L323" s="848"/>
      <c r="V323" s="304"/>
      <c r="AF323" s="304"/>
      <c r="AP323" s="304"/>
      <c r="AZ323" s="304"/>
      <c r="BJ323" s="304"/>
      <c r="BT323" s="304"/>
      <c r="CD323" s="304"/>
      <c r="CN323" s="304"/>
      <c r="CX323" s="304"/>
      <c r="DH323" s="304"/>
    </row>
    <row r="324" spans="3:112" s="37" customFormat="1" hidden="1" x14ac:dyDescent="0.25">
      <c r="C324" s="35"/>
      <c r="L324" s="848"/>
      <c r="V324" s="304"/>
      <c r="AF324" s="304"/>
      <c r="AP324" s="304"/>
      <c r="AZ324" s="304"/>
      <c r="BJ324" s="304"/>
      <c r="BT324" s="304"/>
      <c r="CD324" s="304"/>
      <c r="CN324" s="304"/>
      <c r="CX324" s="304"/>
      <c r="DH324" s="304"/>
    </row>
    <row r="325" spans="3:112" s="37" customFormat="1" hidden="1" x14ac:dyDescent="0.25">
      <c r="C325" s="35"/>
      <c r="L325" s="848"/>
      <c r="V325" s="304"/>
      <c r="AF325" s="304"/>
      <c r="AP325" s="304"/>
      <c r="AZ325" s="304"/>
      <c r="BJ325" s="304"/>
      <c r="BT325" s="304"/>
      <c r="CD325" s="304"/>
      <c r="CN325" s="304"/>
      <c r="CX325" s="304"/>
      <c r="DH325" s="304"/>
    </row>
    <row r="326" spans="3:112" s="37" customFormat="1" hidden="1" x14ac:dyDescent="0.25">
      <c r="C326" s="35"/>
      <c r="L326" s="848"/>
      <c r="V326" s="304"/>
      <c r="AF326" s="304"/>
      <c r="AP326" s="304"/>
      <c r="AZ326" s="304"/>
      <c r="BJ326" s="304"/>
      <c r="BT326" s="304"/>
      <c r="CD326" s="304"/>
      <c r="CN326" s="304"/>
      <c r="CX326" s="304"/>
      <c r="DH326" s="304"/>
    </row>
    <row r="327" spans="3:112" s="37" customFormat="1" hidden="1" x14ac:dyDescent="0.25">
      <c r="C327" s="35"/>
      <c r="L327" s="848"/>
      <c r="V327" s="304"/>
      <c r="AF327" s="304"/>
      <c r="AP327" s="304"/>
      <c r="AZ327" s="304"/>
      <c r="BJ327" s="304"/>
      <c r="BT327" s="304"/>
      <c r="CD327" s="304"/>
      <c r="CN327" s="304"/>
      <c r="CX327" s="304"/>
      <c r="DH327" s="304"/>
    </row>
    <row r="328" spans="3:112" s="37" customFormat="1" hidden="1" x14ac:dyDescent="0.25">
      <c r="C328" s="35"/>
      <c r="L328" s="848"/>
      <c r="V328" s="304"/>
      <c r="AF328" s="304"/>
      <c r="AP328" s="304"/>
      <c r="AZ328" s="304"/>
      <c r="BJ328" s="304"/>
      <c r="BT328" s="304"/>
      <c r="CD328" s="304"/>
      <c r="CN328" s="304"/>
      <c r="CX328" s="304"/>
      <c r="DH328" s="304"/>
    </row>
    <row r="329" spans="3:112" s="37" customFormat="1" hidden="1" x14ac:dyDescent="0.25">
      <c r="C329" s="35"/>
      <c r="L329" s="848"/>
      <c r="V329" s="304"/>
      <c r="AF329" s="304"/>
      <c r="AP329" s="304"/>
      <c r="AZ329" s="304"/>
      <c r="BJ329" s="304"/>
      <c r="BT329" s="304"/>
      <c r="CD329" s="304"/>
      <c r="CN329" s="304"/>
      <c r="CX329" s="304"/>
      <c r="DH329" s="304"/>
    </row>
    <row r="330" spans="3:112" s="37" customFormat="1" hidden="1" x14ac:dyDescent="0.25">
      <c r="C330" s="35"/>
      <c r="L330" s="848"/>
      <c r="V330" s="304"/>
      <c r="AF330" s="304"/>
      <c r="AP330" s="304"/>
      <c r="AZ330" s="304"/>
      <c r="BJ330" s="304"/>
      <c r="BT330" s="304"/>
      <c r="CD330" s="304"/>
      <c r="CN330" s="304"/>
      <c r="CX330" s="304"/>
      <c r="DH330" s="304"/>
    </row>
    <row r="331" spans="3:112" s="37" customFormat="1" hidden="1" x14ac:dyDescent="0.25">
      <c r="C331" s="35"/>
      <c r="L331" s="848"/>
      <c r="V331" s="304"/>
      <c r="AF331" s="304"/>
      <c r="AP331" s="304"/>
      <c r="AZ331" s="304"/>
      <c r="BJ331" s="304"/>
      <c r="BT331" s="304"/>
      <c r="CD331" s="304"/>
      <c r="CN331" s="304"/>
      <c r="CX331" s="304"/>
      <c r="DH331" s="304"/>
    </row>
    <row r="332" spans="3:112" s="37" customFormat="1" hidden="1" x14ac:dyDescent="0.25">
      <c r="C332" s="35"/>
      <c r="L332" s="848"/>
      <c r="V332" s="304"/>
      <c r="AF332" s="304"/>
      <c r="AP332" s="304"/>
      <c r="AZ332" s="304"/>
      <c r="BJ332" s="304"/>
      <c r="BT332" s="304"/>
      <c r="CD332" s="304"/>
      <c r="CN332" s="304"/>
      <c r="CX332" s="304"/>
      <c r="DH332" s="304"/>
    </row>
    <row r="333" spans="3:112" s="37" customFormat="1" hidden="1" x14ac:dyDescent="0.25">
      <c r="C333" s="35"/>
      <c r="L333" s="848"/>
      <c r="V333" s="304"/>
      <c r="AF333" s="304"/>
      <c r="AP333" s="304"/>
      <c r="AZ333" s="304"/>
      <c r="BJ333" s="304"/>
      <c r="BT333" s="304"/>
      <c r="CD333" s="304"/>
      <c r="CN333" s="304"/>
      <c r="CX333" s="304"/>
      <c r="DH333" s="304"/>
    </row>
    <row r="334" spans="3:112" s="37" customFormat="1" hidden="1" x14ac:dyDescent="0.25">
      <c r="C334" s="35"/>
      <c r="L334" s="848"/>
      <c r="V334" s="304"/>
      <c r="AF334" s="304"/>
      <c r="AP334" s="304"/>
      <c r="AZ334" s="304"/>
      <c r="BJ334" s="304"/>
      <c r="BT334" s="304"/>
      <c r="CD334" s="304"/>
      <c r="CN334" s="304"/>
      <c r="CX334" s="304"/>
      <c r="DH334" s="304"/>
    </row>
    <row r="335" spans="3:112" s="37" customFormat="1" hidden="1" x14ac:dyDescent="0.25">
      <c r="C335" s="35"/>
      <c r="L335" s="848"/>
      <c r="V335" s="304"/>
      <c r="AF335" s="304"/>
      <c r="AP335" s="304"/>
      <c r="AZ335" s="304"/>
      <c r="BJ335" s="304"/>
      <c r="BT335" s="304"/>
      <c r="CD335" s="304"/>
      <c r="CN335" s="304"/>
      <c r="CX335" s="304"/>
      <c r="DH335" s="304"/>
    </row>
    <row r="336" spans="3:112" s="37" customFormat="1" hidden="1" x14ac:dyDescent="0.25">
      <c r="C336" s="35"/>
      <c r="L336" s="848"/>
      <c r="V336" s="304"/>
      <c r="AF336" s="304"/>
      <c r="AP336" s="304"/>
      <c r="AZ336" s="304"/>
      <c r="BJ336" s="304"/>
      <c r="BT336" s="304"/>
      <c r="CD336" s="304"/>
      <c r="CN336" s="304"/>
      <c r="CX336" s="304"/>
      <c r="DH336" s="304"/>
    </row>
    <row r="337" spans="3:112" s="37" customFormat="1" hidden="1" x14ac:dyDescent="0.25">
      <c r="C337" s="35"/>
      <c r="L337" s="848"/>
      <c r="V337" s="304"/>
      <c r="AF337" s="304"/>
      <c r="AP337" s="304"/>
      <c r="AZ337" s="304"/>
      <c r="BJ337" s="304"/>
      <c r="BT337" s="304"/>
      <c r="CD337" s="304"/>
      <c r="CN337" s="304"/>
      <c r="CX337" s="304"/>
      <c r="DH337" s="304"/>
    </row>
    <row r="338" spans="3:112" s="37" customFormat="1" hidden="1" x14ac:dyDescent="0.25">
      <c r="C338" s="35"/>
      <c r="L338" s="848"/>
      <c r="V338" s="304"/>
      <c r="AF338" s="304"/>
      <c r="AP338" s="304"/>
      <c r="AZ338" s="304"/>
      <c r="BJ338" s="304"/>
      <c r="BT338" s="304"/>
      <c r="CD338" s="304"/>
      <c r="CN338" s="304"/>
      <c r="CX338" s="304"/>
      <c r="DH338" s="304"/>
    </row>
    <row r="339" spans="3:112" s="37" customFormat="1" hidden="1" x14ac:dyDescent="0.25">
      <c r="C339" s="35"/>
      <c r="L339" s="848"/>
      <c r="V339" s="304"/>
      <c r="AF339" s="304"/>
      <c r="AP339" s="304"/>
      <c r="AZ339" s="304"/>
      <c r="BJ339" s="304"/>
      <c r="BT339" s="304"/>
      <c r="CD339" s="304"/>
      <c r="CN339" s="304"/>
      <c r="CX339" s="304"/>
      <c r="DH339" s="304"/>
    </row>
    <row r="340" spans="3:112" s="37" customFormat="1" hidden="1" x14ac:dyDescent="0.25">
      <c r="C340" s="35"/>
      <c r="L340" s="848"/>
      <c r="V340" s="304"/>
      <c r="AF340" s="304"/>
      <c r="AP340" s="304"/>
      <c r="AZ340" s="304"/>
      <c r="BJ340" s="304"/>
      <c r="BT340" s="304"/>
      <c r="CD340" s="304"/>
      <c r="CN340" s="304"/>
      <c r="CX340" s="304"/>
      <c r="DH340" s="304"/>
    </row>
    <row r="341" spans="3:112" s="37" customFormat="1" hidden="1" x14ac:dyDescent="0.25">
      <c r="C341" s="35"/>
      <c r="L341" s="848"/>
      <c r="V341" s="304"/>
      <c r="AF341" s="304"/>
      <c r="AP341" s="304"/>
      <c r="AZ341" s="304"/>
      <c r="BJ341" s="304"/>
      <c r="BT341" s="304"/>
      <c r="CD341" s="304"/>
      <c r="CN341" s="304"/>
      <c r="CX341" s="304"/>
      <c r="DH341" s="304"/>
    </row>
    <row r="342" spans="3:112" s="37" customFormat="1" hidden="1" x14ac:dyDescent="0.25">
      <c r="C342" s="35"/>
      <c r="L342" s="848"/>
      <c r="V342" s="304"/>
      <c r="AF342" s="304"/>
      <c r="AP342" s="304"/>
      <c r="AZ342" s="304"/>
      <c r="BJ342" s="304"/>
      <c r="BT342" s="304"/>
      <c r="CD342" s="304"/>
      <c r="CN342" s="304"/>
      <c r="CX342" s="304"/>
      <c r="DH342" s="304"/>
    </row>
    <row r="343" spans="3:112" s="37" customFormat="1" hidden="1" x14ac:dyDescent="0.25">
      <c r="C343" s="35"/>
      <c r="L343" s="848"/>
      <c r="V343" s="304"/>
      <c r="AF343" s="304"/>
      <c r="AP343" s="304"/>
      <c r="AZ343" s="304"/>
      <c r="BJ343" s="304"/>
      <c r="BT343" s="304"/>
      <c r="CD343" s="304"/>
      <c r="CN343" s="304"/>
      <c r="CX343" s="304"/>
      <c r="DH343" s="304"/>
    </row>
    <row r="344" spans="3:112" s="37" customFormat="1" hidden="1" x14ac:dyDescent="0.25">
      <c r="C344" s="35"/>
      <c r="L344" s="848"/>
      <c r="V344" s="304"/>
      <c r="AF344" s="304"/>
      <c r="AP344" s="304"/>
      <c r="AZ344" s="304"/>
      <c r="BJ344" s="304"/>
      <c r="BT344" s="304"/>
      <c r="CD344" s="304"/>
      <c r="CN344" s="304"/>
      <c r="CX344" s="304"/>
      <c r="DH344" s="304"/>
    </row>
    <row r="345" spans="3:112" s="37" customFormat="1" hidden="1" x14ac:dyDescent="0.25">
      <c r="C345" s="35"/>
      <c r="L345" s="848"/>
      <c r="V345" s="304"/>
      <c r="AF345" s="304"/>
      <c r="AP345" s="304"/>
      <c r="AZ345" s="304"/>
      <c r="BJ345" s="304"/>
      <c r="BT345" s="304"/>
      <c r="CD345" s="304"/>
      <c r="CN345" s="304"/>
      <c r="CX345" s="304"/>
      <c r="DH345" s="304"/>
    </row>
    <row r="346" spans="3:112" s="37" customFormat="1" hidden="1" x14ac:dyDescent="0.25">
      <c r="C346" s="35"/>
      <c r="L346" s="848"/>
      <c r="V346" s="304"/>
      <c r="AF346" s="304"/>
      <c r="AP346" s="304"/>
      <c r="AZ346" s="304"/>
      <c r="BJ346" s="304"/>
      <c r="BT346" s="304"/>
      <c r="CD346" s="304"/>
      <c r="CN346" s="304"/>
      <c r="CX346" s="304"/>
      <c r="DH346" s="304"/>
    </row>
    <row r="347" spans="3:112" s="37" customFormat="1" hidden="1" x14ac:dyDescent="0.25">
      <c r="C347" s="35"/>
      <c r="L347" s="848"/>
      <c r="V347" s="304"/>
      <c r="AF347" s="304"/>
      <c r="AP347" s="304"/>
      <c r="AZ347" s="304"/>
      <c r="BJ347" s="304"/>
      <c r="BT347" s="304"/>
      <c r="CD347" s="304"/>
      <c r="CN347" s="304"/>
      <c r="CX347" s="304"/>
      <c r="DH347" s="304"/>
    </row>
    <row r="348" spans="3:112" s="37" customFormat="1" hidden="1" x14ac:dyDescent="0.25">
      <c r="C348" s="35"/>
      <c r="L348" s="848"/>
      <c r="V348" s="304"/>
      <c r="AF348" s="304"/>
      <c r="AP348" s="304"/>
      <c r="AZ348" s="304"/>
      <c r="BJ348" s="304"/>
      <c r="BT348" s="304"/>
      <c r="CD348" s="304"/>
      <c r="CN348" s="304"/>
      <c r="CX348" s="304"/>
      <c r="DH348" s="304"/>
    </row>
    <row r="349" spans="3:112" s="37" customFormat="1" hidden="1" x14ac:dyDescent="0.25">
      <c r="C349" s="35"/>
      <c r="L349" s="848"/>
      <c r="V349" s="304"/>
      <c r="AF349" s="304"/>
      <c r="AP349" s="304"/>
      <c r="AZ349" s="304"/>
      <c r="BJ349" s="304"/>
      <c r="BT349" s="304"/>
      <c r="CD349" s="304"/>
      <c r="CN349" s="304"/>
      <c r="CX349" s="304"/>
      <c r="DH349" s="304"/>
    </row>
    <row r="350" spans="3:112" s="37" customFormat="1" hidden="1" x14ac:dyDescent="0.25">
      <c r="C350" s="35"/>
      <c r="L350" s="848"/>
      <c r="V350" s="304"/>
      <c r="AF350" s="304"/>
      <c r="AP350" s="304"/>
      <c r="AZ350" s="304"/>
      <c r="BJ350" s="304"/>
      <c r="BT350" s="304"/>
      <c r="CD350" s="304"/>
      <c r="CN350" s="304"/>
      <c r="CX350" s="304"/>
      <c r="DH350" s="304"/>
    </row>
    <row r="351" spans="3:112" s="37" customFormat="1" hidden="1" x14ac:dyDescent="0.25">
      <c r="C351" s="35"/>
      <c r="L351" s="848"/>
      <c r="V351" s="304"/>
      <c r="AF351" s="304"/>
      <c r="AP351" s="304"/>
      <c r="AZ351" s="304"/>
      <c r="BJ351" s="304"/>
      <c r="BT351" s="304"/>
      <c r="CD351" s="304"/>
      <c r="CN351" s="304"/>
      <c r="CX351" s="304"/>
      <c r="DH351" s="304"/>
    </row>
    <row r="352" spans="3:112" s="37" customFormat="1" hidden="1" x14ac:dyDescent="0.25">
      <c r="C352" s="35"/>
      <c r="L352" s="848"/>
      <c r="V352" s="304"/>
      <c r="AF352" s="304"/>
      <c r="AP352" s="304"/>
      <c r="AZ352" s="304"/>
      <c r="BJ352" s="304"/>
      <c r="BT352" s="304"/>
      <c r="CD352" s="304"/>
      <c r="CN352" s="304"/>
      <c r="CX352" s="304"/>
      <c r="DH352" s="304"/>
    </row>
    <row r="353" spans="3:112" s="37" customFormat="1" hidden="1" x14ac:dyDescent="0.25">
      <c r="C353" s="35"/>
      <c r="L353" s="848"/>
      <c r="V353" s="304"/>
      <c r="AF353" s="304"/>
      <c r="AP353" s="304"/>
      <c r="AZ353" s="304"/>
      <c r="BJ353" s="304"/>
      <c r="BT353" s="304"/>
      <c r="CD353" s="304"/>
      <c r="CN353" s="304"/>
      <c r="CX353" s="304"/>
      <c r="DH353" s="304"/>
    </row>
    <row r="354" spans="3:112" s="37" customFormat="1" hidden="1" x14ac:dyDescent="0.25">
      <c r="C354" s="35"/>
      <c r="L354" s="848"/>
      <c r="V354" s="304"/>
      <c r="AF354" s="304"/>
      <c r="AP354" s="304"/>
      <c r="AZ354" s="304"/>
      <c r="BJ354" s="304"/>
      <c r="BT354" s="304"/>
      <c r="CD354" s="304"/>
      <c r="CN354" s="304"/>
      <c r="CX354" s="304"/>
      <c r="DH354" s="304"/>
    </row>
    <row r="355" spans="3:112" s="37" customFormat="1" hidden="1" x14ac:dyDescent="0.25">
      <c r="C355" s="35"/>
      <c r="L355" s="848"/>
      <c r="V355" s="304"/>
      <c r="AF355" s="304"/>
      <c r="AP355" s="304"/>
      <c r="AZ355" s="304"/>
      <c r="BJ355" s="304"/>
      <c r="BT355" s="304"/>
      <c r="CD355" s="304"/>
      <c r="CN355" s="304"/>
      <c r="CX355" s="304"/>
      <c r="DH355" s="304"/>
    </row>
    <row r="356" spans="3:112" s="37" customFormat="1" hidden="1" x14ac:dyDescent="0.25">
      <c r="C356" s="35"/>
      <c r="L356" s="848"/>
      <c r="V356" s="304"/>
      <c r="AF356" s="304"/>
      <c r="AP356" s="304"/>
      <c r="AZ356" s="304"/>
      <c r="BJ356" s="304"/>
      <c r="BT356" s="304"/>
      <c r="CD356" s="304"/>
      <c r="CN356" s="304"/>
      <c r="CX356" s="304"/>
      <c r="DH356" s="304"/>
    </row>
    <row r="357" spans="3:112" s="37" customFormat="1" hidden="1" x14ac:dyDescent="0.25">
      <c r="C357" s="35"/>
      <c r="L357" s="848"/>
      <c r="V357" s="304"/>
      <c r="AF357" s="304"/>
      <c r="AP357" s="304"/>
      <c r="AZ357" s="304"/>
      <c r="BJ357" s="304"/>
      <c r="BT357" s="304"/>
      <c r="CD357" s="304"/>
      <c r="CN357" s="304"/>
      <c r="CX357" s="304"/>
      <c r="DH357" s="304"/>
    </row>
    <row r="358" spans="3:112" s="37" customFormat="1" hidden="1" x14ac:dyDescent="0.25">
      <c r="C358" s="35"/>
      <c r="L358" s="848"/>
      <c r="V358" s="304"/>
      <c r="AF358" s="304"/>
      <c r="AP358" s="304"/>
      <c r="AZ358" s="304"/>
      <c r="BJ358" s="304"/>
      <c r="BT358" s="304"/>
      <c r="CD358" s="304"/>
      <c r="CN358" s="304"/>
      <c r="CX358" s="304"/>
      <c r="DH358" s="304"/>
    </row>
    <row r="359" spans="3:112" s="37" customFormat="1" hidden="1" x14ac:dyDescent="0.25">
      <c r="C359" s="35"/>
      <c r="L359" s="848"/>
      <c r="V359" s="304"/>
      <c r="AF359" s="304"/>
      <c r="AP359" s="304"/>
      <c r="AZ359" s="304"/>
      <c r="BJ359" s="304"/>
      <c r="BT359" s="304"/>
      <c r="CD359" s="304"/>
      <c r="CN359" s="304"/>
      <c r="CX359" s="304"/>
      <c r="DH359" s="304"/>
    </row>
    <row r="360" spans="3:112" s="37" customFormat="1" hidden="1" x14ac:dyDescent="0.25">
      <c r="C360" s="35"/>
      <c r="L360" s="848"/>
      <c r="V360" s="304"/>
      <c r="AF360" s="304"/>
      <c r="AP360" s="304"/>
      <c r="AZ360" s="304"/>
      <c r="BJ360" s="304"/>
      <c r="BT360" s="304"/>
      <c r="CD360" s="304"/>
      <c r="CN360" s="304"/>
      <c r="CX360" s="304"/>
      <c r="DH360" s="304"/>
    </row>
    <row r="361" spans="3:112" s="37" customFormat="1" hidden="1" x14ac:dyDescent="0.25">
      <c r="C361" s="35"/>
      <c r="L361" s="848"/>
      <c r="V361" s="304"/>
      <c r="AF361" s="304"/>
      <c r="AP361" s="304"/>
      <c r="AZ361" s="304"/>
      <c r="BJ361" s="304"/>
      <c r="BT361" s="304"/>
      <c r="CD361" s="304"/>
      <c r="CN361" s="304"/>
      <c r="CX361" s="304"/>
      <c r="DH361" s="304"/>
    </row>
    <row r="362" spans="3:112" s="37" customFormat="1" hidden="1" x14ac:dyDescent="0.25">
      <c r="C362" s="35"/>
      <c r="L362" s="848"/>
      <c r="V362" s="304"/>
      <c r="AF362" s="304"/>
      <c r="AP362" s="304"/>
      <c r="AZ362" s="304"/>
      <c r="BJ362" s="304"/>
      <c r="BT362" s="304"/>
      <c r="CD362" s="304"/>
      <c r="CN362" s="304"/>
      <c r="CX362" s="304"/>
      <c r="DH362" s="304"/>
    </row>
    <row r="363" spans="3:112" s="37" customFormat="1" hidden="1" x14ac:dyDescent="0.25">
      <c r="C363" s="35"/>
      <c r="L363" s="848"/>
      <c r="V363" s="304"/>
      <c r="AF363" s="304"/>
      <c r="AP363" s="304"/>
      <c r="AZ363" s="304"/>
      <c r="BJ363" s="304"/>
      <c r="BT363" s="304"/>
      <c r="CD363" s="304"/>
      <c r="CN363" s="304"/>
      <c r="CX363" s="304"/>
      <c r="DH363" s="304"/>
    </row>
    <row r="364" spans="3:112" s="37" customFormat="1" hidden="1" x14ac:dyDescent="0.25">
      <c r="C364" s="35"/>
      <c r="L364" s="848"/>
      <c r="V364" s="304"/>
      <c r="AF364" s="304"/>
      <c r="AP364" s="304"/>
      <c r="AZ364" s="304"/>
      <c r="BJ364" s="304"/>
      <c r="BT364" s="304"/>
      <c r="CD364" s="304"/>
      <c r="CN364" s="304"/>
      <c r="CX364" s="304"/>
      <c r="DH364" s="304"/>
    </row>
    <row r="365" spans="3:112" s="37" customFormat="1" hidden="1" x14ac:dyDescent="0.25">
      <c r="C365" s="35"/>
      <c r="L365" s="848"/>
      <c r="V365" s="304"/>
      <c r="AF365" s="304"/>
      <c r="AP365" s="304"/>
      <c r="AZ365" s="304"/>
      <c r="BJ365" s="304"/>
      <c r="BT365" s="304"/>
      <c r="CD365" s="304"/>
      <c r="CN365" s="304"/>
      <c r="CX365" s="304"/>
      <c r="DH365" s="304"/>
    </row>
    <row r="366" spans="3:112" s="37" customFormat="1" hidden="1" x14ac:dyDescent="0.25">
      <c r="C366" s="35"/>
      <c r="L366" s="848"/>
      <c r="V366" s="304"/>
      <c r="AF366" s="304"/>
      <c r="AP366" s="304"/>
      <c r="AZ366" s="304"/>
      <c r="BJ366" s="304"/>
      <c r="BT366" s="304"/>
      <c r="CD366" s="304"/>
      <c r="CN366" s="304"/>
      <c r="CX366" s="304"/>
      <c r="DH366" s="304"/>
    </row>
    <row r="367" spans="3:112" s="37" customFormat="1" hidden="1" x14ac:dyDescent="0.25">
      <c r="C367" s="35"/>
      <c r="L367" s="848"/>
      <c r="V367" s="304"/>
      <c r="AF367" s="304"/>
      <c r="AP367" s="304"/>
      <c r="AZ367" s="304"/>
      <c r="BJ367" s="304"/>
      <c r="BT367" s="304"/>
      <c r="CD367" s="304"/>
      <c r="CN367" s="304"/>
      <c r="CX367" s="304"/>
      <c r="DH367" s="304"/>
    </row>
    <row r="368" spans="3:112" s="37" customFormat="1" hidden="1" x14ac:dyDescent="0.25">
      <c r="C368" s="35"/>
      <c r="L368" s="848"/>
      <c r="V368" s="304"/>
      <c r="AF368" s="304"/>
      <c r="AP368" s="304"/>
      <c r="AZ368" s="304"/>
      <c r="BJ368" s="304"/>
      <c r="BT368" s="304"/>
      <c r="CD368" s="304"/>
      <c r="CN368" s="304"/>
      <c r="CX368" s="304"/>
      <c r="DH368" s="304"/>
    </row>
    <row r="369" spans="3:112" s="37" customFormat="1" hidden="1" x14ac:dyDescent="0.25">
      <c r="C369" s="35"/>
      <c r="L369" s="848"/>
      <c r="V369" s="304"/>
      <c r="AF369" s="304"/>
      <c r="AP369" s="304"/>
      <c r="AZ369" s="304"/>
      <c r="BJ369" s="304"/>
      <c r="BT369" s="304"/>
      <c r="CD369" s="304"/>
      <c r="CN369" s="304"/>
      <c r="CX369" s="304"/>
      <c r="DH369" s="304"/>
    </row>
    <row r="370" spans="3:112" s="37" customFormat="1" hidden="1" x14ac:dyDescent="0.25">
      <c r="C370" s="35"/>
      <c r="L370" s="848"/>
      <c r="V370" s="304"/>
      <c r="AF370" s="304"/>
      <c r="AP370" s="304"/>
      <c r="AZ370" s="304"/>
      <c r="BJ370" s="304"/>
      <c r="BT370" s="304"/>
      <c r="CD370" s="304"/>
      <c r="CN370" s="304"/>
      <c r="CX370" s="304"/>
      <c r="DH370" s="304"/>
    </row>
    <row r="371" spans="3:112" s="37" customFormat="1" hidden="1" x14ac:dyDescent="0.25">
      <c r="C371" s="35"/>
      <c r="L371" s="848"/>
      <c r="V371" s="304"/>
      <c r="AF371" s="304"/>
      <c r="AP371" s="304"/>
      <c r="AZ371" s="304"/>
      <c r="BJ371" s="304"/>
      <c r="BT371" s="304"/>
      <c r="CD371" s="304"/>
      <c r="CN371" s="304"/>
      <c r="CX371" s="304"/>
      <c r="DH371" s="304"/>
    </row>
    <row r="372" spans="3:112" s="37" customFormat="1" hidden="1" x14ac:dyDescent="0.25">
      <c r="C372" s="35"/>
      <c r="L372" s="848"/>
      <c r="V372" s="304"/>
      <c r="AF372" s="304"/>
      <c r="AP372" s="304"/>
      <c r="AZ372" s="304"/>
      <c r="BJ372" s="304"/>
      <c r="BT372" s="304"/>
      <c r="CD372" s="304"/>
      <c r="CN372" s="304"/>
      <c r="CX372" s="304"/>
      <c r="DH372" s="304"/>
    </row>
    <row r="373" spans="3:112" s="37" customFormat="1" hidden="1" x14ac:dyDescent="0.25">
      <c r="C373" s="35"/>
      <c r="L373" s="848"/>
      <c r="V373" s="304"/>
      <c r="AF373" s="304"/>
      <c r="AP373" s="304"/>
      <c r="AZ373" s="304"/>
      <c r="BJ373" s="304"/>
      <c r="BT373" s="304"/>
      <c r="CD373" s="304"/>
      <c r="CN373" s="304"/>
      <c r="CX373" s="304"/>
      <c r="DH373" s="304"/>
    </row>
    <row r="374" spans="3:112" s="37" customFormat="1" hidden="1" x14ac:dyDescent="0.25">
      <c r="C374" s="35"/>
      <c r="L374" s="848"/>
      <c r="V374" s="304"/>
      <c r="AF374" s="304"/>
      <c r="AP374" s="304"/>
      <c r="AZ374" s="304"/>
      <c r="BJ374" s="304"/>
      <c r="BT374" s="304"/>
      <c r="CD374" s="304"/>
      <c r="CN374" s="304"/>
      <c r="CX374" s="304"/>
      <c r="DH374" s="304"/>
    </row>
    <row r="375" spans="3:112" s="37" customFormat="1" hidden="1" x14ac:dyDescent="0.25">
      <c r="C375" s="35"/>
      <c r="L375" s="848"/>
      <c r="V375" s="304"/>
      <c r="AF375" s="304"/>
      <c r="AP375" s="304"/>
      <c r="AZ375" s="304"/>
      <c r="BJ375" s="304"/>
      <c r="BT375" s="304"/>
      <c r="CD375" s="304"/>
      <c r="CN375" s="304"/>
      <c r="CX375" s="304"/>
      <c r="DH375" s="304"/>
    </row>
    <row r="376" spans="3:112" s="37" customFormat="1" hidden="1" x14ac:dyDescent="0.25">
      <c r="C376" s="35"/>
      <c r="L376" s="848"/>
      <c r="V376" s="304"/>
      <c r="AF376" s="304"/>
      <c r="AP376" s="304"/>
      <c r="AZ376" s="304"/>
      <c r="BJ376" s="304"/>
      <c r="BT376" s="304"/>
      <c r="CD376" s="304"/>
      <c r="CN376" s="304"/>
      <c r="CX376" s="304"/>
      <c r="DH376" s="304"/>
    </row>
    <row r="377" spans="3:112" s="37" customFormat="1" hidden="1" x14ac:dyDescent="0.25">
      <c r="C377" s="35"/>
      <c r="L377" s="848"/>
      <c r="V377" s="304"/>
      <c r="AF377" s="304"/>
      <c r="AP377" s="304"/>
      <c r="AZ377" s="304"/>
      <c r="BJ377" s="304"/>
      <c r="BT377" s="304"/>
      <c r="CD377" s="304"/>
      <c r="CN377" s="304"/>
      <c r="CX377" s="304"/>
      <c r="DH377" s="304"/>
    </row>
    <row r="378" spans="3:112" s="37" customFormat="1" hidden="1" x14ac:dyDescent="0.25">
      <c r="C378" s="35"/>
      <c r="L378" s="848"/>
      <c r="V378" s="304"/>
      <c r="AF378" s="304"/>
      <c r="AP378" s="304"/>
      <c r="AZ378" s="304"/>
      <c r="BJ378" s="304"/>
      <c r="BT378" s="304"/>
      <c r="CD378" s="304"/>
      <c r="CN378" s="304"/>
      <c r="CX378" s="304"/>
      <c r="DH378" s="304"/>
    </row>
    <row r="379" spans="3:112" s="37" customFormat="1" hidden="1" x14ac:dyDescent="0.25">
      <c r="C379" s="35"/>
      <c r="L379" s="848"/>
      <c r="V379" s="304"/>
      <c r="AF379" s="304"/>
      <c r="AP379" s="304"/>
      <c r="AZ379" s="304"/>
      <c r="BJ379" s="304"/>
      <c r="BT379" s="304"/>
      <c r="CD379" s="304"/>
      <c r="CN379" s="304"/>
      <c r="CX379" s="304"/>
      <c r="DH379" s="304"/>
    </row>
    <row r="380" spans="3:112" s="37" customFormat="1" hidden="1" x14ac:dyDescent="0.25">
      <c r="C380" s="35"/>
      <c r="L380" s="848"/>
      <c r="V380" s="304"/>
      <c r="AF380" s="304"/>
      <c r="AP380" s="304"/>
      <c r="AZ380" s="304"/>
      <c r="BJ380" s="304"/>
      <c r="BT380" s="304"/>
      <c r="CD380" s="304"/>
      <c r="CN380" s="304"/>
      <c r="CX380" s="304"/>
      <c r="DH380" s="304"/>
    </row>
    <row r="381" spans="3:112" s="37" customFormat="1" hidden="1" x14ac:dyDescent="0.25">
      <c r="C381" s="35"/>
      <c r="L381" s="848"/>
      <c r="V381" s="304"/>
      <c r="AF381" s="304"/>
      <c r="AP381" s="304"/>
      <c r="AZ381" s="304"/>
      <c r="BJ381" s="304"/>
      <c r="BT381" s="304"/>
      <c r="CD381" s="304"/>
      <c r="CN381" s="304"/>
      <c r="CX381" s="304"/>
      <c r="DH381" s="304"/>
    </row>
    <row r="382" spans="3:112" s="37" customFormat="1" hidden="1" x14ac:dyDescent="0.25">
      <c r="C382" s="35"/>
      <c r="L382" s="848"/>
      <c r="V382" s="304"/>
      <c r="AF382" s="304"/>
      <c r="AP382" s="304"/>
      <c r="AZ382" s="304"/>
      <c r="BJ382" s="304"/>
      <c r="BT382" s="304"/>
      <c r="CD382" s="304"/>
      <c r="CN382" s="304"/>
      <c r="CX382" s="304"/>
      <c r="DH382" s="304"/>
    </row>
    <row r="383" spans="3:112" s="37" customFormat="1" hidden="1" x14ac:dyDescent="0.25">
      <c r="C383" s="35"/>
      <c r="L383" s="848"/>
      <c r="V383" s="304"/>
      <c r="AF383" s="304"/>
      <c r="AP383" s="304"/>
      <c r="AZ383" s="304"/>
      <c r="BJ383" s="304"/>
      <c r="BT383" s="304"/>
      <c r="CD383" s="304"/>
      <c r="CN383" s="304"/>
      <c r="CX383" s="304"/>
      <c r="DH383" s="304"/>
    </row>
    <row r="384" spans="3:112" s="37" customFormat="1" hidden="1" x14ac:dyDescent="0.25">
      <c r="C384" s="35"/>
      <c r="L384" s="848"/>
      <c r="V384" s="304"/>
      <c r="AF384" s="304"/>
      <c r="AP384" s="304"/>
      <c r="AZ384" s="304"/>
      <c r="BJ384" s="304"/>
      <c r="BT384" s="304"/>
      <c r="CD384" s="304"/>
      <c r="CN384" s="304"/>
      <c r="CX384" s="304"/>
      <c r="DH384" s="304"/>
    </row>
    <row r="385" spans="3:112" s="37" customFormat="1" hidden="1" x14ac:dyDescent="0.25">
      <c r="C385" s="35"/>
      <c r="L385" s="848"/>
      <c r="V385" s="304"/>
      <c r="AF385" s="304"/>
      <c r="AP385" s="304"/>
      <c r="AZ385" s="304"/>
      <c r="BJ385" s="304"/>
      <c r="BT385" s="304"/>
      <c r="CD385" s="304"/>
      <c r="CN385" s="304"/>
      <c r="CX385" s="304"/>
      <c r="DH385" s="304"/>
    </row>
    <row r="386" spans="3:112" s="37" customFormat="1" hidden="1" x14ac:dyDescent="0.25">
      <c r="C386" s="35"/>
      <c r="L386" s="848"/>
      <c r="V386" s="304"/>
      <c r="AF386" s="304"/>
      <c r="AP386" s="304"/>
      <c r="AZ386" s="304"/>
      <c r="BJ386" s="304"/>
      <c r="BT386" s="304"/>
      <c r="CD386" s="304"/>
      <c r="CN386" s="304"/>
      <c r="CX386" s="304"/>
      <c r="DH386" s="304"/>
    </row>
    <row r="387" spans="3:112" s="37" customFormat="1" hidden="1" x14ac:dyDescent="0.25">
      <c r="C387" s="35"/>
      <c r="L387" s="848"/>
      <c r="V387" s="304"/>
      <c r="AF387" s="304"/>
      <c r="AP387" s="304"/>
      <c r="AZ387" s="304"/>
      <c r="BJ387" s="304"/>
      <c r="BT387" s="304"/>
      <c r="CD387" s="304"/>
      <c r="CN387" s="304"/>
      <c r="CX387" s="304"/>
      <c r="DH387" s="304"/>
    </row>
    <row r="388" spans="3:112" s="37" customFormat="1" hidden="1" x14ac:dyDescent="0.25">
      <c r="C388" s="35"/>
      <c r="L388" s="848"/>
      <c r="V388" s="304"/>
      <c r="AF388" s="304"/>
      <c r="AP388" s="304"/>
      <c r="AZ388" s="304"/>
      <c r="BJ388" s="304"/>
      <c r="BT388" s="304"/>
      <c r="CD388" s="304"/>
      <c r="CN388" s="304"/>
      <c r="CX388" s="304"/>
      <c r="DH388" s="304"/>
    </row>
    <row r="389" spans="3:112" s="37" customFormat="1" hidden="1" x14ac:dyDescent="0.25">
      <c r="C389" s="35"/>
      <c r="L389" s="848"/>
      <c r="V389" s="304"/>
      <c r="AF389" s="304"/>
      <c r="AP389" s="304"/>
      <c r="AZ389" s="304"/>
      <c r="BJ389" s="304"/>
      <c r="BT389" s="304"/>
      <c r="CD389" s="304"/>
      <c r="CN389" s="304"/>
      <c r="CX389" s="304"/>
      <c r="DH389" s="304"/>
    </row>
    <row r="390" spans="3:112" s="37" customFormat="1" hidden="1" x14ac:dyDescent="0.25">
      <c r="C390" s="35"/>
      <c r="L390" s="848"/>
      <c r="V390" s="304"/>
      <c r="AF390" s="304"/>
      <c r="AP390" s="304"/>
      <c r="AZ390" s="304"/>
      <c r="BJ390" s="304"/>
      <c r="BT390" s="304"/>
      <c r="CD390" s="304"/>
      <c r="CN390" s="304"/>
      <c r="CX390" s="304"/>
      <c r="DH390" s="304"/>
    </row>
    <row r="391" spans="3:112" s="37" customFormat="1" hidden="1" x14ac:dyDescent="0.25">
      <c r="C391" s="35"/>
      <c r="L391" s="848"/>
      <c r="V391" s="304"/>
      <c r="AF391" s="304"/>
      <c r="AP391" s="304"/>
      <c r="AZ391" s="304"/>
      <c r="BJ391" s="304"/>
      <c r="BT391" s="304"/>
      <c r="CD391" s="304"/>
      <c r="CN391" s="304"/>
      <c r="CX391" s="304"/>
      <c r="DH391" s="304"/>
    </row>
    <row r="392" spans="3:112" s="37" customFormat="1" hidden="1" x14ac:dyDescent="0.25">
      <c r="C392" s="35"/>
      <c r="L392" s="848"/>
      <c r="V392" s="304"/>
      <c r="AF392" s="304"/>
      <c r="AP392" s="304"/>
      <c r="AZ392" s="304"/>
      <c r="BJ392" s="304"/>
      <c r="BT392" s="304"/>
      <c r="CD392" s="304"/>
      <c r="CN392" s="304"/>
      <c r="CX392" s="304"/>
      <c r="DH392" s="304"/>
    </row>
    <row r="393" spans="3:112" s="37" customFormat="1" hidden="1" x14ac:dyDescent="0.25">
      <c r="C393" s="35"/>
      <c r="L393" s="848"/>
      <c r="V393" s="304"/>
      <c r="AF393" s="304"/>
      <c r="AP393" s="304"/>
      <c r="AZ393" s="304"/>
      <c r="BJ393" s="304"/>
      <c r="BT393" s="304"/>
      <c r="CD393" s="304"/>
      <c r="CN393" s="304"/>
      <c r="CX393" s="304"/>
      <c r="DH393" s="304"/>
    </row>
    <row r="394" spans="3:112" s="37" customFormat="1" hidden="1" x14ac:dyDescent="0.25">
      <c r="C394" s="35"/>
      <c r="L394" s="848"/>
      <c r="V394" s="304"/>
      <c r="AF394" s="304"/>
      <c r="AP394" s="304"/>
      <c r="AZ394" s="304"/>
      <c r="BJ394" s="304"/>
      <c r="BT394" s="304"/>
      <c r="CD394" s="304"/>
      <c r="CN394" s="304"/>
      <c r="CX394" s="304"/>
      <c r="DH394" s="304"/>
    </row>
    <row r="395" spans="3:112" s="37" customFormat="1" hidden="1" x14ac:dyDescent="0.25">
      <c r="C395" s="35"/>
      <c r="L395" s="848"/>
      <c r="V395" s="304"/>
      <c r="AF395" s="304"/>
      <c r="AP395" s="304"/>
      <c r="AZ395" s="304"/>
      <c r="BJ395" s="304"/>
      <c r="BT395" s="304"/>
      <c r="CD395" s="304"/>
      <c r="CN395" s="304"/>
      <c r="CX395" s="304"/>
      <c r="DH395" s="304"/>
    </row>
    <row r="396" spans="3:112" s="37" customFormat="1" hidden="1" x14ac:dyDescent="0.25">
      <c r="C396" s="35"/>
      <c r="L396" s="848"/>
      <c r="V396" s="304"/>
      <c r="AF396" s="304"/>
      <c r="AP396" s="304"/>
      <c r="AZ396" s="304"/>
      <c r="BJ396" s="304"/>
      <c r="BT396" s="304"/>
      <c r="CD396" s="304"/>
      <c r="CN396" s="304"/>
      <c r="CX396" s="304"/>
      <c r="DH396" s="304"/>
    </row>
    <row r="397" spans="3:112" s="37" customFormat="1" hidden="1" x14ac:dyDescent="0.25">
      <c r="C397" s="35"/>
      <c r="L397" s="848"/>
      <c r="V397" s="304"/>
      <c r="AF397" s="304"/>
      <c r="AP397" s="304"/>
      <c r="AZ397" s="304"/>
      <c r="BJ397" s="304"/>
      <c r="BT397" s="304"/>
      <c r="CD397" s="304"/>
      <c r="CN397" s="304"/>
      <c r="CX397" s="304"/>
      <c r="DH397" s="304"/>
    </row>
    <row r="398" spans="3:112" s="37" customFormat="1" hidden="1" x14ac:dyDescent="0.25">
      <c r="C398" s="35"/>
      <c r="L398" s="848"/>
      <c r="V398" s="304"/>
      <c r="AF398" s="304"/>
      <c r="AP398" s="304"/>
      <c r="AZ398" s="304"/>
      <c r="BJ398" s="304"/>
      <c r="BT398" s="304"/>
      <c r="CD398" s="304"/>
      <c r="CN398" s="304"/>
      <c r="CX398" s="304"/>
      <c r="DH398" s="304"/>
    </row>
    <row r="399" spans="3:112" s="37" customFormat="1" hidden="1" x14ac:dyDescent="0.25">
      <c r="C399" s="35"/>
      <c r="L399" s="848"/>
      <c r="V399" s="304"/>
      <c r="AF399" s="304"/>
      <c r="AP399" s="304"/>
      <c r="AZ399" s="304"/>
      <c r="BJ399" s="304"/>
      <c r="BT399" s="304"/>
      <c r="CD399" s="304"/>
      <c r="CN399" s="304"/>
      <c r="CX399" s="304"/>
      <c r="DH399" s="304"/>
    </row>
    <row r="400" spans="3:112" s="37" customFormat="1" hidden="1" x14ac:dyDescent="0.25">
      <c r="C400" s="35"/>
      <c r="L400" s="848"/>
      <c r="V400" s="304"/>
      <c r="AF400" s="304"/>
      <c r="AP400" s="304"/>
      <c r="AZ400" s="304"/>
      <c r="BJ400" s="304"/>
      <c r="BT400" s="304"/>
      <c r="CD400" s="304"/>
      <c r="CN400" s="304"/>
      <c r="CX400" s="304"/>
      <c r="DH400" s="304"/>
    </row>
    <row r="401" spans="3:112" s="37" customFormat="1" hidden="1" x14ac:dyDescent="0.25">
      <c r="C401" s="35"/>
      <c r="L401" s="848"/>
      <c r="V401" s="304"/>
      <c r="AF401" s="304"/>
      <c r="AP401" s="304"/>
      <c r="AZ401" s="304"/>
      <c r="BJ401" s="304"/>
      <c r="BT401" s="304"/>
      <c r="CD401" s="304"/>
      <c r="CN401" s="304"/>
      <c r="CX401" s="304"/>
      <c r="DH401" s="304"/>
    </row>
    <row r="402" spans="3:112" s="37" customFormat="1" hidden="1" x14ac:dyDescent="0.25">
      <c r="C402" s="35"/>
      <c r="L402" s="848"/>
      <c r="V402" s="304"/>
      <c r="AF402" s="304"/>
      <c r="AP402" s="304"/>
      <c r="AZ402" s="304"/>
      <c r="BJ402" s="304"/>
      <c r="BT402" s="304"/>
      <c r="CD402" s="304"/>
      <c r="CN402" s="304"/>
      <c r="CX402" s="304"/>
      <c r="DH402" s="304"/>
    </row>
    <row r="403" spans="3:112" s="37" customFormat="1" hidden="1" x14ac:dyDescent="0.25">
      <c r="C403" s="35"/>
      <c r="L403" s="848"/>
      <c r="V403" s="304"/>
      <c r="AF403" s="304"/>
      <c r="AP403" s="304"/>
      <c r="AZ403" s="304"/>
      <c r="BJ403" s="304"/>
      <c r="BT403" s="304"/>
      <c r="CD403" s="304"/>
      <c r="CN403" s="304"/>
      <c r="CX403" s="304"/>
      <c r="DH403" s="304"/>
    </row>
    <row r="404" spans="3:112" s="37" customFormat="1" hidden="1" x14ac:dyDescent="0.25">
      <c r="C404" s="35"/>
      <c r="L404" s="848"/>
      <c r="V404" s="304"/>
      <c r="AF404" s="304"/>
      <c r="AP404" s="304"/>
      <c r="AZ404" s="304"/>
      <c r="BJ404" s="304"/>
      <c r="BT404" s="304"/>
      <c r="CD404" s="304"/>
      <c r="CN404" s="304"/>
      <c r="CX404" s="304"/>
      <c r="DH404" s="304"/>
    </row>
    <row r="405" spans="3:112" s="37" customFormat="1" hidden="1" x14ac:dyDescent="0.25">
      <c r="C405" s="35"/>
      <c r="L405" s="848"/>
      <c r="V405" s="304"/>
      <c r="AF405" s="304"/>
      <c r="AP405" s="304"/>
      <c r="AZ405" s="304"/>
      <c r="BJ405" s="304"/>
      <c r="BT405" s="304"/>
      <c r="CD405" s="304"/>
      <c r="CN405" s="304"/>
      <c r="CX405" s="304"/>
      <c r="DH405" s="304"/>
    </row>
    <row r="406" spans="3:112" s="37" customFormat="1" hidden="1" x14ac:dyDescent="0.25">
      <c r="C406" s="35"/>
      <c r="L406" s="848"/>
      <c r="V406" s="304"/>
      <c r="AF406" s="304"/>
      <c r="AP406" s="304"/>
      <c r="AZ406" s="304"/>
      <c r="BJ406" s="304"/>
      <c r="BT406" s="304"/>
      <c r="CD406" s="304"/>
      <c r="CN406" s="304"/>
      <c r="CX406" s="304"/>
      <c r="DH406" s="304"/>
    </row>
    <row r="407" spans="3:112" s="37" customFormat="1" hidden="1" x14ac:dyDescent="0.25">
      <c r="C407" s="35"/>
      <c r="L407" s="848"/>
      <c r="V407" s="304"/>
      <c r="AF407" s="304"/>
      <c r="AP407" s="304"/>
      <c r="AZ407" s="304"/>
      <c r="BJ407" s="304"/>
      <c r="BT407" s="304"/>
      <c r="CD407" s="304"/>
      <c r="CN407" s="304"/>
      <c r="CX407" s="304"/>
      <c r="DH407" s="304"/>
    </row>
    <row r="408" spans="3:112" s="37" customFormat="1" hidden="1" x14ac:dyDescent="0.25">
      <c r="C408" s="35"/>
      <c r="L408" s="848"/>
      <c r="V408" s="304"/>
      <c r="AF408" s="304"/>
      <c r="AP408" s="304"/>
      <c r="AZ408" s="304"/>
      <c r="BJ408" s="304"/>
      <c r="BT408" s="304"/>
      <c r="CD408" s="304"/>
      <c r="CN408" s="304"/>
      <c r="CX408" s="304"/>
      <c r="DH408" s="304"/>
    </row>
    <row r="409" spans="3:112" s="37" customFormat="1" hidden="1" x14ac:dyDescent="0.25">
      <c r="C409" s="35"/>
      <c r="L409" s="848"/>
      <c r="V409" s="304"/>
      <c r="AF409" s="304"/>
      <c r="AP409" s="304"/>
      <c r="AZ409" s="304"/>
      <c r="BJ409" s="304"/>
      <c r="BT409" s="304"/>
      <c r="CD409" s="304"/>
      <c r="CN409" s="304"/>
      <c r="CX409" s="304"/>
      <c r="DH409" s="304"/>
    </row>
    <row r="410" spans="3:112" s="37" customFormat="1" hidden="1" x14ac:dyDescent="0.25">
      <c r="C410" s="35"/>
      <c r="L410" s="848"/>
      <c r="V410" s="304"/>
      <c r="AF410" s="304"/>
      <c r="AP410" s="304"/>
      <c r="AZ410" s="304"/>
      <c r="BJ410" s="304"/>
      <c r="BT410" s="304"/>
      <c r="CD410" s="304"/>
      <c r="CN410" s="304"/>
      <c r="CX410" s="304"/>
      <c r="DH410" s="304"/>
    </row>
    <row r="411" spans="3:112" s="37" customFormat="1" hidden="1" x14ac:dyDescent="0.25">
      <c r="C411" s="35"/>
      <c r="L411" s="848"/>
      <c r="V411" s="304"/>
      <c r="AF411" s="304"/>
      <c r="AP411" s="304"/>
      <c r="AZ411" s="304"/>
      <c r="BJ411" s="304"/>
      <c r="BT411" s="304"/>
      <c r="CD411" s="304"/>
      <c r="CN411" s="304"/>
      <c r="CX411" s="304"/>
      <c r="DH411" s="304"/>
    </row>
    <row r="412" spans="3:112" s="37" customFormat="1" hidden="1" x14ac:dyDescent="0.25">
      <c r="C412" s="35"/>
      <c r="L412" s="848"/>
      <c r="V412" s="304"/>
      <c r="AF412" s="304"/>
      <c r="AP412" s="304"/>
      <c r="AZ412" s="304"/>
      <c r="BJ412" s="304"/>
      <c r="BT412" s="304"/>
      <c r="CD412" s="304"/>
      <c r="CN412" s="304"/>
      <c r="CX412" s="304"/>
      <c r="DH412" s="304"/>
    </row>
    <row r="413" spans="3:112" s="37" customFormat="1" hidden="1" x14ac:dyDescent="0.25">
      <c r="C413" s="35"/>
      <c r="L413" s="848"/>
      <c r="V413" s="304"/>
      <c r="AF413" s="304"/>
      <c r="AP413" s="304"/>
      <c r="AZ413" s="304"/>
      <c r="BJ413" s="304"/>
      <c r="BT413" s="304"/>
      <c r="CD413" s="304"/>
      <c r="CN413" s="304"/>
      <c r="CX413" s="304"/>
      <c r="DH413" s="304"/>
    </row>
    <row r="414" spans="3:112" s="37" customFormat="1" hidden="1" x14ac:dyDescent="0.25">
      <c r="C414" s="35"/>
      <c r="L414" s="848"/>
      <c r="V414" s="304"/>
      <c r="AF414" s="304"/>
      <c r="AP414" s="304"/>
      <c r="AZ414" s="304"/>
      <c r="BJ414" s="304"/>
      <c r="BT414" s="304"/>
      <c r="CD414" s="304"/>
      <c r="CN414" s="304"/>
      <c r="CX414" s="304"/>
      <c r="DH414" s="304"/>
    </row>
    <row r="415" spans="3:112" s="37" customFormat="1" hidden="1" x14ac:dyDescent="0.25">
      <c r="C415" s="35"/>
      <c r="L415" s="848"/>
      <c r="V415" s="304"/>
      <c r="AF415" s="304"/>
      <c r="AP415" s="304"/>
      <c r="AZ415" s="304"/>
      <c r="BJ415" s="304"/>
      <c r="BT415" s="304"/>
      <c r="CD415" s="304"/>
      <c r="CN415" s="304"/>
      <c r="CX415" s="304"/>
      <c r="DH415" s="304"/>
    </row>
    <row r="416" spans="3:112" s="37" customFormat="1" hidden="1" x14ac:dyDescent="0.25">
      <c r="C416" s="35"/>
      <c r="L416" s="848"/>
      <c r="V416" s="304"/>
      <c r="AF416" s="304"/>
      <c r="AP416" s="304"/>
      <c r="AZ416" s="304"/>
      <c r="BJ416" s="304"/>
      <c r="BT416" s="304"/>
      <c r="CD416" s="304"/>
      <c r="CN416" s="304"/>
      <c r="CX416" s="304"/>
      <c r="DH416" s="304"/>
    </row>
    <row r="417" spans="3:112" s="37" customFormat="1" hidden="1" x14ac:dyDescent="0.25">
      <c r="C417" s="35"/>
      <c r="L417" s="848"/>
      <c r="V417" s="304"/>
      <c r="AF417" s="304"/>
      <c r="AP417" s="304"/>
      <c r="AZ417" s="304"/>
      <c r="BJ417" s="304"/>
      <c r="BT417" s="304"/>
      <c r="CD417" s="304"/>
      <c r="CN417" s="304"/>
      <c r="CX417" s="304"/>
      <c r="DH417" s="304"/>
    </row>
    <row r="418" spans="3:112" s="37" customFormat="1" hidden="1" x14ac:dyDescent="0.25">
      <c r="C418" s="35"/>
      <c r="L418" s="848"/>
      <c r="V418" s="304"/>
      <c r="AF418" s="304"/>
      <c r="AP418" s="304"/>
      <c r="AZ418" s="304"/>
      <c r="BJ418" s="304"/>
      <c r="BT418" s="304"/>
      <c r="CD418" s="304"/>
      <c r="CN418" s="304"/>
      <c r="CX418" s="304"/>
      <c r="DH418" s="304"/>
    </row>
    <row r="419" spans="3:112" s="37" customFormat="1" hidden="1" x14ac:dyDescent="0.25">
      <c r="C419" s="35"/>
      <c r="L419" s="848"/>
      <c r="V419" s="304"/>
      <c r="AF419" s="304"/>
      <c r="AP419" s="304"/>
      <c r="AZ419" s="304"/>
      <c r="BJ419" s="304"/>
      <c r="BT419" s="304"/>
      <c r="CD419" s="304"/>
      <c r="CN419" s="304"/>
      <c r="CX419" s="304"/>
      <c r="DH419" s="304"/>
    </row>
    <row r="420" spans="3:112" s="37" customFormat="1" hidden="1" x14ac:dyDescent="0.25">
      <c r="C420" s="35"/>
      <c r="L420" s="848"/>
      <c r="V420" s="304"/>
      <c r="AF420" s="304"/>
      <c r="AP420" s="304"/>
      <c r="AZ420" s="304"/>
      <c r="BJ420" s="304"/>
      <c r="BT420" s="304"/>
      <c r="CD420" s="304"/>
      <c r="CN420" s="304"/>
      <c r="CX420" s="304"/>
      <c r="DH420" s="304"/>
    </row>
    <row r="421" spans="3:112" s="37" customFormat="1" hidden="1" x14ac:dyDescent="0.25">
      <c r="C421" s="35"/>
      <c r="L421" s="848"/>
      <c r="V421" s="304"/>
      <c r="AF421" s="304"/>
      <c r="AP421" s="304"/>
      <c r="AZ421" s="304"/>
      <c r="BJ421" s="304"/>
      <c r="BT421" s="304"/>
      <c r="CD421" s="304"/>
      <c r="CN421" s="304"/>
      <c r="CX421" s="304"/>
      <c r="DH421" s="304"/>
    </row>
    <row r="422" spans="3:112" s="37" customFormat="1" hidden="1" x14ac:dyDescent="0.25">
      <c r="C422" s="35"/>
      <c r="L422" s="848"/>
      <c r="V422" s="304"/>
      <c r="AF422" s="304"/>
      <c r="AP422" s="304"/>
      <c r="AZ422" s="304"/>
      <c r="BJ422" s="304"/>
      <c r="BT422" s="304"/>
      <c r="CD422" s="304"/>
      <c r="CN422" s="304"/>
      <c r="CX422" s="304"/>
      <c r="DH422" s="304"/>
    </row>
    <row r="423" spans="3:112" s="37" customFormat="1" hidden="1" x14ac:dyDescent="0.25">
      <c r="C423" s="35"/>
      <c r="L423" s="848"/>
      <c r="V423" s="304"/>
      <c r="AF423" s="304"/>
      <c r="AP423" s="304"/>
      <c r="AZ423" s="304"/>
      <c r="BJ423" s="304"/>
      <c r="BT423" s="304"/>
      <c r="CD423" s="304"/>
      <c r="CN423" s="304"/>
      <c r="CX423" s="304"/>
      <c r="DH423" s="304"/>
    </row>
    <row r="424" spans="3:112" s="37" customFormat="1" hidden="1" x14ac:dyDescent="0.25">
      <c r="C424" s="35"/>
      <c r="L424" s="848"/>
      <c r="V424" s="304"/>
      <c r="AF424" s="304"/>
      <c r="AP424" s="304"/>
      <c r="AZ424" s="304"/>
      <c r="BJ424" s="304"/>
      <c r="BT424" s="304"/>
      <c r="CD424" s="304"/>
      <c r="CN424" s="304"/>
      <c r="CX424" s="304"/>
      <c r="DH424" s="304"/>
    </row>
    <row r="425" spans="3:112" s="37" customFormat="1" hidden="1" x14ac:dyDescent="0.25">
      <c r="C425" s="35"/>
      <c r="L425" s="848"/>
      <c r="V425" s="304"/>
      <c r="AF425" s="304"/>
      <c r="AP425" s="304"/>
      <c r="AZ425" s="304"/>
      <c r="BJ425" s="304"/>
      <c r="BT425" s="304"/>
      <c r="CD425" s="304"/>
      <c r="CN425" s="304"/>
      <c r="CX425" s="304"/>
      <c r="DH425" s="304"/>
    </row>
    <row r="426" spans="3:112" s="37" customFormat="1" hidden="1" x14ac:dyDescent="0.25">
      <c r="C426" s="35"/>
      <c r="L426" s="848"/>
      <c r="V426" s="304"/>
      <c r="AF426" s="304"/>
      <c r="AP426" s="304"/>
      <c r="AZ426" s="304"/>
      <c r="BJ426" s="304"/>
      <c r="BT426" s="304"/>
      <c r="CD426" s="304"/>
      <c r="CN426" s="304"/>
      <c r="CX426" s="304"/>
      <c r="DH426" s="304"/>
    </row>
    <row r="427" spans="3:112" s="37" customFormat="1" hidden="1" x14ac:dyDescent="0.25">
      <c r="C427" s="35"/>
      <c r="L427" s="848"/>
      <c r="V427" s="304"/>
      <c r="AF427" s="304"/>
      <c r="AP427" s="304"/>
      <c r="AZ427" s="304"/>
      <c r="BJ427" s="304"/>
      <c r="BT427" s="304"/>
      <c r="CD427" s="304"/>
      <c r="CN427" s="304"/>
      <c r="CX427" s="304"/>
      <c r="DH427" s="304"/>
    </row>
    <row r="428" spans="3:112" s="37" customFormat="1" hidden="1" x14ac:dyDescent="0.25">
      <c r="C428" s="35"/>
      <c r="L428" s="848"/>
      <c r="V428" s="304"/>
      <c r="AF428" s="304"/>
      <c r="AP428" s="304"/>
      <c r="AZ428" s="304"/>
      <c r="BJ428" s="304"/>
      <c r="BT428" s="304"/>
      <c r="CD428" s="304"/>
      <c r="CN428" s="304"/>
      <c r="CX428" s="304"/>
      <c r="DH428" s="304"/>
    </row>
    <row r="429" spans="3:112" s="37" customFormat="1" hidden="1" x14ac:dyDescent="0.25">
      <c r="C429" s="35"/>
      <c r="L429" s="848"/>
      <c r="V429" s="304"/>
      <c r="AF429" s="304"/>
      <c r="AP429" s="304"/>
      <c r="AZ429" s="304"/>
      <c r="BJ429" s="304"/>
      <c r="BT429" s="304"/>
      <c r="CD429" s="304"/>
      <c r="CN429" s="304"/>
      <c r="CX429" s="304"/>
      <c r="DH429" s="304"/>
    </row>
    <row r="430" spans="3:112" s="37" customFormat="1" hidden="1" x14ac:dyDescent="0.25">
      <c r="C430" s="35"/>
      <c r="L430" s="848"/>
      <c r="V430" s="304"/>
      <c r="AF430" s="304"/>
      <c r="AP430" s="304"/>
      <c r="AZ430" s="304"/>
      <c r="BJ430" s="304"/>
      <c r="BT430" s="304"/>
      <c r="CD430" s="304"/>
      <c r="CN430" s="304"/>
      <c r="CX430" s="304"/>
      <c r="DH430" s="304"/>
    </row>
    <row r="431" spans="3:112" s="37" customFormat="1" hidden="1" x14ac:dyDescent="0.25">
      <c r="C431" s="35"/>
      <c r="L431" s="848"/>
      <c r="V431" s="304"/>
      <c r="AF431" s="304"/>
      <c r="AP431" s="304"/>
      <c r="AZ431" s="304"/>
      <c r="BJ431" s="304"/>
      <c r="BT431" s="304"/>
      <c r="CD431" s="304"/>
      <c r="CN431" s="304"/>
      <c r="CX431" s="304"/>
      <c r="DH431" s="304"/>
    </row>
    <row r="432" spans="3:112" s="37" customFormat="1" hidden="1" x14ac:dyDescent="0.25">
      <c r="C432" s="35"/>
      <c r="L432" s="848"/>
      <c r="V432" s="304"/>
      <c r="AF432" s="304"/>
      <c r="AP432" s="304"/>
      <c r="AZ432" s="304"/>
      <c r="BJ432" s="304"/>
      <c r="BT432" s="304"/>
      <c r="CD432" s="304"/>
      <c r="CN432" s="304"/>
      <c r="CX432" s="304"/>
      <c r="DH432" s="304"/>
    </row>
    <row r="433" spans="3:112" s="37" customFormat="1" hidden="1" x14ac:dyDescent="0.25">
      <c r="C433" s="35"/>
      <c r="L433" s="848"/>
      <c r="V433" s="304"/>
      <c r="AF433" s="304"/>
      <c r="AP433" s="304"/>
      <c r="AZ433" s="304"/>
      <c r="BJ433" s="304"/>
      <c r="BT433" s="304"/>
      <c r="CD433" s="304"/>
      <c r="CN433" s="304"/>
      <c r="CX433" s="304"/>
      <c r="DH433" s="304"/>
    </row>
    <row r="434" spans="3:112" s="37" customFormat="1" hidden="1" x14ac:dyDescent="0.25">
      <c r="C434" s="35"/>
      <c r="L434" s="848"/>
      <c r="V434" s="304"/>
      <c r="AF434" s="304"/>
      <c r="AP434" s="304"/>
      <c r="AZ434" s="304"/>
      <c r="BJ434" s="304"/>
      <c r="BT434" s="304"/>
      <c r="CD434" s="304"/>
      <c r="CN434" s="304"/>
      <c r="CX434" s="304"/>
      <c r="DH434" s="304"/>
    </row>
    <row r="435" spans="3:112" s="37" customFormat="1" hidden="1" x14ac:dyDescent="0.25">
      <c r="C435" s="35"/>
      <c r="L435" s="848"/>
      <c r="V435" s="304"/>
      <c r="AF435" s="304"/>
      <c r="AP435" s="304"/>
      <c r="AZ435" s="304"/>
      <c r="BJ435" s="304"/>
      <c r="BT435" s="304"/>
      <c r="CD435" s="304"/>
      <c r="CN435" s="304"/>
      <c r="CX435" s="304"/>
      <c r="DH435" s="304"/>
    </row>
    <row r="436" spans="3:112" s="37" customFormat="1" hidden="1" x14ac:dyDescent="0.25">
      <c r="C436" s="35"/>
      <c r="L436" s="848"/>
      <c r="V436" s="304"/>
      <c r="AF436" s="304"/>
      <c r="AP436" s="304"/>
      <c r="AZ436" s="304"/>
      <c r="BJ436" s="304"/>
      <c r="BT436" s="304"/>
      <c r="CD436" s="304"/>
      <c r="CN436" s="304"/>
      <c r="CX436" s="304"/>
      <c r="DH436" s="304"/>
    </row>
    <row r="437" spans="3:112" s="37" customFormat="1" hidden="1" x14ac:dyDescent="0.25">
      <c r="C437" s="35"/>
      <c r="L437" s="848"/>
      <c r="V437" s="304"/>
      <c r="AF437" s="304"/>
      <c r="AP437" s="304"/>
      <c r="AZ437" s="304"/>
      <c r="BJ437" s="304"/>
      <c r="BT437" s="304"/>
      <c r="CD437" s="304"/>
      <c r="CN437" s="304"/>
      <c r="CX437" s="304"/>
      <c r="DH437" s="304"/>
    </row>
    <row r="438" spans="3:112" s="37" customFormat="1" hidden="1" x14ac:dyDescent="0.25">
      <c r="C438" s="35"/>
      <c r="L438" s="848"/>
      <c r="V438" s="304"/>
      <c r="AF438" s="304"/>
      <c r="AP438" s="304"/>
      <c r="AZ438" s="304"/>
      <c r="BJ438" s="304"/>
      <c r="BT438" s="304"/>
      <c r="CD438" s="304"/>
      <c r="CN438" s="304"/>
      <c r="CX438" s="304"/>
      <c r="DH438" s="304"/>
    </row>
    <row r="439" spans="3:112" s="37" customFormat="1" hidden="1" x14ac:dyDescent="0.25">
      <c r="C439" s="35"/>
      <c r="L439" s="848"/>
      <c r="V439" s="304"/>
      <c r="AF439" s="304"/>
      <c r="AP439" s="304"/>
      <c r="AZ439" s="304"/>
      <c r="BJ439" s="304"/>
      <c r="BT439" s="304"/>
      <c r="CD439" s="304"/>
      <c r="CN439" s="304"/>
      <c r="CX439" s="304"/>
      <c r="DH439" s="304"/>
    </row>
    <row r="440" spans="3:112" s="37" customFormat="1" hidden="1" x14ac:dyDescent="0.25">
      <c r="C440" s="35"/>
      <c r="L440" s="848"/>
      <c r="V440" s="304"/>
      <c r="AF440" s="304"/>
      <c r="AP440" s="304"/>
      <c r="AZ440" s="304"/>
      <c r="BJ440" s="304"/>
      <c r="BT440" s="304"/>
      <c r="CD440" s="304"/>
      <c r="CN440" s="304"/>
      <c r="CX440" s="304"/>
      <c r="DH440" s="304"/>
    </row>
    <row r="441" spans="3:112" s="37" customFormat="1" hidden="1" x14ac:dyDescent="0.25">
      <c r="C441" s="35"/>
      <c r="L441" s="848"/>
      <c r="V441" s="304"/>
      <c r="AF441" s="304"/>
      <c r="AP441" s="304"/>
      <c r="AZ441" s="304"/>
      <c r="BJ441" s="304"/>
      <c r="BT441" s="304"/>
      <c r="CD441" s="304"/>
      <c r="CN441" s="304"/>
      <c r="CX441" s="304"/>
      <c r="DH441" s="304"/>
    </row>
    <row r="442" spans="3:112" s="37" customFormat="1" hidden="1" x14ac:dyDescent="0.25">
      <c r="C442" s="35"/>
      <c r="L442" s="848"/>
      <c r="V442" s="304"/>
      <c r="AF442" s="304"/>
      <c r="AP442" s="304"/>
      <c r="AZ442" s="304"/>
      <c r="BJ442" s="304"/>
      <c r="BT442" s="304"/>
      <c r="CD442" s="304"/>
      <c r="CN442" s="304"/>
      <c r="CX442" s="304"/>
      <c r="DH442" s="304"/>
    </row>
    <row r="443" spans="3:112" s="37" customFormat="1" hidden="1" x14ac:dyDescent="0.25">
      <c r="C443" s="35"/>
      <c r="L443" s="848"/>
      <c r="V443" s="304"/>
      <c r="AF443" s="304"/>
      <c r="AP443" s="304"/>
      <c r="AZ443" s="304"/>
      <c r="BJ443" s="304"/>
      <c r="BT443" s="304"/>
      <c r="CD443" s="304"/>
      <c r="CN443" s="304"/>
      <c r="CX443" s="304"/>
      <c r="DH443" s="304"/>
    </row>
    <row r="444" spans="3:112" s="37" customFormat="1" hidden="1" x14ac:dyDescent="0.25">
      <c r="C444" s="35"/>
      <c r="L444" s="848"/>
      <c r="V444" s="304"/>
      <c r="AF444" s="304"/>
      <c r="AP444" s="304"/>
      <c r="AZ444" s="304"/>
      <c r="BJ444" s="304"/>
      <c r="BT444" s="304"/>
      <c r="CD444" s="304"/>
      <c r="CN444" s="304"/>
      <c r="CX444" s="304"/>
      <c r="DH444" s="304"/>
    </row>
    <row r="445" spans="3:112" s="37" customFormat="1" hidden="1" x14ac:dyDescent="0.25">
      <c r="C445" s="35"/>
      <c r="L445" s="848"/>
      <c r="V445" s="304"/>
      <c r="AF445" s="304"/>
      <c r="AP445" s="304"/>
      <c r="AZ445" s="304"/>
      <c r="BJ445" s="304"/>
      <c r="BT445" s="304"/>
      <c r="CD445" s="304"/>
      <c r="CN445" s="304"/>
      <c r="CX445" s="304"/>
      <c r="DH445" s="304"/>
    </row>
    <row r="446" spans="3:112" s="37" customFormat="1" hidden="1" x14ac:dyDescent="0.25">
      <c r="C446" s="35"/>
      <c r="L446" s="848"/>
      <c r="V446" s="304"/>
      <c r="AF446" s="304"/>
      <c r="AP446" s="304"/>
      <c r="AZ446" s="304"/>
      <c r="BJ446" s="304"/>
      <c r="BT446" s="304"/>
      <c r="CD446" s="304"/>
      <c r="CN446" s="304"/>
      <c r="CX446" s="304"/>
      <c r="DH446" s="304"/>
    </row>
    <row r="447" spans="3:112" s="37" customFormat="1" hidden="1" x14ac:dyDescent="0.25">
      <c r="C447" s="35"/>
      <c r="L447" s="848"/>
      <c r="V447" s="304"/>
      <c r="AF447" s="304"/>
      <c r="AP447" s="304"/>
      <c r="AZ447" s="304"/>
      <c r="BJ447" s="304"/>
      <c r="BT447" s="304"/>
      <c r="CD447" s="304"/>
      <c r="CN447" s="304"/>
      <c r="CX447" s="304"/>
      <c r="DH447" s="304"/>
    </row>
    <row r="448" spans="3:112" s="37" customFormat="1" hidden="1" x14ac:dyDescent="0.25">
      <c r="C448" s="35"/>
      <c r="L448" s="848"/>
      <c r="V448" s="304"/>
      <c r="AF448" s="304"/>
      <c r="AP448" s="304"/>
      <c r="AZ448" s="304"/>
      <c r="BJ448" s="304"/>
      <c r="BT448" s="304"/>
      <c r="CD448" s="304"/>
      <c r="CN448" s="304"/>
      <c r="CX448" s="304"/>
      <c r="DH448" s="304"/>
    </row>
    <row r="449" spans="3:112" s="37" customFormat="1" hidden="1" x14ac:dyDescent="0.25">
      <c r="C449" s="35"/>
      <c r="L449" s="848"/>
      <c r="V449" s="304"/>
      <c r="AF449" s="304"/>
      <c r="AP449" s="304"/>
      <c r="AZ449" s="304"/>
      <c r="BJ449" s="304"/>
      <c r="BT449" s="304"/>
      <c r="CD449" s="304"/>
      <c r="CN449" s="304"/>
      <c r="CX449" s="304"/>
      <c r="DH449" s="304"/>
    </row>
    <row r="450" spans="3:112" s="37" customFormat="1" hidden="1" x14ac:dyDescent="0.25">
      <c r="C450" s="35"/>
      <c r="L450" s="848"/>
      <c r="V450" s="304"/>
      <c r="AF450" s="304"/>
      <c r="AP450" s="304"/>
      <c r="AZ450" s="304"/>
      <c r="BJ450" s="304"/>
      <c r="BT450" s="304"/>
      <c r="CD450" s="304"/>
      <c r="CN450" s="304"/>
      <c r="CX450" s="304"/>
      <c r="DH450" s="304"/>
    </row>
    <row r="451" spans="3:112" s="37" customFormat="1" hidden="1" x14ac:dyDescent="0.25">
      <c r="C451" s="35"/>
      <c r="L451" s="848"/>
      <c r="V451" s="304"/>
      <c r="AF451" s="304"/>
      <c r="AP451" s="304"/>
      <c r="AZ451" s="304"/>
      <c r="BJ451" s="304"/>
      <c r="BT451" s="304"/>
      <c r="CD451" s="304"/>
      <c r="CN451" s="304"/>
      <c r="CX451" s="304"/>
      <c r="DH451" s="304"/>
    </row>
    <row r="452" spans="3:112" s="37" customFormat="1" hidden="1" x14ac:dyDescent="0.25">
      <c r="C452" s="35"/>
      <c r="L452" s="848"/>
      <c r="V452" s="304"/>
      <c r="AF452" s="304"/>
      <c r="AP452" s="304"/>
      <c r="AZ452" s="304"/>
      <c r="BJ452" s="304"/>
      <c r="BT452" s="304"/>
      <c r="CD452" s="304"/>
      <c r="CN452" s="304"/>
      <c r="CX452" s="304"/>
      <c r="DH452" s="304"/>
    </row>
    <row r="453" spans="3:112" s="37" customFormat="1" hidden="1" x14ac:dyDescent="0.25">
      <c r="C453" s="35"/>
      <c r="L453" s="848"/>
      <c r="V453" s="304"/>
      <c r="AF453" s="304"/>
      <c r="AP453" s="304"/>
      <c r="AZ453" s="304"/>
      <c r="BJ453" s="304"/>
      <c r="BT453" s="304"/>
      <c r="CD453" s="304"/>
      <c r="CN453" s="304"/>
      <c r="CX453" s="304"/>
      <c r="DH453" s="304"/>
    </row>
    <row r="454" spans="3:112" s="37" customFormat="1" hidden="1" x14ac:dyDescent="0.25">
      <c r="C454" s="35"/>
      <c r="L454" s="848"/>
      <c r="V454" s="304"/>
      <c r="AF454" s="304"/>
      <c r="AP454" s="304"/>
      <c r="AZ454" s="304"/>
      <c r="BJ454" s="304"/>
      <c r="BT454" s="304"/>
      <c r="CD454" s="304"/>
      <c r="CN454" s="304"/>
      <c r="CX454" s="304"/>
      <c r="DH454" s="304"/>
    </row>
    <row r="455" spans="3:112" s="37" customFormat="1" hidden="1" x14ac:dyDescent="0.25">
      <c r="C455" s="35"/>
      <c r="L455" s="848"/>
      <c r="V455" s="304"/>
      <c r="AF455" s="304"/>
      <c r="AP455" s="304"/>
      <c r="AZ455" s="304"/>
      <c r="BJ455" s="304"/>
      <c r="BT455" s="304"/>
      <c r="CD455" s="304"/>
      <c r="CN455" s="304"/>
      <c r="CX455" s="304"/>
      <c r="DH455" s="304"/>
    </row>
    <row r="456" spans="3:112" s="37" customFormat="1" hidden="1" x14ac:dyDescent="0.25">
      <c r="C456" s="35"/>
      <c r="L456" s="848"/>
      <c r="V456" s="304"/>
      <c r="AF456" s="304"/>
      <c r="AP456" s="304"/>
      <c r="AZ456" s="304"/>
      <c r="BJ456" s="304"/>
      <c r="BT456" s="304"/>
      <c r="CD456" s="304"/>
      <c r="CN456" s="304"/>
      <c r="CX456" s="304"/>
      <c r="DH456" s="304"/>
    </row>
    <row r="457" spans="3:112" s="37" customFormat="1" hidden="1" x14ac:dyDescent="0.25">
      <c r="C457" s="35"/>
      <c r="L457" s="848"/>
      <c r="V457" s="304"/>
      <c r="AF457" s="304"/>
      <c r="AP457" s="304"/>
      <c r="AZ457" s="304"/>
      <c r="BJ457" s="304"/>
      <c r="BT457" s="304"/>
      <c r="CD457" s="304"/>
      <c r="CN457" s="304"/>
      <c r="CX457" s="304"/>
      <c r="DH457" s="304"/>
    </row>
    <row r="458" spans="3:112" s="37" customFormat="1" hidden="1" x14ac:dyDescent="0.25">
      <c r="C458" s="35"/>
      <c r="L458" s="848"/>
      <c r="V458" s="304"/>
      <c r="AF458" s="304"/>
      <c r="AP458" s="304"/>
      <c r="AZ458" s="304"/>
      <c r="BJ458" s="304"/>
      <c r="BT458" s="304"/>
      <c r="CD458" s="304"/>
      <c r="CN458" s="304"/>
      <c r="CX458" s="304"/>
      <c r="DH458" s="304"/>
    </row>
    <row r="459" spans="3:112" s="37" customFormat="1" hidden="1" x14ac:dyDescent="0.25">
      <c r="C459" s="35"/>
      <c r="L459" s="848"/>
      <c r="V459" s="304"/>
      <c r="AF459" s="304"/>
      <c r="AP459" s="304"/>
      <c r="AZ459" s="304"/>
      <c r="BJ459" s="304"/>
      <c r="BT459" s="304"/>
      <c r="CD459" s="304"/>
      <c r="CN459" s="304"/>
      <c r="CX459" s="304"/>
      <c r="DH459" s="304"/>
    </row>
    <row r="460" spans="3:112" s="37" customFormat="1" hidden="1" x14ac:dyDescent="0.25">
      <c r="C460" s="35"/>
      <c r="L460" s="848"/>
      <c r="V460" s="304"/>
      <c r="AF460" s="304"/>
      <c r="AP460" s="304"/>
      <c r="AZ460" s="304"/>
      <c r="BJ460" s="304"/>
      <c r="BT460" s="304"/>
      <c r="CD460" s="304"/>
      <c r="CN460" s="304"/>
      <c r="CX460" s="304"/>
      <c r="DH460" s="304"/>
    </row>
    <row r="461" spans="3:112" s="37" customFormat="1" hidden="1" x14ac:dyDescent="0.25">
      <c r="C461" s="35"/>
      <c r="L461" s="848"/>
      <c r="V461" s="304"/>
      <c r="AF461" s="304"/>
      <c r="AP461" s="304"/>
      <c r="AZ461" s="304"/>
      <c r="BJ461" s="304"/>
      <c r="BT461" s="304"/>
      <c r="CD461" s="304"/>
      <c r="CN461" s="304"/>
      <c r="CX461" s="304"/>
      <c r="DH461" s="304"/>
    </row>
    <row r="462" spans="3:112" s="37" customFormat="1" hidden="1" x14ac:dyDescent="0.25">
      <c r="C462" s="35"/>
      <c r="L462" s="848"/>
      <c r="V462" s="304"/>
      <c r="AF462" s="304"/>
      <c r="AP462" s="304"/>
      <c r="AZ462" s="304"/>
      <c r="BJ462" s="304"/>
      <c r="BT462" s="304"/>
      <c r="CD462" s="304"/>
      <c r="CN462" s="304"/>
      <c r="CX462" s="304"/>
      <c r="DH462" s="304"/>
    </row>
    <row r="463" spans="3:112" s="37" customFormat="1" hidden="1" x14ac:dyDescent="0.25">
      <c r="C463" s="35"/>
      <c r="L463" s="848"/>
      <c r="V463" s="304"/>
      <c r="AF463" s="304"/>
      <c r="AP463" s="304"/>
      <c r="AZ463" s="304"/>
      <c r="BJ463" s="304"/>
      <c r="BT463" s="304"/>
      <c r="CD463" s="304"/>
      <c r="CN463" s="304"/>
      <c r="CX463" s="304"/>
      <c r="DH463" s="304"/>
    </row>
    <row r="464" spans="3:112" s="37" customFormat="1" hidden="1" x14ac:dyDescent="0.25">
      <c r="C464" s="35"/>
      <c r="L464" s="848"/>
      <c r="V464" s="304"/>
      <c r="AF464" s="304"/>
      <c r="AP464" s="304"/>
      <c r="AZ464" s="304"/>
      <c r="BJ464" s="304"/>
      <c r="BT464" s="304"/>
      <c r="CD464" s="304"/>
      <c r="CN464" s="304"/>
      <c r="CX464" s="304"/>
      <c r="DH464" s="304"/>
    </row>
    <row r="465" spans="3:112" s="37" customFormat="1" hidden="1" x14ac:dyDescent="0.25">
      <c r="C465" s="35"/>
      <c r="L465" s="848"/>
      <c r="V465" s="304"/>
      <c r="AF465" s="304"/>
      <c r="AP465" s="304"/>
      <c r="AZ465" s="304"/>
      <c r="BJ465" s="304"/>
      <c r="BT465" s="304"/>
      <c r="CD465" s="304"/>
      <c r="CN465" s="304"/>
      <c r="CX465" s="304"/>
      <c r="DH465" s="304"/>
    </row>
    <row r="466" spans="3:112" s="37" customFormat="1" hidden="1" x14ac:dyDescent="0.25">
      <c r="C466" s="35"/>
      <c r="L466" s="848"/>
      <c r="V466" s="304"/>
      <c r="AF466" s="304"/>
      <c r="AP466" s="304"/>
      <c r="AZ466" s="304"/>
      <c r="BJ466" s="304"/>
      <c r="BT466" s="304"/>
      <c r="CD466" s="304"/>
      <c r="CN466" s="304"/>
      <c r="CX466" s="304"/>
      <c r="DH466" s="304"/>
    </row>
    <row r="467" spans="3:112" s="37" customFormat="1" hidden="1" x14ac:dyDescent="0.25">
      <c r="C467" s="35"/>
      <c r="L467" s="848"/>
      <c r="V467" s="304"/>
      <c r="AF467" s="304"/>
      <c r="AP467" s="304"/>
      <c r="AZ467" s="304"/>
      <c r="BJ467" s="304"/>
      <c r="BT467" s="304"/>
      <c r="CD467" s="304"/>
      <c r="CN467" s="304"/>
      <c r="CX467" s="304"/>
      <c r="DH467" s="304"/>
    </row>
    <row r="468" spans="3:112" s="37" customFormat="1" hidden="1" x14ac:dyDescent="0.25">
      <c r="C468" s="35"/>
      <c r="L468" s="848"/>
      <c r="V468" s="304"/>
      <c r="AF468" s="304"/>
      <c r="AP468" s="304"/>
      <c r="AZ468" s="304"/>
      <c r="BJ468" s="304"/>
      <c r="BT468" s="304"/>
      <c r="CD468" s="304"/>
      <c r="CN468" s="304"/>
      <c r="CX468" s="304"/>
      <c r="DH468" s="304"/>
    </row>
    <row r="469" spans="3:112" s="37" customFormat="1" hidden="1" x14ac:dyDescent="0.25">
      <c r="C469" s="35"/>
      <c r="L469" s="848"/>
      <c r="V469" s="304"/>
      <c r="AF469" s="304"/>
      <c r="AP469" s="304"/>
      <c r="AZ469" s="304"/>
      <c r="BJ469" s="304"/>
      <c r="BT469" s="304"/>
      <c r="CD469" s="304"/>
      <c r="CN469" s="304"/>
      <c r="CX469" s="304"/>
      <c r="DH469" s="304"/>
    </row>
    <row r="470" spans="3:112" s="37" customFormat="1" hidden="1" x14ac:dyDescent="0.25">
      <c r="C470" s="35"/>
      <c r="L470" s="848"/>
      <c r="V470" s="304"/>
      <c r="AF470" s="304"/>
      <c r="AP470" s="304"/>
      <c r="AZ470" s="304"/>
      <c r="BJ470" s="304"/>
      <c r="BT470" s="304"/>
      <c r="CD470" s="304"/>
      <c r="CN470" s="304"/>
      <c r="CX470" s="304"/>
      <c r="DH470" s="304"/>
    </row>
    <row r="471" spans="3:112" s="37" customFormat="1" hidden="1" x14ac:dyDescent="0.25">
      <c r="C471" s="35"/>
      <c r="L471" s="848"/>
      <c r="V471" s="304"/>
      <c r="AF471" s="304"/>
      <c r="AP471" s="304"/>
      <c r="AZ471" s="304"/>
      <c r="BJ471" s="304"/>
      <c r="BT471" s="304"/>
      <c r="CD471" s="304"/>
      <c r="CN471" s="304"/>
      <c r="CX471" s="304"/>
      <c r="DH471" s="304"/>
    </row>
    <row r="472" spans="3:112" s="37" customFormat="1" hidden="1" x14ac:dyDescent="0.25">
      <c r="C472" s="35"/>
      <c r="L472" s="848"/>
      <c r="V472" s="304"/>
      <c r="AF472" s="304"/>
      <c r="AP472" s="304"/>
      <c r="AZ472" s="304"/>
      <c r="BJ472" s="304"/>
      <c r="BT472" s="304"/>
      <c r="CD472" s="304"/>
      <c r="CN472" s="304"/>
      <c r="CX472" s="304"/>
      <c r="DH472" s="304"/>
    </row>
    <row r="473" spans="3:112" s="37" customFormat="1" hidden="1" x14ac:dyDescent="0.25">
      <c r="C473" s="35"/>
      <c r="L473" s="848"/>
      <c r="V473" s="304"/>
      <c r="AF473" s="304"/>
      <c r="AP473" s="304"/>
      <c r="AZ473" s="304"/>
      <c r="BJ473" s="304"/>
      <c r="BT473" s="304"/>
      <c r="CD473" s="304"/>
      <c r="CN473" s="304"/>
      <c r="CX473" s="304"/>
      <c r="DH473" s="304"/>
    </row>
    <row r="474" spans="3:112" s="37" customFormat="1" hidden="1" x14ac:dyDescent="0.25">
      <c r="C474" s="35"/>
      <c r="L474" s="848"/>
      <c r="V474" s="304"/>
      <c r="AF474" s="304"/>
      <c r="AP474" s="304"/>
      <c r="AZ474" s="304"/>
      <c r="BJ474" s="304"/>
      <c r="BT474" s="304"/>
      <c r="CD474" s="304"/>
      <c r="CN474" s="304"/>
      <c r="CX474" s="304"/>
      <c r="DH474" s="304"/>
    </row>
    <row r="475" spans="3:112" s="37" customFormat="1" hidden="1" x14ac:dyDescent="0.25">
      <c r="C475" s="35"/>
      <c r="L475" s="848"/>
      <c r="V475" s="304"/>
      <c r="AF475" s="304"/>
      <c r="AP475" s="304"/>
      <c r="AZ475" s="304"/>
      <c r="BJ475" s="304"/>
      <c r="BT475" s="304"/>
      <c r="CD475" s="304"/>
      <c r="CN475" s="304"/>
      <c r="CX475" s="304"/>
      <c r="DH475" s="304"/>
    </row>
    <row r="476" spans="3:112" s="37" customFormat="1" hidden="1" x14ac:dyDescent="0.25">
      <c r="C476" s="35"/>
      <c r="L476" s="848"/>
      <c r="V476" s="304"/>
      <c r="AF476" s="304"/>
      <c r="AP476" s="304"/>
      <c r="AZ476" s="304"/>
      <c r="BJ476" s="304"/>
      <c r="BT476" s="304"/>
      <c r="CD476" s="304"/>
      <c r="CN476" s="304"/>
      <c r="CX476" s="304"/>
      <c r="DH476" s="304"/>
    </row>
    <row r="477" spans="3:112" s="37" customFormat="1" hidden="1" x14ac:dyDescent="0.25">
      <c r="C477" s="35"/>
      <c r="L477" s="848"/>
      <c r="V477" s="304"/>
      <c r="AF477" s="304"/>
      <c r="AP477" s="304"/>
      <c r="AZ477" s="304"/>
      <c r="BJ477" s="304"/>
      <c r="BT477" s="304"/>
      <c r="CD477" s="304"/>
      <c r="CN477" s="304"/>
      <c r="CX477" s="304"/>
      <c r="DH477" s="304"/>
    </row>
    <row r="478" spans="3:112" s="37" customFormat="1" hidden="1" x14ac:dyDescent="0.25">
      <c r="C478" s="35"/>
      <c r="L478" s="848"/>
      <c r="V478" s="304"/>
      <c r="AF478" s="304"/>
      <c r="AP478" s="304"/>
      <c r="AZ478" s="304"/>
      <c r="BJ478" s="304"/>
      <c r="BT478" s="304"/>
      <c r="CD478" s="304"/>
      <c r="CN478" s="304"/>
      <c r="CX478" s="304"/>
      <c r="DH478" s="304"/>
    </row>
    <row r="479" spans="3:112" s="37" customFormat="1" hidden="1" x14ac:dyDescent="0.25">
      <c r="C479" s="35"/>
      <c r="L479" s="848"/>
      <c r="V479" s="304"/>
      <c r="AF479" s="304"/>
      <c r="AP479" s="304"/>
      <c r="AZ479" s="304"/>
      <c r="BJ479" s="304"/>
      <c r="BT479" s="304"/>
      <c r="CD479" s="304"/>
      <c r="CN479" s="304"/>
      <c r="CX479" s="304"/>
      <c r="DH479" s="304"/>
    </row>
    <row r="480" spans="3:112" s="37" customFormat="1" hidden="1" x14ac:dyDescent="0.25">
      <c r="C480" s="35"/>
      <c r="L480" s="848"/>
      <c r="V480" s="304"/>
      <c r="AF480" s="304"/>
      <c r="AP480" s="304"/>
      <c r="AZ480" s="304"/>
      <c r="BJ480" s="304"/>
      <c r="BT480" s="304"/>
      <c r="CD480" s="304"/>
      <c r="CN480" s="304"/>
      <c r="CX480" s="304"/>
      <c r="DH480" s="304"/>
    </row>
    <row r="481" spans="3:112" s="37" customFormat="1" hidden="1" x14ac:dyDescent="0.25">
      <c r="C481" s="35"/>
      <c r="L481" s="848"/>
      <c r="V481" s="304"/>
      <c r="AF481" s="304"/>
      <c r="AP481" s="304"/>
      <c r="AZ481" s="304"/>
      <c r="BJ481" s="304"/>
      <c r="BT481" s="304"/>
      <c r="CD481" s="304"/>
      <c r="CN481" s="304"/>
      <c r="CX481" s="304"/>
      <c r="DH481" s="304"/>
    </row>
    <row r="482" spans="3:112" s="37" customFormat="1" hidden="1" x14ac:dyDescent="0.25">
      <c r="C482" s="35"/>
      <c r="L482" s="848"/>
      <c r="V482" s="304"/>
      <c r="AF482" s="304"/>
      <c r="AP482" s="304"/>
      <c r="AZ482" s="304"/>
      <c r="BJ482" s="304"/>
      <c r="BT482" s="304"/>
      <c r="CD482" s="304"/>
      <c r="CN482" s="304"/>
      <c r="CX482" s="304"/>
      <c r="DH482" s="304"/>
    </row>
    <row r="483" spans="3:112" s="37" customFormat="1" hidden="1" x14ac:dyDescent="0.25">
      <c r="C483" s="35"/>
      <c r="L483" s="848"/>
      <c r="V483" s="304"/>
      <c r="AF483" s="304"/>
      <c r="AP483" s="304"/>
      <c r="AZ483" s="304"/>
      <c r="BJ483" s="304"/>
      <c r="BT483" s="304"/>
      <c r="CD483" s="304"/>
      <c r="CN483" s="304"/>
      <c r="CX483" s="304"/>
      <c r="DH483" s="304"/>
    </row>
    <row r="484" spans="3:112" s="37" customFormat="1" hidden="1" x14ac:dyDescent="0.25">
      <c r="C484" s="35"/>
      <c r="L484" s="848"/>
      <c r="V484" s="304"/>
      <c r="AF484" s="304"/>
      <c r="AP484" s="304"/>
      <c r="AZ484" s="304"/>
      <c r="BJ484" s="304"/>
      <c r="BT484" s="304"/>
      <c r="CD484" s="304"/>
      <c r="CN484" s="304"/>
      <c r="CX484" s="304"/>
      <c r="DH484" s="304"/>
    </row>
    <row r="485" spans="3:112" s="37" customFormat="1" hidden="1" x14ac:dyDescent="0.25">
      <c r="C485" s="35"/>
      <c r="L485" s="848"/>
      <c r="V485" s="304"/>
      <c r="AF485" s="304"/>
      <c r="AP485" s="304"/>
      <c r="AZ485" s="304"/>
      <c r="BJ485" s="304"/>
      <c r="BT485" s="304"/>
      <c r="CD485" s="304"/>
      <c r="CN485" s="304"/>
      <c r="CX485" s="304"/>
      <c r="DH485" s="304"/>
    </row>
    <row r="486" spans="3:112" s="37" customFormat="1" hidden="1" x14ac:dyDescent="0.25">
      <c r="C486" s="35"/>
      <c r="L486" s="848"/>
      <c r="V486" s="304"/>
      <c r="AF486" s="304"/>
      <c r="AP486" s="304"/>
      <c r="AZ486" s="304"/>
      <c r="BJ486" s="304"/>
      <c r="BT486" s="304"/>
      <c r="CD486" s="304"/>
      <c r="CN486" s="304"/>
      <c r="CX486" s="304"/>
      <c r="DH486" s="304"/>
    </row>
    <row r="487" spans="3:112" s="37" customFormat="1" hidden="1" x14ac:dyDescent="0.25">
      <c r="C487" s="35"/>
      <c r="L487" s="848"/>
      <c r="V487" s="304"/>
      <c r="AF487" s="304"/>
      <c r="AP487" s="304"/>
      <c r="AZ487" s="304"/>
      <c r="BJ487" s="304"/>
      <c r="BT487" s="304"/>
      <c r="CD487" s="304"/>
      <c r="CN487" s="304"/>
      <c r="CX487" s="304"/>
      <c r="DH487" s="304"/>
    </row>
    <row r="488" spans="3:112" s="37" customFormat="1" hidden="1" x14ac:dyDescent="0.25">
      <c r="C488" s="35"/>
      <c r="L488" s="848"/>
      <c r="V488" s="304"/>
      <c r="AF488" s="304"/>
      <c r="AP488" s="304"/>
      <c r="AZ488" s="304"/>
      <c r="BJ488" s="304"/>
      <c r="BT488" s="304"/>
      <c r="CD488" s="304"/>
      <c r="CN488" s="304"/>
      <c r="CX488" s="304"/>
      <c r="DH488" s="304"/>
    </row>
    <row r="489" spans="3:112" s="37" customFormat="1" hidden="1" x14ac:dyDescent="0.25">
      <c r="C489" s="35"/>
      <c r="L489" s="848"/>
      <c r="V489" s="304"/>
      <c r="AF489" s="304"/>
      <c r="AP489" s="304"/>
      <c r="AZ489" s="304"/>
      <c r="BJ489" s="304"/>
      <c r="BT489" s="304"/>
      <c r="CD489" s="304"/>
      <c r="CN489" s="304"/>
      <c r="CX489" s="304"/>
      <c r="DH489" s="304"/>
    </row>
    <row r="490" spans="3:112" s="37" customFormat="1" hidden="1" x14ac:dyDescent="0.25">
      <c r="C490" s="35"/>
      <c r="L490" s="848"/>
      <c r="V490" s="304"/>
      <c r="AF490" s="304"/>
      <c r="AP490" s="304"/>
      <c r="AZ490" s="304"/>
      <c r="BJ490" s="304"/>
      <c r="BT490" s="304"/>
      <c r="CD490" s="304"/>
      <c r="CN490" s="304"/>
      <c r="CX490" s="304"/>
      <c r="DH490" s="304"/>
    </row>
    <row r="491" spans="3:112" s="37" customFormat="1" hidden="1" x14ac:dyDescent="0.25">
      <c r="C491" s="35"/>
      <c r="L491" s="848"/>
      <c r="V491" s="304"/>
      <c r="AF491" s="304"/>
      <c r="AP491" s="304"/>
      <c r="AZ491" s="304"/>
      <c r="BJ491" s="304"/>
      <c r="BT491" s="304"/>
      <c r="CD491" s="304"/>
      <c r="CN491" s="304"/>
      <c r="CX491" s="304"/>
      <c r="DH491" s="304"/>
    </row>
    <row r="492" spans="3:112" s="37" customFormat="1" hidden="1" x14ac:dyDescent="0.25">
      <c r="C492" s="35"/>
      <c r="L492" s="848"/>
      <c r="V492" s="304"/>
      <c r="AF492" s="304"/>
      <c r="AP492" s="304"/>
      <c r="AZ492" s="304"/>
      <c r="BJ492" s="304"/>
      <c r="BT492" s="304"/>
      <c r="CD492" s="304"/>
      <c r="CN492" s="304"/>
      <c r="CX492" s="304"/>
      <c r="DH492" s="304"/>
    </row>
    <row r="493" spans="3:112" s="37" customFormat="1" hidden="1" x14ac:dyDescent="0.25">
      <c r="C493" s="35"/>
      <c r="L493" s="848"/>
      <c r="V493" s="304"/>
      <c r="AF493" s="304"/>
      <c r="AP493" s="304"/>
      <c r="AZ493" s="304"/>
      <c r="BJ493" s="304"/>
      <c r="BT493" s="304"/>
      <c r="CD493" s="304"/>
      <c r="CN493" s="304"/>
      <c r="CX493" s="304"/>
      <c r="DH493" s="304"/>
    </row>
    <row r="494" spans="3:112" s="37" customFormat="1" hidden="1" x14ac:dyDescent="0.25">
      <c r="C494" s="35"/>
      <c r="L494" s="848"/>
      <c r="V494" s="304"/>
      <c r="AF494" s="304"/>
      <c r="AP494" s="304"/>
      <c r="AZ494" s="304"/>
      <c r="BJ494" s="304"/>
      <c r="BT494" s="304"/>
      <c r="CD494" s="304"/>
      <c r="CN494" s="304"/>
      <c r="CX494" s="304"/>
      <c r="DH494" s="304"/>
    </row>
    <row r="495" spans="3:112" s="37" customFormat="1" hidden="1" x14ac:dyDescent="0.25">
      <c r="C495" s="35"/>
      <c r="L495" s="848"/>
      <c r="V495" s="304"/>
      <c r="AF495" s="304"/>
      <c r="AP495" s="304"/>
      <c r="AZ495" s="304"/>
      <c r="BJ495" s="304"/>
      <c r="BT495" s="304"/>
      <c r="CD495" s="304"/>
      <c r="CN495" s="304"/>
      <c r="CX495" s="304"/>
      <c r="DH495" s="304"/>
    </row>
    <row r="496" spans="3:112" s="37" customFormat="1" hidden="1" x14ac:dyDescent="0.25">
      <c r="C496" s="35"/>
      <c r="L496" s="848"/>
      <c r="V496" s="304"/>
      <c r="AF496" s="304"/>
      <c r="AP496" s="304"/>
      <c r="AZ496" s="304"/>
      <c r="BJ496" s="304"/>
      <c r="BT496" s="304"/>
      <c r="CD496" s="304"/>
      <c r="CN496" s="304"/>
      <c r="CX496" s="304"/>
      <c r="DH496" s="304"/>
    </row>
    <row r="497" spans="3:112" s="37" customFormat="1" hidden="1" x14ac:dyDescent="0.25">
      <c r="C497" s="35"/>
      <c r="L497" s="848"/>
      <c r="V497" s="304"/>
      <c r="AF497" s="304"/>
      <c r="AP497" s="304"/>
      <c r="AZ497" s="304"/>
      <c r="BJ497" s="304"/>
      <c r="BT497" s="304"/>
      <c r="CD497" s="304"/>
      <c r="CN497" s="304"/>
      <c r="CX497" s="304"/>
      <c r="DH497" s="304"/>
    </row>
    <row r="498" spans="3:112" s="37" customFormat="1" hidden="1" x14ac:dyDescent="0.25">
      <c r="C498" s="35"/>
      <c r="L498" s="848"/>
      <c r="V498" s="304"/>
      <c r="AF498" s="304"/>
      <c r="AP498" s="304"/>
      <c r="AZ498" s="304"/>
      <c r="BJ498" s="304"/>
      <c r="BT498" s="304"/>
      <c r="CD498" s="304"/>
      <c r="CN498" s="304"/>
      <c r="CX498" s="304"/>
      <c r="DH498" s="304"/>
    </row>
    <row r="499" spans="3:112" s="37" customFormat="1" hidden="1" x14ac:dyDescent="0.25">
      <c r="C499" s="35"/>
      <c r="L499" s="848"/>
      <c r="V499" s="304"/>
      <c r="AF499" s="304"/>
      <c r="AP499" s="304"/>
      <c r="AZ499" s="304"/>
      <c r="BJ499" s="304"/>
      <c r="BT499" s="304"/>
      <c r="CD499" s="304"/>
      <c r="CN499" s="304"/>
      <c r="CX499" s="304"/>
      <c r="DH499" s="304"/>
    </row>
    <row r="500" spans="3:112" s="37" customFormat="1" hidden="1" x14ac:dyDescent="0.25">
      <c r="C500" s="35"/>
      <c r="L500" s="848"/>
      <c r="V500" s="304"/>
      <c r="AF500" s="304"/>
      <c r="AP500" s="304"/>
      <c r="AZ500" s="304"/>
      <c r="BJ500" s="304"/>
      <c r="BT500" s="304"/>
      <c r="CD500" s="304"/>
      <c r="CN500" s="304"/>
      <c r="CX500" s="304"/>
      <c r="DH500" s="304"/>
    </row>
    <row r="501" spans="3:112" s="37" customFormat="1" hidden="1" x14ac:dyDescent="0.25">
      <c r="C501" s="35"/>
      <c r="L501" s="848"/>
      <c r="V501" s="304"/>
      <c r="AF501" s="304"/>
      <c r="AP501" s="304"/>
      <c r="AZ501" s="304"/>
      <c r="BJ501" s="304"/>
      <c r="BT501" s="304"/>
      <c r="CD501" s="304"/>
      <c r="CN501" s="304"/>
      <c r="CX501" s="304"/>
      <c r="DH501" s="304"/>
    </row>
    <row r="502" spans="3:112" s="37" customFormat="1" hidden="1" x14ac:dyDescent="0.25">
      <c r="C502" s="35"/>
      <c r="L502" s="848"/>
      <c r="V502" s="304"/>
      <c r="AF502" s="304"/>
      <c r="AP502" s="304"/>
      <c r="AZ502" s="304"/>
      <c r="BJ502" s="304"/>
      <c r="BT502" s="304"/>
      <c r="CD502" s="304"/>
      <c r="CN502" s="304"/>
      <c r="CX502" s="304"/>
      <c r="DH502" s="304"/>
    </row>
    <row r="503" spans="3:112" s="37" customFormat="1" hidden="1" x14ac:dyDescent="0.25">
      <c r="C503" s="35"/>
      <c r="L503" s="848"/>
      <c r="V503" s="304"/>
      <c r="AF503" s="304"/>
      <c r="AP503" s="304"/>
      <c r="AZ503" s="304"/>
      <c r="BJ503" s="304"/>
      <c r="BT503" s="304"/>
      <c r="CD503" s="304"/>
      <c r="CN503" s="304"/>
      <c r="CX503" s="304"/>
      <c r="DH503" s="304"/>
    </row>
    <row r="504" spans="3:112" s="37" customFormat="1" hidden="1" x14ac:dyDescent="0.25">
      <c r="C504" s="35"/>
      <c r="L504" s="848"/>
      <c r="V504" s="304"/>
      <c r="AF504" s="304"/>
      <c r="AP504" s="304"/>
      <c r="AZ504" s="304"/>
      <c r="BJ504" s="304"/>
      <c r="BT504" s="304"/>
      <c r="CD504" s="304"/>
      <c r="CN504" s="304"/>
      <c r="CX504" s="304"/>
      <c r="DH504" s="304"/>
    </row>
    <row r="505" spans="3:112" s="37" customFormat="1" hidden="1" x14ac:dyDescent="0.25">
      <c r="C505" s="35"/>
      <c r="L505" s="848"/>
      <c r="V505" s="304"/>
      <c r="AF505" s="304"/>
      <c r="AP505" s="304"/>
      <c r="AZ505" s="304"/>
      <c r="BJ505" s="304"/>
      <c r="BT505" s="304"/>
      <c r="CD505" s="304"/>
      <c r="CN505" s="304"/>
      <c r="CX505" s="304"/>
      <c r="DH505" s="304"/>
    </row>
    <row r="506" spans="3:112" s="37" customFormat="1" hidden="1" x14ac:dyDescent="0.25">
      <c r="C506" s="35"/>
      <c r="L506" s="848"/>
      <c r="V506" s="304"/>
      <c r="AF506" s="304"/>
      <c r="AP506" s="304"/>
      <c r="AZ506" s="304"/>
      <c r="BJ506" s="304"/>
      <c r="BT506" s="304"/>
      <c r="CD506" s="304"/>
      <c r="CN506" s="304"/>
      <c r="CX506" s="304"/>
      <c r="DH506" s="304"/>
    </row>
    <row r="507" spans="3:112" s="37" customFormat="1" hidden="1" x14ac:dyDescent="0.25">
      <c r="C507" s="35"/>
      <c r="L507" s="848"/>
      <c r="V507" s="304"/>
      <c r="AF507" s="304"/>
      <c r="AP507" s="304"/>
      <c r="AZ507" s="304"/>
      <c r="BJ507" s="304"/>
      <c r="BT507" s="304"/>
      <c r="CD507" s="304"/>
      <c r="CN507" s="304"/>
      <c r="CX507" s="304"/>
      <c r="DH507" s="304"/>
    </row>
    <row r="508" spans="3:112" s="37" customFormat="1" hidden="1" x14ac:dyDescent="0.25">
      <c r="C508" s="35"/>
      <c r="L508" s="848"/>
      <c r="V508" s="304"/>
      <c r="AF508" s="304"/>
      <c r="AP508" s="304"/>
      <c r="AZ508" s="304"/>
      <c r="BJ508" s="304"/>
      <c r="BT508" s="304"/>
      <c r="CD508" s="304"/>
      <c r="CN508" s="304"/>
      <c r="CX508" s="304"/>
      <c r="DH508" s="304"/>
    </row>
    <row r="509" spans="3:112" s="37" customFormat="1" hidden="1" x14ac:dyDescent="0.25">
      <c r="C509" s="35"/>
      <c r="L509" s="848"/>
      <c r="V509" s="304"/>
      <c r="AF509" s="304"/>
      <c r="AP509" s="304"/>
      <c r="AZ509" s="304"/>
      <c r="BJ509" s="304"/>
      <c r="BT509" s="304"/>
      <c r="CD509" s="304"/>
      <c r="CN509" s="304"/>
      <c r="CX509" s="304"/>
      <c r="DH509" s="304"/>
    </row>
    <row r="510" spans="3:112" s="37" customFormat="1" hidden="1" x14ac:dyDescent="0.25">
      <c r="C510" s="35"/>
      <c r="L510" s="848"/>
      <c r="V510" s="304"/>
      <c r="AF510" s="304"/>
      <c r="AP510" s="304"/>
      <c r="AZ510" s="304"/>
      <c r="BJ510" s="304"/>
      <c r="BT510" s="304"/>
      <c r="CD510" s="304"/>
      <c r="CN510" s="304"/>
      <c r="CX510" s="304"/>
      <c r="DH510" s="304"/>
    </row>
    <row r="511" spans="3:112" s="37" customFormat="1" hidden="1" x14ac:dyDescent="0.25">
      <c r="C511" s="35"/>
      <c r="L511" s="848"/>
      <c r="V511" s="304"/>
      <c r="AF511" s="304"/>
      <c r="AP511" s="304"/>
      <c r="AZ511" s="304"/>
      <c r="BJ511" s="304"/>
      <c r="BT511" s="304"/>
      <c r="CD511" s="304"/>
      <c r="CN511" s="304"/>
      <c r="CX511" s="304"/>
      <c r="DH511" s="304"/>
    </row>
    <row r="512" spans="3:112" s="37" customFormat="1" hidden="1" x14ac:dyDescent="0.25">
      <c r="C512" s="35"/>
      <c r="L512" s="848"/>
      <c r="V512" s="304"/>
      <c r="AF512" s="304"/>
      <c r="AP512" s="304"/>
      <c r="AZ512" s="304"/>
      <c r="BJ512" s="304"/>
      <c r="BT512" s="304"/>
      <c r="CD512" s="304"/>
      <c r="CN512" s="304"/>
      <c r="CX512" s="304"/>
      <c r="DH512" s="304"/>
    </row>
    <row r="513" spans="3:112" s="37" customFormat="1" hidden="1" x14ac:dyDescent="0.25">
      <c r="C513" s="35"/>
      <c r="L513" s="848"/>
      <c r="V513" s="304"/>
      <c r="AF513" s="304"/>
      <c r="AP513" s="304"/>
      <c r="AZ513" s="304"/>
      <c r="BJ513" s="304"/>
      <c r="BT513" s="304"/>
      <c r="CD513" s="304"/>
      <c r="CN513" s="304"/>
      <c r="CX513" s="304"/>
      <c r="DH513" s="304"/>
    </row>
    <row r="514" spans="3:112" s="37" customFormat="1" hidden="1" x14ac:dyDescent="0.25">
      <c r="C514" s="35"/>
      <c r="L514" s="848"/>
      <c r="V514" s="304"/>
      <c r="AF514" s="304"/>
      <c r="AP514" s="304"/>
      <c r="AZ514" s="304"/>
      <c r="BJ514" s="304"/>
      <c r="BT514" s="304"/>
      <c r="CD514" s="304"/>
      <c r="CN514" s="304"/>
      <c r="CX514" s="304"/>
      <c r="DH514" s="304"/>
    </row>
    <row r="515" spans="3:112" s="37" customFormat="1" hidden="1" x14ac:dyDescent="0.25">
      <c r="C515" s="35"/>
      <c r="L515" s="848"/>
      <c r="V515" s="304"/>
      <c r="AF515" s="304"/>
      <c r="AP515" s="304"/>
      <c r="AZ515" s="304"/>
      <c r="BJ515" s="304"/>
      <c r="BT515" s="304"/>
      <c r="CD515" s="304"/>
      <c r="CN515" s="304"/>
      <c r="CX515" s="304"/>
      <c r="DH515" s="304"/>
    </row>
    <row r="516" spans="3:112" s="37" customFormat="1" hidden="1" x14ac:dyDescent="0.25">
      <c r="C516" s="35"/>
      <c r="L516" s="848"/>
      <c r="V516" s="304"/>
      <c r="AF516" s="304"/>
      <c r="AP516" s="304"/>
      <c r="AZ516" s="304"/>
      <c r="BJ516" s="304"/>
      <c r="BT516" s="304"/>
      <c r="CD516" s="304"/>
      <c r="CN516" s="304"/>
      <c r="CX516" s="304"/>
      <c r="DH516" s="304"/>
    </row>
    <row r="517" spans="3:112" s="37" customFormat="1" hidden="1" x14ac:dyDescent="0.25">
      <c r="C517" s="35"/>
      <c r="L517" s="848"/>
      <c r="V517" s="304"/>
      <c r="AF517" s="304"/>
      <c r="AP517" s="304"/>
      <c r="AZ517" s="304"/>
      <c r="BJ517" s="304"/>
      <c r="BT517" s="304"/>
      <c r="CD517" s="304"/>
      <c r="CN517" s="304"/>
      <c r="CX517" s="304"/>
      <c r="DH517" s="304"/>
    </row>
    <row r="518" spans="3:112" s="37" customFormat="1" hidden="1" x14ac:dyDescent="0.25">
      <c r="C518" s="35"/>
      <c r="L518" s="848"/>
      <c r="V518" s="304"/>
      <c r="AF518" s="304"/>
      <c r="AP518" s="304"/>
      <c r="AZ518" s="304"/>
      <c r="BJ518" s="304"/>
      <c r="BT518" s="304"/>
      <c r="CD518" s="304"/>
      <c r="CN518" s="304"/>
      <c r="CX518" s="304"/>
      <c r="DH518" s="304"/>
    </row>
    <row r="519" spans="3:112" s="37" customFormat="1" hidden="1" x14ac:dyDescent="0.25">
      <c r="C519" s="35"/>
      <c r="L519" s="848"/>
      <c r="V519" s="304"/>
      <c r="AF519" s="304"/>
      <c r="AP519" s="304"/>
      <c r="AZ519" s="304"/>
      <c r="BJ519" s="304"/>
      <c r="BT519" s="304"/>
      <c r="CD519" s="304"/>
      <c r="CN519" s="304"/>
      <c r="CX519" s="304"/>
      <c r="DH519" s="304"/>
    </row>
    <row r="520" spans="3:112" s="37" customFormat="1" hidden="1" x14ac:dyDescent="0.25">
      <c r="C520" s="35"/>
      <c r="L520" s="848"/>
      <c r="V520" s="304"/>
      <c r="AF520" s="304"/>
      <c r="AP520" s="304"/>
      <c r="AZ520" s="304"/>
      <c r="BJ520" s="304"/>
      <c r="BT520" s="304"/>
      <c r="CD520" s="304"/>
      <c r="CN520" s="304"/>
      <c r="CX520" s="304"/>
      <c r="DH520" s="304"/>
    </row>
    <row r="521" spans="3:112" s="37" customFormat="1" hidden="1" x14ac:dyDescent="0.25">
      <c r="C521" s="35"/>
      <c r="L521" s="848"/>
      <c r="V521" s="304"/>
      <c r="AF521" s="304"/>
      <c r="AP521" s="304"/>
      <c r="AZ521" s="304"/>
      <c r="BJ521" s="304"/>
      <c r="BT521" s="304"/>
      <c r="CD521" s="304"/>
      <c r="CN521" s="304"/>
      <c r="CX521" s="304"/>
      <c r="DH521" s="304"/>
    </row>
    <row r="522" spans="3:112" s="37" customFormat="1" hidden="1" x14ac:dyDescent="0.25">
      <c r="C522" s="35"/>
      <c r="L522" s="848"/>
      <c r="V522" s="304"/>
      <c r="AF522" s="304"/>
      <c r="AP522" s="304"/>
      <c r="AZ522" s="304"/>
      <c r="BJ522" s="304"/>
      <c r="BT522" s="304"/>
      <c r="CD522" s="304"/>
      <c r="CN522" s="304"/>
      <c r="CX522" s="304"/>
      <c r="DH522" s="304"/>
    </row>
    <row r="523" spans="3:112" s="37" customFormat="1" hidden="1" x14ac:dyDescent="0.25">
      <c r="C523" s="35"/>
      <c r="L523" s="848"/>
      <c r="V523" s="304"/>
      <c r="AF523" s="304"/>
      <c r="AP523" s="304"/>
      <c r="AZ523" s="304"/>
      <c r="BJ523" s="304"/>
      <c r="BT523" s="304"/>
      <c r="CD523" s="304"/>
      <c r="CN523" s="304"/>
      <c r="CX523" s="304"/>
      <c r="DH523" s="304"/>
    </row>
    <row r="524" spans="3:112" s="37" customFormat="1" hidden="1" x14ac:dyDescent="0.25">
      <c r="C524" s="35"/>
      <c r="L524" s="848"/>
      <c r="V524" s="304"/>
      <c r="AF524" s="304"/>
      <c r="AP524" s="304"/>
      <c r="AZ524" s="304"/>
      <c r="BJ524" s="304"/>
      <c r="BT524" s="304"/>
      <c r="CD524" s="304"/>
      <c r="CN524" s="304"/>
      <c r="CX524" s="304"/>
      <c r="DH524" s="304"/>
    </row>
    <row r="525" spans="3:112" s="37" customFormat="1" hidden="1" x14ac:dyDescent="0.25">
      <c r="C525" s="35"/>
      <c r="L525" s="848"/>
      <c r="V525" s="304"/>
      <c r="AF525" s="304"/>
      <c r="AP525" s="304"/>
      <c r="AZ525" s="304"/>
      <c r="BJ525" s="304"/>
      <c r="BT525" s="304"/>
      <c r="CD525" s="304"/>
      <c r="CN525" s="304"/>
      <c r="CX525" s="304"/>
      <c r="DH525" s="304"/>
    </row>
    <row r="526" spans="3:112" s="37" customFormat="1" hidden="1" x14ac:dyDescent="0.25">
      <c r="C526" s="35"/>
      <c r="L526" s="848"/>
      <c r="V526" s="304"/>
      <c r="AF526" s="304"/>
      <c r="AP526" s="304"/>
      <c r="AZ526" s="304"/>
      <c r="BJ526" s="304"/>
      <c r="BT526" s="304"/>
      <c r="CD526" s="304"/>
      <c r="CN526" s="304"/>
      <c r="CX526" s="304"/>
      <c r="DH526" s="304"/>
    </row>
    <row r="527" spans="3:112" s="37" customFormat="1" hidden="1" x14ac:dyDescent="0.25">
      <c r="C527" s="35"/>
      <c r="L527" s="848"/>
      <c r="V527" s="304"/>
      <c r="AF527" s="304"/>
      <c r="AP527" s="304"/>
      <c r="AZ527" s="304"/>
      <c r="BJ527" s="304"/>
      <c r="BT527" s="304"/>
      <c r="CD527" s="304"/>
      <c r="CN527" s="304"/>
      <c r="CX527" s="304"/>
      <c r="DH527" s="304"/>
    </row>
    <row r="528" spans="3:112" s="37" customFormat="1" hidden="1" x14ac:dyDescent="0.25">
      <c r="C528" s="35"/>
      <c r="L528" s="848"/>
      <c r="V528" s="304"/>
      <c r="AF528" s="304"/>
      <c r="AP528" s="304"/>
      <c r="AZ528" s="304"/>
      <c r="BJ528" s="304"/>
      <c r="BT528" s="304"/>
      <c r="CD528" s="304"/>
      <c r="CN528" s="304"/>
      <c r="CX528" s="304"/>
      <c r="DH528" s="304"/>
    </row>
    <row r="529" spans="3:112" s="37" customFormat="1" hidden="1" x14ac:dyDescent="0.25">
      <c r="C529" s="35"/>
      <c r="L529" s="848"/>
      <c r="V529" s="304"/>
      <c r="AF529" s="304"/>
      <c r="AP529" s="304"/>
      <c r="AZ529" s="304"/>
      <c r="BJ529" s="304"/>
      <c r="BT529" s="304"/>
      <c r="CD529" s="304"/>
      <c r="CN529" s="304"/>
      <c r="CX529" s="304"/>
      <c r="DH529" s="304"/>
    </row>
    <row r="530" spans="3:112" s="37" customFormat="1" hidden="1" x14ac:dyDescent="0.25">
      <c r="C530" s="35"/>
      <c r="L530" s="848"/>
      <c r="V530" s="304"/>
      <c r="AF530" s="304"/>
      <c r="AP530" s="304"/>
      <c r="AZ530" s="304"/>
      <c r="BJ530" s="304"/>
      <c r="BT530" s="304"/>
      <c r="CD530" s="304"/>
      <c r="CN530" s="304"/>
      <c r="CX530" s="304"/>
      <c r="DH530" s="304"/>
    </row>
    <row r="531" spans="3:112" s="37" customFormat="1" hidden="1" x14ac:dyDescent="0.25">
      <c r="C531" s="35"/>
      <c r="L531" s="848"/>
      <c r="V531" s="304"/>
      <c r="AF531" s="304"/>
      <c r="AP531" s="304"/>
      <c r="AZ531" s="304"/>
      <c r="BJ531" s="304"/>
      <c r="BT531" s="304"/>
      <c r="CD531" s="304"/>
      <c r="CN531" s="304"/>
      <c r="CX531" s="304"/>
      <c r="DH531" s="304"/>
    </row>
    <row r="532" spans="3:112" s="37" customFormat="1" hidden="1" x14ac:dyDescent="0.25">
      <c r="C532" s="35"/>
      <c r="L532" s="848"/>
      <c r="V532" s="304"/>
      <c r="AF532" s="304"/>
      <c r="AP532" s="304"/>
      <c r="AZ532" s="304"/>
      <c r="BJ532" s="304"/>
      <c r="BT532" s="304"/>
      <c r="CD532" s="304"/>
      <c r="CN532" s="304"/>
      <c r="CX532" s="304"/>
      <c r="DH532" s="304"/>
    </row>
    <row r="533" spans="3:112" s="37" customFormat="1" hidden="1" x14ac:dyDescent="0.25">
      <c r="C533" s="35"/>
      <c r="L533" s="848"/>
      <c r="V533" s="304"/>
      <c r="AF533" s="304"/>
      <c r="AP533" s="304"/>
      <c r="AZ533" s="304"/>
      <c r="BJ533" s="304"/>
      <c r="BT533" s="304"/>
      <c r="CD533" s="304"/>
      <c r="CN533" s="304"/>
      <c r="CX533" s="304"/>
      <c r="DH533" s="304"/>
    </row>
    <row r="534" spans="3:112" s="37" customFormat="1" hidden="1" x14ac:dyDescent="0.25">
      <c r="C534" s="35"/>
      <c r="L534" s="848"/>
      <c r="V534" s="304"/>
      <c r="AF534" s="304"/>
      <c r="AP534" s="304"/>
      <c r="AZ534" s="304"/>
      <c r="BJ534" s="304"/>
      <c r="BT534" s="304"/>
      <c r="CD534" s="304"/>
      <c r="CN534" s="304"/>
      <c r="CX534" s="304"/>
      <c r="DH534" s="304"/>
    </row>
    <row r="535" spans="3:112" s="37" customFormat="1" hidden="1" x14ac:dyDescent="0.25">
      <c r="C535" s="35"/>
      <c r="L535" s="848"/>
      <c r="V535" s="304"/>
      <c r="AF535" s="304"/>
      <c r="AP535" s="304"/>
      <c r="AZ535" s="304"/>
      <c r="BJ535" s="304"/>
      <c r="BT535" s="304"/>
      <c r="CD535" s="304"/>
      <c r="CN535" s="304"/>
      <c r="CX535" s="304"/>
      <c r="DH535" s="304"/>
    </row>
    <row r="536" spans="3:112" s="37" customFormat="1" hidden="1" x14ac:dyDescent="0.25">
      <c r="C536" s="35"/>
      <c r="L536" s="848"/>
      <c r="V536" s="304"/>
      <c r="AF536" s="304"/>
      <c r="AP536" s="304"/>
      <c r="AZ536" s="304"/>
      <c r="BJ536" s="304"/>
      <c r="BT536" s="304"/>
      <c r="CD536" s="304"/>
      <c r="CN536" s="304"/>
      <c r="CX536" s="304"/>
      <c r="DH536" s="304"/>
    </row>
    <row r="537" spans="3:112" s="37" customFormat="1" hidden="1" x14ac:dyDescent="0.25">
      <c r="C537" s="35"/>
      <c r="L537" s="848"/>
      <c r="V537" s="304"/>
      <c r="AF537" s="304"/>
      <c r="AP537" s="304"/>
      <c r="AZ537" s="304"/>
      <c r="BJ537" s="304"/>
      <c r="BT537" s="304"/>
      <c r="CD537" s="304"/>
      <c r="CN537" s="304"/>
      <c r="CX537" s="304"/>
      <c r="DH537" s="304"/>
    </row>
    <row r="538" spans="3:112" s="37" customFormat="1" hidden="1" x14ac:dyDescent="0.25">
      <c r="C538" s="35"/>
      <c r="L538" s="848"/>
      <c r="V538" s="304"/>
      <c r="AF538" s="304"/>
      <c r="AP538" s="304"/>
      <c r="AZ538" s="304"/>
      <c r="BJ538" s="304"/>
      <c r="BT538" s="304"/>
      <c r="CD538" s="304"/>
      <c r="CN538" s="304"/>
      <c r="CX538" s="304"/>
      <c r="DH538" s="304"/>
    </row>
    <row r="539" spans="3:112" s="37" customFormat="1" hidden="1" x14ac:dyDescent="0.25">
      <c r="C539" s="35"/>
      <c r="L539" s="848"/>
      <c r="V539" s="304"/>
      <c r="AF539" s="304"/>
      <c r="AP539" s="304"/>
      <c r="AZ539" s="304"/>
      <c r="BJ539" s="304"/>
      <c r="BT539" s="304"/>
      <c r="CD539" s="304"/>
      <c r="CN539" s="304"/>
      <c r="CX539" s="304"/>
      <c r="DH539" s="304"/>
    </row>
    <row r="540" spans="3:112" s="37" customFormat="1" hidden="1" x14ac:dyDescent="0.25">
      <c r="C540" s="35"/>
      <c r="L540" s="848"/>
      <c r="V540" s="304"/>
      <c r="AF540" s="304"/>
      <c r="AP540" s="304"/>
      <c r="AZ540" s="304"/>
      <c r="BJ540" s="304"/>
      <c r="BT540" s="304"/>
      <c r="CD540" s="304"/>
      <c r="CN540" s="304"/>
      <c r="CX540" s="304"/>
      <c r="DH540" s="304"/>
    </row>
    <row r="541" spans="3:112" s="37" customFormat="1" hidden="1" x14ac:dyDescent="0.25">
      <c r="C541" s="35"/>
      <c r="L541" s="848"/>
      <c r="V541" s="304"/>
      <c r="AF541" s="304"/>
      <c r="AP541" s="304"/>
      <c r="AZ541" s="304"/>
      <c r="BJ541" s="304"/>
      <c r="BT541" s="304"/>
      <c r="CD541" s="304"/>
      <c r="CN541" s="304"/>
      <c r="CX541" s="304"/>
      <c r="DH541" s="304"/>
    </row>
    <row r="542" spans="3:112" s="37" customFormat="1" hidden="1" x14ac:dyDescent="0.25">
      <c r="C542" s="35"/>
      <c r="L542" s="848"/>
      <c r="V542" s="304"/>
      <c r="AF542" s="304"/>
      <c r="AP542" s="304"/>
      <c r="AZ542" s="304"/>
      <c r="BJ542" s="304"/>
      <c r="BT542" s="304"/>
      <c r="CD542" s="304"/>
      <c r="CN542" s="304"/>
      <c r="CX542" s="304"/>
      <c r="DH542" s="304"/>
    </row>
    <row r="543" spans="3:112" s="37" customFormat="1" hidden="1" x14ac:dyDescent="0.25">
      <c r="C543" s="35"/>
      <c r="L543" s="848"/>
      <c r="V543" s="304"/>
      <c r="AF543" s="304"/>
      <c r="AP543" s="304"/>
      <c r="AZ543" s="304"/>
      <c r="BJ543" s="304"/>
      <c r="BT543" s="304"/>
      <c r="CD543" s="304"/>
      <c r="CN543" s="304"/>
      <c r="CX543" s="304"/>
      <c r="DH543" s="304"/>
    </row>
    <row r="544" spans="3:112" s="37" customFormat="1" hidden="1" x14ac:dyDescent="0.25">
      <c r="C544" s="35"/>
      <c r="L544" s="848"/>
      <c r="V544" s="304"/>
      <c r="AF544" s="304"/>
      <c r="AP544" s="304"/>
      <c r="AZ544" s="304"/>
      <c r="BJ544" s="304"/>
      <c r="BT544" s="304"/>
      <c r="CD544" s="304"/>
      <c r="CN544" s="304"/>
      <c r="CX544" s="304"/>
      <c r="DH544" s="304"/>
    </row>
    <row r="545" spans="3:112" s="37" customFormat="1" hidden="1" x14ac:dyDescent="0.25">
      <c r="C545" s="35"/>
      <c r="L545" s="848"/>
      <c r="V545" s="304"/>
      <c r="AF545" s="304"/>
      <c r="AP545" s="304"/>
      <c r="AZ545" s="304"/>
      <c r="BJ545" s="304"/>
      <c r="BT545" s="304"/>
      <c r="CD545" s="304"/>
      <c r="CN545" s="304"/>
      <c r="CX545" s="304"/>
      <c r="DH545" s="304"/>
    </row>
    <row r="546" spans="3:112" s="37" customFormat="1" hidden="1" x14ac:dyDescent="0.25">
      <c r="C546" s="35"/>
      <c r="L546" s="848"/>
      <c r="V546" s="304"/>
      <c r="AF546" s="304"/>
      <c r="AP546" s="304"/>
      <c r="AZ546" s="304"/>
      <c r="BJ546" s="304"/>
      <c r="BT546" s="304"/>
      <c r="CD546" s="304"/>
      <c r="CN546" s="304"/>
      <c r="CX546" s="304"/>
      <c r="DH546" s="304"/>
    </row>
    <row r="547" spans="3:112" s="37" customFormat="1" hidden="1" x14ac:dyDescent="0.25">
      <c r="C547" s="35"/>
      <c r="L547" s="848"/>
      <c r="V547" s="304"/>
      <c r="AF547" s="304"/>
      <c r="AP547" s="304"/>
      <c r="AZ547" s="304"/>
      <c r="BJ547" s="304"/>
      <c r="BT547" s="304"/>
      <c r="CD547" s="304"/>
      <c r="CN547" s="304"/>
      <c r="CX547" s="304"/>
      <c r="DH547" s="304"/>
    </row>
    <row r="548" spans="3:112" s="37" customFormat="1" hidden="1" x14ac:dyDescent="0.25">
      <c r="C548" s="35"/>
      <c r="L548" s="848"/>
      <c r="V548" s="304"/>
      <c r="AF548" s="304"/>
      <c r="AP548" s="304"/>
      <c r="AZ548" s="304"/>
      <c r="BJ548" s="304"/>
      <c r="BT548" s="304"/>
      <c r="CD548" s="304"/>
      <c r="CN548" s="304"/>
      <c r="CX548" s="304"/>
      <c r="DH548" s="304"/>
    </row>
    <row r="549" spans="3:112" s="37" customFormat="1" hidden="1" x14ac:dyDescent="0.25">
      <c r="C549" s="35"/>
      <c r="L549" s="848"/>
      <c r="V549" s="304"/>
      <c r="AF549" s="304"/>
      <c r="AP549" s="304"/>
      <c r="AZ549" s="304"/>
      <c r="BJ549" s="304"/>
      <c r="BT549" s="304"/>
      <c r="CD549" s="304"/>
      <c r="CN549" s="304"/>
      <c r="CX549" s="304"/>
      <c r="DH549" s="304"/>
    </row>
    <row r="550" spans="3:112" s="37" customFormat="1" hidden="1" x14ac:dyDescent="0.25">
      <c r="C550" s="35"/>
      <c r="L550" s="848"/>
      <c r="V550" s="304"/>
      <c r="AF550" s="304"/>
      <c r="AP550" s="304"/>
      <c r="AZ550" s="304"/>
      <c r="BJ550" s="304"/>
      <c r="BT550" s="304"/>
      <c r="CD550" s="304"/>
      <c r="CN550" s="304"/>
      <c r="CX550" s="304"/>
      <c r="DH550" s="304"/>
    </row>
    <row r="551" spans="3:112" s="37" customFormat="1" hidden="1" x14ac:dyDescent="0.25">
      <c r="C551" s="35"/>
      <c r="L551" s="848"/>
      <c r="V551" s="304"/>
      <c r="AF551" s="304"/>
      <c r="AP551" s="304"/>
      <c r="AZ551" s="304"/>
      <c r="BJ551" s="304"/>
      <c r="BT551" s="304"/>
      <c r="CD551" s="304"/>
      <c r="CN551" s="304"/>
      <c r="CX551" s="304"/>
      <c r="DH551" s="304"/>
    </row>
    <row r="552" spans="3:112" s="37" customFormat="1" hidden="1" x14ac:dyDescent="0.25">
      <c r="C552" s="35"/>
      <c r="L552" s="848"/>
      <c r="V552" s="304"/>
      <c r="AF552" s="304"/>
      <c r="AP552" s="304"/>
      <c r="AZ552" s="304"/>
      <c r="BJ552" s="304"/>
      <c r="BT552" s="304"/>
      <c r="CD552" s="304"/>
      <c r="CN552" s="304"/>
      <c r="CX552" s="304"/>
      <c r="DH552" s="304"/>
    </row>
    <row r="553" spans="3:112" s="37" customFormat="1" hidden="1" x14ac:dyDescent="0.25">
      <c r="C553" s="35"/>
      <c r="L553" s="848"/>
      <c r="V553" s="304"/>
      <c r="AF553" s="304"/>
      <c r="AP553" s="304"/>
      <c r="AZ553" s="304"/>
      <c r="BJ553" s="304"/>
      <c r="BT553" s="304"/>
      <c r="CD553" s="304"/>
      <c r="CN553" s="304"/>
      <c r="CX553" s="304"/>
      <c r="DH553" s="304"/>
    </row>
    <row r="554" spans="3:112" s="37" customFormat="1" hidden="1" x14ac:dyDescent="0.25">
      <c r="C554" s="35"/>
      <c r="L554" s="848"/>
      <c r="V554" s="304"/>
      <c r="AF554" s="304"/>
      <c r="AP554" s="304"/>
      <c r="AZ554" s="304"/>
      <c r="BJ554" s="304"/>
      <c r="BT554" s="304"/>
      <c r="CD554" s="304"/>
      <c r="CN554" s="304"/>
      <c r="CX554" s="304"/>
      <c r="DH554" s="304"/>
    </row>
    <row r="555" spans="3:112" s="37" customFormat="1" hidden="1" x14ac:dyDescent="0.25">
      <c r="C555" s="35"/>
      <c r="L555" s="848"/>
      <c r="V555" s="304"/>
      <c r="AF555" s="304"/>
      <c r="AP555" s="304"/>
      <c r="AZ555" s="304"/>
      <c r="BJ555" s="304"/>
      <c r="BT555" s="304"/>
      <c r="CD555" s="304"/>
      <c r="CN555" s="304"/>
      <c r="CX555" s="304"/>
      <c r="DH555" s="304"/>
    </row>
    <row r="556" spans="3:112" s="37" customFormat="1" hidden="1" x14ac:dyDescent="0.25">
      <c r="C556" s="35"/>
      <c r="L556" s="848"/>
      <c r="V556" s="304"/>
      <c r="AF556" s="304"/>
      <c r="AP556" s="304"/>
      <c r="AZ556" s="304"/>
      <c r="BJ556" s="304"/>
      <c r="BT556" s="304"/>
      <c r="CD556" s="304"/>
      <c r="CN556" s="304"/>
      <c r="CX556" s="304"/>
      <c r="DH556" s="304"/>
    </row>
    <row r="557" spans="3:112" s="37" customFormat="1" hidden="1" x14ac:dyDescent="0.25">
      <c r="C557" s="35"/>
      <c r="L557" s="848"/>
      <c r="V557" s="304"/>
      <c r="AF557" s="304"/>
      <c r="AP557" s="304"/>
      <c r="AZ557" s="304"/>
      <c r="BJ557" s="304"/>
      <c r="BT557" s="304"/>
      <c r="CD557" s="304"/>
      <c r="CN557" s="304"/>
      <c r="CX557" s="304"/>
      <c r="DH557" s="304"/>
    </row>
    <row r="558" spans="3:112" s="37" customFormat="1" hidden="1" x14ac:dyDescent="0.25">
      <c r="C558" s="35"/>
      <c r="L558" s="848"/>
      <c r="V558" s="304"/>
      <c r="AF558" s="304"/>
      <c r="AP558" s="304"/>
      <c r="AZ558" s="304"/>
      <c r="BJ558" s="304"/>
      <c r="BT558" s="304"/>
      <c r="CD558" s="304"/>
      <c r="CN558" s="304"/>
      <c r="CX558" s="304"/>
      <c r="DH558" s="304"/>
    </row>
    <row r="559" spans="3:112" s="37" customFormat="1" hidden="1" x14ac:dyDescent="0.25">
      <c r="C559" s="35"/>
      <c r="L559" s="848"/>
      <c r="V559" s="304"/>
      <c r="AF559" s="304"/>
      <c r="AP559" s="304"/>
      <c r="AZ559" s="304"/>
      <c r="BJ559" s="304"/>
      <c r="BT559" s="304"/>
      <c r="CD559" s="304"/>
      <c r="CN559" s="304"/>
      <c r="CX559" s="304"/>
      <c r="DH559" s="304"/>
    </row>
    <row r="560" spans="3:112" s="37" customFormat="1" hidden="1" x14ac:dyDescent="0.25">
      <c r="C560" s="35"/>
      <c r="L560" s="848"/>
      <c r="V560" s="304"/>
      <c r="AF560" s="304"/>
      <c r="AP560" s="304"/>
      <c r="AZ560" s="304"/>
      <c r="BJ560" s="304"/>
      <c r="BT560" s="304"/>
      <c r="CD560" s="304"/>
      <c r="CN560" s="304"/>
      <c r="CX560" s="304"/>
      <c r="DH560" s="304"/>
    </row>
    <row r="561" spans="3:112" s="37" customFormat="1" hidden="1" x14ac:dyDescent="0.25">
      <c r="C561" s="35"/>
      <c r="L561" s="848"/>
      <c r="V561" s="304"/>
      <c r="AF561" s="304"/>
      <c r="AP561" s="304"/>
      <c r="AZ561" s="304"/>
      <c r="BJ561" s="304"/>
      <c r="BT561" s="304"/>
      <c r="CD561" s="304"/>
      <c r="CN561" s="304"/>
      <c r="CX561" s="304"/>
      <c r="DH561" s="304"/>
    </row>
    <row r="562" spans="3:112" s="37" customFormat="1" hidden="1" x14ac:dyDescent="0.25">
      <c r="C562" s="35"/>
      <c r="L562" s="848"/>
      <c r="V562" s="304"/>
      <c r="AF562" s="304"/>
      <c r="AP562" s="304"/>
      <c r="AZ562" s="304"/>
      <c r="BJ562" s="304"/>
      <c r="BT562" s="304"/>
      <c r="CD562" s="304"/>
      <c r="CN562" s="304"/>
      <c r="CX562" s="304"/>
      <c r="DH562" s="304"/>
    </row>
    <row r="563" spans="3:112" s="37" customFormat="1" hidden="1" x14ac:dyDescent="0.25">
      <c r="C563" s="35"/>
      <c r="L563" s="848"/>
      <c r="V563" s="304"/>
      <c r="AF563" s="304"/>
      <c r="AP563" s="304"/>
      <c r="AZ563" s="304"/>
      <c r="BJ563" s="304"/>
      <c r="BT563" s="304"/>
      <c r="CD563" s="304"/>
      <c r="CN563" s="304"/>
      <c r="CX563" s="304"/>
      <c r="DH563" s="304"/>
    </row>
    <row r="564" spans="3:112" s="37" customFormat="1" hidden="1" x14ac:dyDescent="0.25">
      <c r="C564" s="35"/>
      <c r="L564" s="848"/>
      <c r="V564" s="304"/>
      <c r="AF564" s="304"/>
      <c r="AP564" s="304"/>
      <c r="AZ564" s="304"/>
      <c r="BJ564" s="304"/>
      <c r="BT564" s="304"/>
      <c r="CD564" s="304"/>
      <c r="CN564" s="304"/>
      <c r="CX564" s="304"/>
      <c r="DH564" s="304"/>
    </row>
    <row r="565" spans="3:112" s="37" customFormat="1" hidden="1" x14ac:dyDescent="0.25">
      <c r="C565" s="35"/>
      <c r="L565" s="848"/>
      <c r="V565" s="304"/>
      <c r="AF565" s="304"/>
      <c r="AP565" s="304"/>
      <c r="AZ565" s="304"/>
      <c r="BJ565" s="304"/>
      <c r="BT565" s="304"/>
      <c r="CD565" s="304"/>
      <c r="CN565" s="304"/>
      <c r="CX565" s="304"/>
      <c r="DH565" s="304"/>
    </row>
    <row r="566" spans="3:112" s="37" customFormat="1" hidden="1" x14ac:dyDescent="0.25">
      <c r="C566" s="35"/>
      <c r="L566" s="848"/>
      <c r="V566" s="304"/>
      <c r="AF566" s="304"/>
      <c r="AP566" s="304"/>
      <c r="AZ566" s="304"/>
      <c r="BJ566" s="304"/>
      <c r="BT566" s="304"/>
      <c r="CD566" s="304"/>
      <c r="CN566" s="304"/>
      <c r="CX566" s="304"/>
      <c r="DH566" s="304"/>
    </row>
    <row r="567" spans="3:112" s="37" customFormat="1" hidden="1" x14ac:dyDescent="0.25">
      <c r="C567" s="35"/>
      <c r="L567" s="848"/>
      <c r="V567" s="304"/>
      <c r="AF567" s="304"/>
      <c r="AP567" s="304"/>
      <c r="AZ567" s="304"/>
      <c r="BJ567" s="304"/>
      <c r="BT567" s="304"/>
      <c r="CD567" s="304"/>
      <c r="CN567" s="304"/>
      <c r="CX567" s="304"/>
      <c r="DH567" s="304"/>
    </row>
    <row r="568" spans="3:112" s="37" customFormat="1" hidden="1" x14ac:dyDescent="0.25">
      <c r="C568" s="35"/>
      <c r="L568" s="848"/>
      <c r="V568" s="304"/>
      <c r="AF568" s="304"/>
      <c r="AP568" s="304"/>
      <c r="AZ568" s="304"/>
      <c r="BJ568" s="304"/>
      <c r="BT568" s="304"/>
      <c r="CD568" s="304"/>
      <c r="CN568" s="304"/>
      <c r="CX568" s="304"/>
      <c r="DH568" s="304"/>
    </row>
    <row r="569" spans="3:112" s="37" customFormat="1" hidden="1" x14ac:dyDescent="0.25">
      <c r="C569" s="35"/>
      <c r="L569" s="848"/>
      <c r="V569" s="304"/>
      <c r="AF569" s="304"/>
      <c r="AP569" s="304"/>
      <c r="AZ569" s="304"/>
      <c r="BJ569" s="304"/>
      <c r="BT569" s="304"/>
      <c r="CD569" s="304"/>
      <c r="CN569" s="304"/>
      <c r="CX569" s="304"/>
      <c r="DH569" s="304"/>
    </row>
    <row r="570" spans="3:112" s="37" customFormat="1" hidden="1" x14ac:dyDescent="0.25">
      <c r="C570" s="35"/>
      <c r="L570" s="848"/>
      <c r="V570" s="304"/>
      <c r="AF570" s="304"/>
      <c r="AP570" s="304"/>
      <c r="AZ570" s="304"/>
      <c r="BJ570" s="304"/>
      <c r="BT570" s="304"/>
      <c r="CD570" s="304"/>
      <c r="CN570" s="304"/>
      <c r="CX570" s="304"/>
      <c r="DH570" s="304"/>
    </row>
    <row r="571" spans="3:112" s="37" customFormat="1" hidden="1" x14ac:dyDescent="0.25">
      <c r="C571" s="35"/>
      <c r="L571" s="848"/>
      <c r="V571" s="304"/>
      <c r="AF571" s="304"/>
      <c r="AP571" s="304"/>
      <c r="AZ571" s="304"/>
      <c r="BJ571" s="304"/>
      <c r="BT571" s="304"/>
      <c r="CD571" s="304"/>
      <c r="CN571" s="304"/>
      <c r="CX571" s="304"/>
      <c r="DH571" s="304"/>
    </row>
    <row r="572" spans="3:112" s="37" customFormat="1" hidden="1" x14ac:dyDescent="0.25">
      <c r="C572" s="35"/>
      <c r="L572" s="848"/>
      <c r="V572" s="304"/>
      <c r="AF572" s="304"/>
      <c r="AP572" s="304"/>
      <c r="AZ572" s="304"/>
      <c r="BJ572" s="304"/>
      <c r="BT572" s="304"/>
      <c r="CD572" s="304"/>
      <c r="CN572" s="304"/>
      <c r="CX572" s="304"/>
      <c r="DH572" s="304"/>
    </row>
    <row r="573" spans="3:112" s="37" customFormat="1" hidden="1" x14ac:dyDescent="0.25">
      <c r="C573" s="35"/>
      <c r="L573" s="848"/>
      <c r="V573" s="304"/>
      <c r="AF573" s="304"/>
      <c r="AP573" s="304"/>
      <c r="AZ573" s="304"/>
      <c r="BJ573" s="304"/>
      <c r="BT573" s="304"/>
      <c r="CD573" s="304"/>
      <c r="CN573" s="304"/>
      <c r="CX573" s="304"/>
      <c r="DH573" s="304"/>
    </row>
    <row r="574" spans="3:112" s="37" customFormat="1" hidden="1" x14ac:dyDescent="0.25">
      <c r="C574" s="35"/>
      <c r="L574" s="848"/>
      <c r="V574" s="304"/>
      <c r="AF574" s="304"/>
      <c r="AP574" s="304"/>
      <c r="AZ574" s="304"/>
      <c r="BJ574" s="304"/>
      <c r="BT574" s="304"/>
      <c r="CD574" s="304"/>
      <c r="CN574" s="304"/>
      <c r="CX574" s="304"/>
      <c r="DH574" s="304"/>
    </row>
    <row r="575" spans="3:112" s="37" customFormat="1" hidden="1" x14ac:dyDescent="0.25">
      <c r="C575" s="35"/>
      <c r="L575" s="848"/>
      <c r="V575" s="304"/>
      <c r="AF575" s="304"/>
      <c r="AP575" s="304"/>
      <c r="AZ575" s="304"/>
      <c r="BJ575" s="304"/>
      <c r="BT575" s="304"/>
      <c r="CD575" s="304"/>
      <c r="CN575" s="304"/>
      <c r="CX575" s="304"/>
      <c r="DH575" s="304"/>
    </row>
    <row r="576" spans="3:112" s="37" customFormat="1" hidden="1" x14ac:dyDescent="0.25">
      <c r="C576" s="35"/>
      <c r="L576" s="848"/>
      <c r="V576" s="304"/>
      <c r="AF576" s="304"/>
      <c r="AP576" s="304"/>
      <c r="AZ576" s="304"/>
      <c r="BJ576" s="304"/>
      <c r="BT576" s="304"/>
      <c r="CD576" s="304"/>
      <c r="CN576" s="304"/>
      <c r="CX576" s="304"/>
      <c r="DH576" s="304"/>
    </row>
    <row r="577" spans="3:112" s="37" customFormat="1" hidden="1" x14ac:dyDescent="0.25">
      <c r="C577" s="35"/>
      <c r="L577" s="848"/>
      <c r="V577" s="304"/>
      <c r="AF577" s="304"/>
      <c r="AP577" s="304"/>
      <c r="AZ577" s="304"/>
      <c r="BJ577" s="304"/>
      <c r="BT577" s="304"/>
      <c r="CD577" s="304"/>
      <c r="CN577" s="304"/>
      <c r="CX577" s="304"/>
      <c r="DH577" s="304"/>
    </row>
    <row r="578" spans="3:112" s="37" customFormat="1" hidden="1" x14ac:dyDescent="0.25">
      <c r="C578" s="35"/>
      <c r="L578" s="848"/>
      <c r="V578" s="304"/>
      <c r="AF578" s="304"/>
      <c r="AP578" s="304"/>
      <c r="AZ578" s="304"/>
      <c r="BJ578" s="304"/>
      <c r="BT578" s="304"/>
      <c r="CD578" s="304"/>
      <c r="CN578" s="304"/>
      <c r="CX578" s="304"/>
      <c r="DH578" s="304"/>
    </row>
    <row r="579" spans="3:112" s="37" customFormat="1" hidden="1" x14ac:dyDescent="0.25">
      <c r="C579" s="35"/>
      <c r="L579" s="848"/>
      <c r="V579" s="304"/>
      <c r="AF579" s="304"/>
      <c r="AP579" s="304"/>
      <c r="AZ579" s="304"/>
      <c r="BJ579" s="304"/>
      <c r="BT579" s="304"/>
      <c r="CD579" s="304"/>
      <c r="CN579" s="304"/>
      <c r="CX579" s="304"/>
      <c r="DH579" s="304"/>
    </row>
    <row r="580" spans="3:112" s="37" customFormat="1" hidden="1" x14ac:dyDescent="0.25">
      <c r="C580" s="35"/>
      <c r="L580" s="848"/>
      <c r="V580" s="304"/>
      <c r="AF580" s="304"/>
      <c r="AP580" s="304"/>
      <c r="AZ580" s="304"/>
      <c r="BJ580" s="304"/>
      <c r="BT580" s="304"/>
      <c r="CD580" s="304"/>
      <c r="CN580" s="304"/>
      <c r="CX580" s="304"/>
      <c r="DH580" s="304"/>
    </row>
    <row r="581" spans="3:112" s="37" customFormat="1" hidden="1" x14ac:dyDescent="0.25">
      <c r="C581" s="35"/>
      <c r="L581" s="848"/>
      <c r="V581" s="304"/>
      <c r="AF581" s="304"/>
      <c r="AP581" s="304"/>
      <c r="AZ581" s="304"/>
      <c r="BJ581" s="304"/>
      <c r="BT581" s="304"/>
      <c r="CD581" s="304"/>
      <c r="CN581" s="304"/>
      <c r="CX581" s="304"/>
      <c r="DH581" s="304"/>
    </row>
    <row r="582" spans="3:112" s="37" customFormat="1" hidden="1" x14ac:dyDescent="0.25">
      <c r="C582" s="35"/>
      <c r="L582" s="848"/>
      <c r="V582" s="304"/>
      <c r="AF582" s="304"/>
      <c r="AP582" s="304"/>
      <c r="AZ582" s="304"/>
      <c r="BJ582" s="304"/>
      <c r="BT582" s="304"/>
      <c r="CD582" s="304"/>
      <c r="CN582" s="304"/>
      <c r="CX582" s="304"/>
      <c r="DH582" s="304"/>
    </row>
    <row r="583" spans="3:112" s="37" customFormat="1" hidden="1" x14ac:dyDescent="0.25">
      <c r="C583" s="35"/>
      <c r="L583" s="848"/>
      <c r="V583" s="304"/>
      <c r="AF583" s="304"/>
      <c r="AP583" s="304"/>
      <c r="AZ583" s="304"/>
      <c r="BJ583" s="304"/>
      <c r="BT583" s="304"/>
      <c r="CD583" s="304"/>
      <c r="CN583" s="304"/>
      <c r="CX583" s="304"/>
      <c r="DH583" s="304"/>
    </row>
    <row r="584" spans="3:112" s="37" customFormat="1" hidden="1" x14ac:dyDescent="0.25">
      <c r="C584" s="35"/>
      <c r="L584" s="848"/>
      <c r="V584" s="304"/>
      <c r="AF584" s="304"/>
      <c r="AP584" s="304"/>
      <c r="AZ584" s="304"/>
      <c r="BJ584" s="304"/>
      <c r="BT584" s="304"/>
      <c r="CD584" s="304"/>
      <c r="CN584" s="304"/>
      <c r="CX584" s="304"/>
      <c r="DH584" s="304"/>
    </row>
    <row r="585" spans="3:112" s="37" customFormat="1" hidden="1" x14ac:dyDescent="0.25">
      <c r="C585" s="35"/>
      <c r="L585" s="848"/>
      <c r="V585" s="304"/>
      <c r="AF585" s="304"/>
      <c r="AP585" s="304"/>
      <c r="AZ585" s="304"/>
      <c r="BJ585" s="304"/>
      <c r="BT585" s="304"/>
      <c r="CD585" s="304"/>
      <c r="CN585" s="304"/>
      <c r="CX585" s="304"/>
      <c r="DH585" s="304"/>
    </row>
    <row r="586" spans="3:112" s="37" customFormat="1" hidden="1" x14ac:dyDescent="0.25">
      <c r="C586" s="35"/>
      <c r="L586" s="848"/>
      <c r="V586" s="304"/>
      <c r="AF586" s="304"/>
      <c r="AP586" s="304"/>
      <c r="AZ586" s="304"/>
      <c r="BJ586" s="304"/>
      <c r="BT586" s="304"/>
      <c r="CD586" s="304"/>
      <c r="CN586" s="304"/>
      <c r="CX586" s="304"/>
      <c r="DH586" s="304"/>
    </row>
    <row r="587" spans="3:112" s="37" customFormat="1" hidden="1" x14ac:dyDescent="0.25">
      <c r="C587" s="35"/>
      <c r="L587" s="848"/>
      <c r="V587" s="304"/>
      <c r="AF587" s="304"/>
      <c r="AP587" s="304"/>
      <c r="AZ587" s="304"/>
      <c r="BJ587" s="304"/>
      <c r="BT587" s="304"/>
      <c r="CD587" s="304"/>
      <c r="CN587" s="304"/>
      <c r="CX587" s="304"/>
      <c r="DH587" s="304"/>
    </row>
    <row r="588" spans="3:112" s="37" customFormat="1" hidden="1" x14ac:dyDescent="0.25">
      <c r="C588" s="35"/>
      <c r="L588" s="848"/>
      <c r="V588" s="304"/>
      <c r="AF588" s="304"/>
      <c r="AP588" s="304"/>
      <c r="AZ588" s="304"/>
      <c r="BJ588" s="304"/>
      <c r="BT588" s="304"/>
      <c r="CD588" s="304"/>
      <c r="CN588" s="304"/>
      <c r="CX588" s="304"/>
      <c r="DH588" s="304"/>
    </row>
    <row r="589" spans="3:112" s="37" customFormat="1" hidden="1" x14ac:dyDescent="0.25">
      <c r="C589" s="35"/>
      <c r="L589" s="848"/>
      <c r="V589" s="304"/>
      <c r="AF589" s="304"/>
      <c r="AP589" s="304"/>
      <c r="AZ589" s="304"/>
      <c r="BJ589" s="304"/>
      <c r="BT589" s="304"/>
      <c r="CD589" s="304"/>
      <c r="CN589" s="304"/>
      <c r="CX589" s="304"/>
      <c r="DH589" s="304"/>
    </row>
    <row r="590" spans="3:112" s="37" customFormat="1" hidden="1" x14ac:dyDescent="0.25">
      <c r="C590" s="35"/>
      <c r="L590" s="848"/>
      <c r="V590" s="304"/>
      <c r="AF590" s="304"/>
      <c r="AP590" s="304"/>
      <c r="AZ590" s="304"/>
      <c r="BJ590" s="304"/>
      <c r="BT590" s="304"/>
      <c r="CD590" s="304"/>
      <c r="CN590" s="304"/>
      <c r="CX590" s="304"/>
      <c r="DH590" s="304"/>
    </row>
    <row r="591" spans="3:112" s="37" customFormat="1" hidden="1" x14ac:dyDescent="0.25">
      <c r="C591" s="35"/>
      <c r="L591" s="848"/>
      <c r="V591" s="304"/>
      <c r="AF591" s="304"/>
      <c r="AP591" s="304"/>
      <c r="AZ591" s="304"/>
      <c r="BJ591" s="304"/>
      <c r="BT591" s="304"/>
      <c r="CD591" s="304"/>
      <c r="CN591" s="304"/>
      <c r="CX591" s="304"/>
      <c r="DH591" s="304"/>
    </row>
    <row r="592" spans="3:112" s="37" customFormat="1" hidden="1" x14ac:dyDescent="0.25">
      <c r="C592" s="35"/>
      <c r="L592" s="848"/>
      <c r="V592" s="304"/>
      <c r="AF592" s="304"/>
      <c r="AP592" s="304"/>
      <c r="AZ592" s="304"/>
      <c r="BJ592" s="304"/>
      <c r="BT592" s="304"/>
      <c r="CD592" s="304"/>
      <c r="CN592" s="304"/>
      <c r="CX592" s="304"/>
      <c r="DH592" s="304"/>
    </row>
    <row r="593" spans="3:112" s="37" customFormat="1" hidden="1" x14ac:dyDescent="0.25">
      <c r="C593" s="35"/>
      <c r="L593" s="848"/>
      <c r="V593" s="304"/>
      <c r="AF593" s="304"/>
      <c r="AP593" s="304"/>
      <c r="AZ593" s="304"/>
      <c r="BJ593" s="304"/>
      <c r="BT593" s="304"/>
      <c r="CD593" s="304"/>
      <c r="CN593" s="304"/>
      <c r="CX593" s="304"/>
      <c r="DH593" s="304"/>
    </row>
    <row r="594" spans="3:112" s="37" customFormat="1" hidden="1" x14ac:dyDescent="0.25">
      <c r="C594" s="35"/>
      <c r="L594" s="848"/>
      <c r="V594" s="304"/>
      <c r="AF594" s="304"/>
      <c r="AP594" s="304"/>
      <c r="AZ594" s="304"/>
      <c r="BJ594" s="304"/>
      <c r="BT594" s="304"/>
      <c r="CD594" s="304"/>
      <c r="CN594" s="304"/>
      <c r="CX594" s="304"/>
      <c r="DH594" s="304"/>
    </row>
    <row r="595" spans="3:112" s="37" customFormat="1" hidden="1" x14ac:dyDescent="0.25">
      <c r="C595" s="35"/>
      <c r="L595" s="848"/>
      <c r="V595" s="304"/>
      <c r="AF595" s="304"/>
      <c r="AP595" s="304"/>
      <c r="AZ595" s="304"/>
      <c r="BJ595" s="304"/>
      <c r="BT595" s="304"/>
      <c r="CD595" s="304"/>
      <c r="CN595" s="304"/>
      <c r="CX595" s="304"/>
      <c r="DH595" s="304"/>
    </row>
    <row r="596" spans="3:112" s="37" customFormat="1" hidden="1" x14ac:dyDescent="0.25">
      <c r="C596" s="35"/>
      <c r="L596" s="848"/>
      <c r="V596" s="304"/>
      <c r="AF596" s="304"/>
      <c r="AP596" s="304"/>
      <c r="AZ596" s="304"/>
      <c r="BJ596" s="304"/>
      <c r="BT596" s="304"/>
      <c r="CD596" s="304"/>
      <c r="CN596" s="304"/>
      <c r="CX596" s="304"/>
      <c r="DH596" s="304"/>
    </row>
    <row r="597" spans="3:112" s="37" customFormat="1" hidden="1" x14ac:dyDescent="0.25">
      <c r="C597" s="35"/>
      <c r="L597" s="848"/>
      <c r="V597" s="304"/>
      <c r="AF597" s="304"/>
      <c r="AP597" s="304"/>
      <c r="AZ597" s="304"/>
      <c r="BJ597" s="304"/>
      <c r="BT597" s="304"/>
      <c r="CD597" s="304"/>
      <c r="CN597" s="304"/>
      <c r="CX597" s="304"/>
      <c r="DH597" s="304"/>
    </row>
    <row r="598" spans="3:112" s="37" customFormat="1" hidden="1" x14ac:dyDescent="0.25">
      <c r="C598" s="35"/>
      <c r="L598" s="848"/>
      <c r="V598" s="304"/>
      <c r="AF598" s="304"/>
      <c r="AP598" s="304"/>
      <c r="AZ598" s="304"/>
      <c r="BJ598" s="304"/>
      <c r="BT598" s="304"/>
      <c r="CD598" s="304"/>
      <c r="CN598" s="304"/>
      <c r="CX598" s="304"/>
      <c r="DH598" s="304"/>
    </row>
    <row r="599" spans="3:112" s="37" customFormat="1" hidden="1" x14ac:dyDescent="0.25">
      <c r="C599" s="35"/>
      <c r="L599" s="848"/>
      <c r="V599" s="304"/>
      <c r="AF599" s="304"/>
      <c r="AP599" s="304"/>
      <c r="AZ599" s="304"/>
      <c r="BJ599" s="304"/>
      <c r="BT599" s="304"/>
      <c r="CD599" s="304"/>
      <c r="CN599" s="304"/>
      <c r="CX599" s="304"/>
      <c r="DH599" s="304"/>
    </row>
    <row r="600" spans="3:112" s="37" customFormat="1" hidden="1" x14ac:dyDescent="0.25">
      <c r="C600" s="35"/>
      <c r="L600" s="848"/>
      <c r="V600" s="304"/>
      <c r="AF600" s="304"/>
      <c r="AP600" s="304"/>
      <c r="AZ600" s="304"/>
      <c r="BJ600" s="304"/>
      <c r="BT600" s="304"/>
      <c r="CD600" s="304"/>
      <c r="CN600" s="304"/>
      <c r="CX600" s="304"/>
      <c r="DH600" s="304"/>
    </row>
    <row r="601" spans="3:112" s="37" customFormat="1" hidden="1" x14ac:dyDescent="0.25">
      <c r="C601" s="35"/>
      <c r="L601" s="848"/>
      <c r="V601" s="304"/>
      <c r="AF601" s="304"/>
      <c r="AP601" s="304"/>
      <c r="AZ601" s="304"/>
      <c r="BJ601" s="304"/>
      <c r="BT601" s="304"/>
      <c r="CD601" s="304"/>
      <c r="CN601" s="304"/>
      <c r="CX601" s="304"/>
      <c r="DH601" s="304"/>
    </row>
    <row r="602" spans="3:112" s="37" customFormat="1" hidden="1" x14ac:dyDescent="0.25">
      <c r="C602" s="35"/>
      <c r="L602" s="848"/>
      <c r="V602" s="304"/>
      <c r="AF602" s="304"/>
      <c r="AP602" s="304"/>
      <c r="AZ602" s="304"/>
      <c r="BJ602" s="304"/>
      <c r="BT602" s="304"/>
      <c r="CD602" s="304"/>
      <c r="CN602" s="304"/>
      <c r="CX602" s="304"/>
      <c r="DH602" s="304"/>
    </row>
    <row r="603" spans="3:112" s="37" customFormat="1" hidden="1" x14ac:dyDescent="0.25">
      <c r="C603" s="35"/>
      <c r="L603" s="848"/>
      <c r="V603" s="304"/>
      <c r="AF603" s="304"/>
      <c r="AP603" s="304"/>
      <c r="AZ603" s="304"/>
      <c r="BJ603" s="304"/>
      <c r="BT603" s="304"/>
      <c r="CD603" s="304"/>
      <c r="CN603" s="304"/>
      <c r="CX603" s="304"/>
      <c r="DH603" s="304"/>
    </row>
    <row r="604" spans="3:112" s="37" customFormat="1" hidden="1" x14ac:dyDescent="0.25">
      <c r="C604" s="35"/>
      <c r="L604" s="848"/>
      <c r="V604" s="304"/>
      <c r="AF604" s="304"/>
      <c r="AP604" s="304"/>
      <c r="AZ604" s="304"/>
      <c r="BJ604" s="304"/>
      <c r="BT604" s="304"/>
      <c r="CD604" s="304"/>
      <c r="CN604" s="304"/>
      <c r="CX604" s="304"/>
      <c r="DH604" s="304"/>
    </row>
    <row r="605" spans="3:112" s="37" customFormat="1" hidden="1" x14ac:dyDescent="0.25">
      <c r="C605" s="35"/>
      <c r="L605" s="848"/>
      <c r="V605" s="304"/>
      <c r="AF605" s="304"/>
      <c r="AP605" s="304"/>
      <c r="AZ605" s="304"/>
      <c r="BJ605" s="304"/>
      <c r="BT605" s="304"/>
      <c r="CD605" s="304"/>
      <c r="CN605" s="304"/>
      <c r="CX605" s="304"/>
      <c r="DH605" s="304"/>
    </row>
    <row r="606" spans="3:112" s="37" customFormat="1" hidden="1" x14ac:dyDescent="0.25">
      <c r="C606" s="35"/>
      <c r="L606" s="848"/>
      <c r="V606" s="304"/>
      <c r="AF606" s="304"/>
      <c r="AP606" s="304"/>
      <c r="AZ606" s="304"/>
      <c r="BJ606" s="304"/>
      <c r="BT606" s="304"/>
      <c r="CD606" s="304"/>
      <c r="CN606" s="304"/>
      <c r="CX606" s="304"/>
      <c r="DH606" s="304"/>
    </row>
    <row r="607" spans="3:112" s="37" customFormat="1" hidden="1" x14ac:dyDescent="0.25">
      <c r="C607" s="35"/>
      <c r="L607" s="848"/>
      <c r="V607" s="304"/>
      <c r="AF607" s="304"/>
      <c r="AP607" s="304"/>
      <c r="AZ607" s="304"/>
      <c r="BJ607" s="304"/>
      <c r="BT607" s="304"/>
      <c r="CD607" s="304"/>
      <c r="CN607" s="304"/>
      <c r="CX607" s="304"/>
      <c r="DH607" s="304"/>
    </row>
    <row r="608" spans="3:112" s="37" customFormat="1" hidden="1" x14ac:dyDescent="0.25">
      <c r="C608" s="35"/>
      <c r="L608" s="848"/>
      <c r="V608" s="304"/>
      <c r="AF608" s="304"/>
      <c r="AP608" s="304"/>
      <c r="AZ608" s="304"/>
      <c r="BJ608" s="304"/>
      <c r="BT608" s="304"/>
      <c r="CD608" s="304"/>
      <c r="CN608" s="304"/>
      <c r="CX608" s="304"/>
      <c r="DH608" s="304"/>
    </row>
    <row r="609" spans="3:112" s="37" customFormat="1" hidden="1" x14ac:dyDescent="0.25">
      <c r="C609" s="35"/>
      <c r="L609" s="848"/>
      <c r="V609" s="304"/>
      <c r="AF609" s="304"/>
      <c r="AP609" s="304"/>
      <c r="AZ609" s="304"/>
      <c r="BJ609" s="304"/>
      <c r="BT609" s="304"/>
      <c r="CD609" s="304"/>
      <c r="CN609" s="304"/>
      <c r="CX609" s="304"/>
      <c r="DH609" s="304"/>
    </row>
    <row r="610" spans="3:112" s="37" customFormat="1" hidden="1" x14ac:dyDescent="0.25">
      <c r="C610" s="35"/>
      <c r="L610" s="848"/>
      <c r="V610" s="304"/>
      <c r="AF610" s="304"/>
      <c r="AP610" s="304"/>
      <c r="AZ610" s="304"/>
      <c r="BJ610" s="304"/>
      <c r="BT610" s="304"/>
      <c r="CD610" s="304"/>
      <c r="CN610" s="304"/>
      <c r="CX610" s="304"/>
      <c r="DH610" s="304"/>
    </row>
    <row r="611" spans="3:112" s="37" customFormat="1" hidden="1" x14ac:dyDescent="0.25">
      <c r="C611" s="35"/>
      <c r="L611" s="848"/>
      <c r="V611" s="304"/>
      <c r="AF611" s="304"/>
      <c r="AP611" s="304"/>
      <c r="AZ611" s="304"/>
      <c r="BJ611" s="304"/>
      <c r="BT611" s="304"/>
      <c r="CD611" s="304"/>
      <c r="CN611" s="304"/>
      <c r="CX611" s="304"/>
      <c r="DH611" s="304"/>
    </row>
    <row r="612" spans="3:112" s="37" customFormat="1" hidden="1" x14ac:dyDescent="0.25">
      <c r="C612" s="35"/>
      <c r="L612" s="848"/>
      <c r="V612" s="304"/>
      <c r="AF612" s="304"/>
      <c r="AP612" s="304"/>
      <c r="AZ612" s="304"/>
      <c r="BJ612" s="304"/>
      <c r="BT612" s="304"/>
      <c r="CD612" s="304"/>
      <c r="CN612" s="304"/>
      <c r="CX612" s="304"/>
      <c r="DH612" s="304"/>
    </row>
    <row r="613" spans="3:112" s="37" customFormat="1" hidden="1" x14ac:dyDescent="0.25">
      <c r="C613" s="35"/>
      <c r="L613" s="848"/>
      <c r="V613" s="304"/>
      <c r="AF613" s="304"/>
      <c r="AP613" s="304"/>
      <c r="AZ613" s="304"/>
      <c r="BJ613" s="304"/>
      <c r="BT613" s="304"/>
      <c r="CD613" s="304"/>
      <c r="CN613" s="304"/>
      <c r="CX613" s="304"/>
      <c r="DH613" s="304"/>
    </row>
    <row r="614" spans="3:112" s="37" customFormat="1" hidden="1" x14ac:dyDescent="0.25">
      <c r="C614" s="35"/>
      <c r="L614" s="848"/>
      <c r="V614" s="304"/>
      <c r="AF614" s="304"/>
      <c r="AP614" s="304"/>
      <c r="AZ614" s="304"/>
      <c r="BJ614" s="304"/>
      <c r="BT614" s="304"/>
      <c r="CD614" s="304"/>
      <c r="CN614" s="304"/>
      <c r="CX614" s="304"/>
      <c r="DH614" s="304"/>
    </row>
    <row r="615" spans="3:112" s="37" customFormat="1" hidden="1" x14ac:dyDescent="0.25">
      <c r="C615" s="35"/>
      <c r="L615" s="848"/>
      <c r="V615" s="304"/>
      <c r="AF615" s="304"/>
      <c r="AP615" s="304"/>
      <c r="AZ615" s="304"/>
      <c r="BJ615" s="304"/>
      <c r="BT615" s="304"/>
      <c r="CD615" s="304"/>
      <c r="CN615" s="304"/>
      <c r="CX615" s="304"/>
      <c r="DH615" s="304"/>
    </row>
    <row r="616" spans="3:112" s="37" customFormat="1" hidden="1" x14ac:dyDescent="0.25">
      <c r="C616" s="35"/>
      <c r="L616" s="848"/>
      <c r="V616" s="304"/>
      <c r="AF616" s="304"/>
      <c r="AP616" s="304"/>
      <c r="AZ616" s="304"/>
      <c r="BJ616" s="304"/>
      <c r="BT616" s="304"/>
      <c r="CD616" s="304"/>
      <c r="CN616" s="304"/>
      <c r="CX616" s="304"/>
      <c r="DH616" s="304"/>
    </row>
    <row r="617" spans="3:112" s="37" customFormat="1" hidden="1" x14ac:dyDescent="0.25">
      <c r="C617" s="35"/>
      <c r="L617" s="848"/>
      <c r="V617" s="304"/>
      <c r="AF617" s="304"/>
      <c r="AP617" s="304"/>
      <c r="AZ617" s="304"/>
      <c r="BJ617" s="304"/>
      <c r="BT617" s="304"/>
      <c r="CD617" s="304"/>
      <c r="CN617" s="304"/>
      <c r="CX617" s="304"/>
      <c r="DH617" s="304"/>
    </row>
    <row r="618" spans="3:112" s="37" customFormat="1" hidden="1" x14ac:dyDescent="0.25">
      <c r="C618" s="35"/>
      <c r="L618" s="848"/>
      <c r="V618" s="304"/>
      <c r="AF618" s="304"/>
      <c r="AP618" s="304"/>
      <c r="AZ618" s="304"/>
      <c r="BJ618" s="304"/>
      <c r="BT618" s="304"/>
      <c r="CD618" s="304"/>
      <c r="CN618" s="304"/>
      <c r="CX618" s="304"/>
      <c r="DH618" s="304"/>
    </row>
    <row r="619" spans="3:112" s="37" customFormat="1" hidden="1" x14ac:dyDescent="0.25">
      <c r="C619" s="35"/>
      <c r="L619" s="848"/>
      <c r="V619" s="304"/>
      <c r="AF619" s="304"/>
      <c r="AP619" s="304"/>
      <c r="AZ619" s="304"/>
      <c r="BJ619" s="304"/>
      <c r="BT619" s="304"/>
      <c r="CD619" s="304"/>
      <c r="CN619" s="304"/>
      <c r="CX619" s="304"/>
      <c r="DH619" s="304"/>
    </row>
    <row r="620" spans="3:112" s="37" customFormat="1" hidden="1" x14ac:dyDescent="0.25">
      <c r="C620" s="35"/>
      <c r="L620" s="848"/>
      <c r="V620" s="304"/>
      <c r="AF620" s="304"/>
      <c r="AP620" s="304"/>
      <c r="AZ620" s="304"/>
      <c r="BJ620" s="304"/>
      <c r="BT620" s="304"/>
      <c r="CD620" s="304"/>
      <c r="CN620" s="304"/>
      <c r="CX620" s="304"/>
      <c r="DH620" s="304"/>
    </row>
    <row r="621" spans="3:112" s="37" customFormat="1" hidden="1" x14ac:dyDescent="0.25">
      <c r="C621" s="35"/>
      <c r="L621" s="848"/>
      <c r="V621" s="304"/>
      <c r="AF621" s="304"/>
      <c r="AP621" s="304"/>
      <c r="AZ621" s="304"/>
      <c r="BJ621" s="304"/>
      <c r="BT621" s="304"/>
      <c r="CD621" s="304"/>
      <c r="CN621" s="304"/>
      <c r="CX621" s="304"/>
      <c r="DH621" s="304"/>
    </row>
    <row r="622" spans="3:112" s="37" customFormat="1" hidden="1" x14ac:dyDescent="0.25">
      <c r="C622" s="35"/>
      <c r="L622" s="848"/>
      <c r="V622" s="304"/>
      <c r="AF622" s="304"/>
      <c r="AP622" s="304"/>
      <c r="AZ622" s="304"/>
      <c r="BJ622" s="304"/>
      <c r="BT622" s="304"/>
      <c r="CD622" s="304"/>
      <c r="CN622" s="304"/>
      <c r="CX622" s="304"/>
      <c r="DH622" s="304"/>
    </row>
    <row r="623" spans="3:112" s="37" customFormat="1" hidden="1" x14ac:dyDescent="0.25">
      <c r="C623" s="35"/>
      <c r="L623" s="848"/>
      <c r="V623" s="304"/>
      <c r="AF623" s="304"/>
      <c r="AP623" s="304"/>
      <c r="AZ623" s="304"/>
      <c r="BJ623" s="304"/>
      <c r="BT623" s="304"/>
      <c r="CD623" s="304"/>
      <c r="CN623" s="304"/>
      <c r="CX623" s="304"/>
      <c r="DH623" s="304"/>
    </row>
    <row r="624" spans="3:112" s="37" customFormat="1" hidden="1" x14ac:dyDescent="0.25">
      <c r="C624" s="35"/>
      <c r="L624" s="848"/>
      <c r="V624" s="304"/>
      <c r="AF624" s="304"/>
      <c r="AP624" s="304"/>
      <c r="AZ624" s="304"/>
      <c r="BJ624" s="304"/>
      <c r="BT624" s="304"/>
      <c r="CD624" s="304"/>
      <c r="CN624" s="304"/>
      <c r="CX624" s="304"/>
      <c r="DH624" s="304"/>
    </row>
    <row r="625" spans="3:112" s="37" customFormat="1" hidden="1" x14ac:dyDescent="0.25">
      <c r="C625" s="35"/>
      <c r="L625" s="848"/>
      <c r="V625" s="304"/>
      <c r="AF625" s="304"/>
      <c r="AP625" s="304"/>
      <c r="AZ625" s="304"/>
      <c r="BJ625" s="304"/>
      <c r="BT625" s="304"/>
      <c r="CD625" s="304"/>
      <c r="CN625" s="304"/>
      <c r="CX625" s="304"/>
      <c r="DH625" s="304"/>
    </row>
    <row r="626" spans="3:112" s="37" customFormat="1" hidden="1" x14ac:dyDescent="0.25">
      <c r="C626" s="35"/>
      <c r="L626" s="848"/>
      <c r="V626" s="304"/>
      <c r="AF626" s="304"/>
      <c r="AP626" s="304"/>
      <c r="AZ626" s="304"/>
      <c r="BJ626" s="304"/>
      <c r="BT626" s="304"/>
      <c r="CD626" s="304"/>
      <c r="CN626" s="304"/>
      <c r="CX626" s="304"/>
      <c r="DH626" s="304"/>
    </row>
    <row r="627" spans="3:112" s="37" customFormat="1" hidden="1" x14ac:dyDescent="0.25">
      <c r="C627" s="35"/>
      <c r="L627" s="848"/>
      <c r="V627" s="304"/>
      <c r="AF627" s="304"/>
      <c r="AP627" s="304"/>
      <c r="AZ627" s="304"/>
      <c r="BJ627" s="304"/>
      <c r="BT627" s="304"/>
      <c r="CD627" s="304"/>
      <c r="CN627" s="304"/>
      <c r="CX627" s="304"/>
      <c r="DH627" s="304"/>
    </row>
    <row r="628" spans="3:112" s="37" customFormat="1" hidden="1" x14ac:dyDescent="0.25">
      <c r="C628" s="35"/>
      <c r="L628" s="848"/>
      <c r="V628" s="304"/>
      <c r="AF628" s="304"/>
      <c r="AP628" s="304"/>
      <c r="AZ628" s="304"/>
      <c r="BJ628" s="304"/>
      <c r="BT628" s="304"/>
      <c r="CD628" s="304"/>
      <c r="CN628" s="304"/>
      <c r="CX628" s="304"/>
      <c r="DH628" s="304"/>
    </row>
    <row r="629" spans="3:112" s="37" customFormat="1" hidden="1" x14ac:dyDescent="0.25">
      <c r="C629" s="35"/>
      <c r="L629" s="848"/>
      <c r="V629" s="304"/>
      <c r="AF629" s="304"/>
      <c r="AP629" s="304"/>
      <c r="AZ629" s="304"/>
      <c r="BJ629" s="304"/>
      <c r="BT629" s="304"/>
      <c r="CD629" s="304"/>
      <c r="CN629" s="304"/>
      <c r="CX629" s="304"/>
      <c r="DH629" s="304"/>
    </row>
    <row r="630" spans="3:112" s="37" customFormat="1" hidden="1" x14ac:dyDescent="0.25">
      <c r="C630" s="35"/>
      <c r="L630" s="848"/>
      <c r="V630" s="304"/>
      <c r="AF630" s="304"/>
      <c r="AP630" s="304"/>
      <c r="AZ630" s="304"/>
      <c r="BJ630" s="304"/>
      <c r="BT630" s="304"/>
      <c r="CD630" s="304"/>
      <c r="CN630" s="304"/>
      <c r="CX630" s="304"/>
      <c r="DH630" s="304"/>
    </row>
    <row r="631" spans="3:112" s="37" customFormat="1" hidden="1" x14ac:dyDescent="0.25">
      <c r="C631" s="35"/>
      <c r="L631" s="848"/>
      <c r="V631" s="304"/>
      <c r="AF631" s="304"/>
      <c r="AP631" s="304"/>
      <c r="AZ631" s="304"/>
      <c r="BJ631" s="304"/>
      <c r="BT631" s="304"/>
      <c r="CD631" s="304"/>
      <c r="CN631" s="304"/>
      <c r="CX631" s="304"/>
      <c r="DH631" s="304"/>
    </row>
    <row r="632" spans="3:112" s="37" customFormat="1" hidden="1" x14ac:dyDescent="0.25">
      <c r="C632" s="35"/>
      <c r="L632" s="848"/>
      <c r="V632" s="304"/>
      <c r="AF632" s="304"/>
      <c r="AP632" s="304"/>
      <c r="AZ632" s="304"/>
      <c r="BJ632" s="304"/>
      <c r="BT632" s="304"/>
      <c r="CD632" s="304"/>
      <c r="CN632" s="304"/>
      <c r="CX632" s="304"/>
      <c r="DH632" s="304"/>
    </row>
    <row r="633" spans="3:112" s="37" customFormat="1" hidden="1" x14ac:dyDescent="0.25">
      <c r="C633" s="35"/>
      <c r="L633" s="848"/>
      <c r="V633" s="304"/>
      <c r="AF633" s="304"/>
      <c r="AP633" s="304"/>
      <c r="AZ633" s="304"/>
      <c r="BJ633" s="304"/>
      <c r="BT633" s="304"/>
      <c r="CD633" s="304"/>
      <c r="CN633" s="304"/>
      <c r="CX633" s="304"/>
      <c r="DH633" s="304"/>
    </row>
    <row r="634" spans="3:112" s="37" customFormat="1" hidden="1" x14ac:dyDescent="0.25">
      <c r="C634" s="35"/>
      <c r="L634" s="848"/>
      <c r="V634" s="304"/>
      <c r="AF634" s="304"/>
      <c r="AP634" s="304"/>
      <c r="AZ634" s="304"/>
      <c r="BJ634" s="304"/>
      <c r="BT634" s="304"/>
      <c r="CD634" s="304"/>
      <c r="CN634" s="304"/>
      <c r="CX634" s="304"/>
      <c r="DH634" s="304"/>
    </row>
    <row r="635" spans="3:112" s="37" customFormat="1" hidden="1" x14ac:dyDescent="0.25">
      <c r="C635" s="35"/>
      <c r="L635" s="848"/>
      <c r="V635" s="304"/>
      <c r="AF635" s="304"/>
      <c r="AP635" s="304"/>
      <c r="AZ635" s="304"/>
      <c r="BJ635" s="304"/>
      <c r="BT635" s="304"/>
      <c r="CD635" s="304"/>
      <c r="CN635" s="304"/>
      <c r="CX635" s="304"/>
      <c r="DH635" s="304"/>
    </row>
    <row r="636" spans="3:112" s="37" customFormat="1" hidden="1" x14ac:dyDescent="0.25">
      <c r="C636" s="35"/>
      <c r="L636" s="848"/>
      <c r="V636" s="304"/>
      <c r="AF636" s="304"/>
      <c r="AP636" s="304"/>
      <c r="AZ636" s="304"/>
      <c r="BJ636" s="304"/>
      <c r="BT636" s="304"/>
      <c r="CD636" s="304"/>
      <c r="CN636" s="304"/>
      <c r="CX636" s="304"/>
      <c r="DH636" s="304"/>
    </row>
    <row r="637" spans="3:112" s="37" customFormat="1" hidden="1" x14ac:dyDescent="0.25">
      <c r="C637" s="35"/>
      <c r="L637" s="848"/>
      <c r="V637" s="304"/>
      <c r="AF637" s="304"/>
      <c r="AP637" s="304"/>
      <c r="AZ637" s="304"/>
      <c r="BJ637" s="304"/>
      <c r="BT637" s="304"/>
      <c r="CD637" s="304"/>
      <c r="CN637" s="304"/>
      <c r="CX637" s="304"/>
      <c r="DH637" s="304"/>
    </row>
    <row r="638" spans="3:112" s="37" customFormat="1" hidden="1" x14ac:dyDescent="0.25">
      <c r="C638" s="35"/>
      <c r="L638" s="848"/>
      <c r="V638" s="304"/>
      <c r="AF638" s="304"/>
      <c r="AP638" s="304"/>
      <c r="AZ638" s="304"/>
      <c r="BJ638" s="304"/>
      <c r="BT638" s="304"/>
      <c r="CD638" s="304"/>
      <c r="CN638" s="304"/>
      <c r="CX638" s="304"/>
      <c r="DH638" s="304"/>
    </row>
    <row r="639" spans="3:112" s="37" customFormat="1" hidden="1" x14ac:dyDescent="0.25">
      <c r="C639" s="35"/>
      <c r="L639" s="848"/>
      <c r="V639" s="304"/>
      <c r="AF639" s="304"/>
      <c r="AP639" s="304"/>
      <c r="AZ639" s="304"/>
      <c r="BJ639" s="304"/>
      <c r="BT639" s="304"/>
      <c r="CD639" s="304"/>
      <c r="CN639" s="304"/>
      <c r="CX639" s="304"/>
      <c r="DH639" s="304"/>
    </row>
    <row r="640" spans="3:112" s="37" customFormat="1" hidden="1" x14ac:dyDescent="0.25">
      <c r="C640" s="35"/>
      <c r="L640" s="848"/>
      <c r="V640" s="304"/>
      <c r="AF640" s="304"/>
      <c r="AP640" s="304"/>
      <c r="AZ640" s="304"/>
      <c r="BJ640" s="304"/>
      <c r="BT640" s="304"/>
      <c r="CD640" s="304"/>
      <c r="CN640" s="304"/>
      <c r="CX640" s="304"/>
      <c r="DH640" s="304"/>
    </row>
    <row r="641" spans="3:112" s="37" customFormat="1" hidden="1" x14ac:dyDescent="0.25">
      <c r="C641" s="35"/>
      <c r="L641" s="848"/>
      <c r="V641" s="304"/>
      <c r="AF641" s="304"/>
      <c r="AP641" s="304"/>
      <c r="AZ641" s="304"/>
      <c r="BJ641" s="304"/>
      <c r="BT641" s="304"/>
      <c r="CD641" s="304"/>
      <c r="CN641" s="304"/>
      <c r="CX641" s="304"/>
      <c r="DH641" s="304"/>
    </row>
    <row r="642" spans="3:112" s="37" customFormat="1" hidden="1" x14ac:dyDescent="0.25">
      <c r="C642" s="35"/>
      <c r="L642" s="848"/>
      <c r="V642" s="304"/>
      <c r="AF642" s="304"/>
      <c r="AP642" s="304"/>
      <c r="AZ642" s="304"/>
      <c r="BJ642" s="304"/>
      <c r="BT642" s="304"/>
      <c r="CD642" s="304"/>
      <c r="CN642" s="304"/>
      <c r="CX642" s="304"/>
      <c r="DH642" s="304"/>
    </row>
    <row r="643" spans="3:112" s="37" customFormat="1" hidden="1" x14ac:dyDescent="0.25">
      <c r="C643" s="35"/>
      <c r="L643" s="848"/>
      <c r="V643" s="304"/>
      <c r="AF643" s="304"/>
      <c r="AP643" s="304"/>
      <c r="AZ643" s="304"/>
      <c r="BJ643" s="304"/>
      <c r="BT643" s="304"/>
      <c r="CD643" s="304"/>
      <c r="CN643" s="304"/>
      <c r="CX643" s="304"/>
      <c r="DH643" s="304"/>
    </row>
    <row r="644" spans="3:112" s="37" customFormat="1" hidden="1" x14ac:dyDescent="0.25">
      <c r="C644" s="35"/>
      <c r="L644" s="848"/>
      <c r="V644" s="304"/>
      <c r="AF644" s="304"/>
      <c r="AP644" s="304"/>
      <c r="AZ644" s="304"/>
      <c r="BJ644" s="304"/>
      <c r="BT644" s="304"/>
      <c r="CD644" s="304"/>
      <c r="CN644" s="304"/>
      <c r="CX644" s="304"/>
      <c r="DH644" s="304"/>
    </row>
    <row r="645" spans="3:112" s="37" customFormat="1" hidden="1" x14ac:dyDescent="0.25">
      <c r="C645" s="35"/>
      <c r="L645" s="848"/>
      <c r="V645" s="304"/>
      <c r="AF645" s="304"/>
      <c r="AP645" s="304"/>
      <c r="AZ645" s="304"/>
      <c r="BJ645" s="304"/>
      <c r="BT645" s="304"/>
      <c r="CD645" s="304"/>
      <c r="CN645" s="304"/>
      <c r="CX645" s="304"/>
      <c r="DH645" s="304"/>
    </row>
    <row r="646" spans="3:112" s="37" customFormat="1" hidden="1" x14ac:dyDescent="0.25">
      <c r="C646" s="35"/>
      <c r="L646" s="848"/>
      <c r="V646" s="304"/>
      <c r="AF646" s="304"/>
      <c r="AP646" s="304"/>
      <c r="AZ646" s="304"/>
      <c r="BJ646" s="304"/>
      <c r="BT646" s="304"/>
      <c r="CD646" s="304"/>
      <c r="CN646" s="304"/>
      <c r="CX646" s="304"/>
      <c r="DH646" s="304"/>
    </row>
    <row r="647" spans="3:112" s="37" customFormat="1" hidden="1" x14ac:dyDescent="0.25">
      <c r="C647" s="35"/>
      <c r="L647" s="848"/>
      <c r="V647" s="304"/>
      <c r="AF647" s="304"/>
      <c r="AP647" s="304"/>
      <c r="AZ647" s="304"/>
      <c r="BJ647" s="304"/>
      <c r="BT647" s="304"/>
      <c r="CD647" s="304"/>
      <c r="CN647" s="304"/>
      <c r="CX647" s="304"/>
      <c r="DH647" s="304"/>
    </row>
    <row r="648" spans="3:112" s="37" customFormat="1" hidden="1" x14ac:dyDescent="0.25">
      <c r="C648" s="35"/>
      <c r="L648" s="848"/>
      <c r="V648" s="304"/>
      <c r="AF648" s="304"/>
      <c r="AP648" s="304"/>
      <c r="AZ648" s="304"/>
      <c r="BJ648" s="304"/>
      <c r="BT648" s="304"/>
      <c r="CD648" s="304"/>
      <c r="CN648" s="304"/>
      <c r="CX648" s="304"/>
      <c r="DH648" s="304"/>
    </row>
    <row r="649" spans="3:112" s="37" customFormat="1" hidden="1" x14ac:dyDescent="0.25">
      <c r="C649" s="35"/>
      <c r="L649" s="848"/>
      <c r="V649" s="304"/>
      <c r="AF649" s="304"/>
      <c r="AP649" s="304"/>
      <c r="AZ649" s="304"/>
      <c r="BJ649" s="304"/>
      <c r="BT649" s="304"/>
      <c r="CD649" s="304"/>
      <c r="CN649" s="304"/>
      <c r="CX649" s="304"/>
      <c r="DH649" s="304"/>
    </row>
    <row r="650" spans="3:112" s="37" customFormat="1" hidden="1" x14ac:dyDescent="0.25">
      <c r="C650" s="35"/>
      <c r="L650" s="848"/>
      <c r="V650" s="304"/>
      <c r="AF650" s="304"/>
      <c r="AP650" s="304"/>
      <c r="AZ650" s="304"/>
      <c r="BJ650" s="304"/>
      <c r="BT650" s="304"/>
      <c r="CD650" s="304"/>
      <c r="CN650" s="304"/>
      <c r="CX650" s="304"/>
      <c r="DH650" s="304"/>
    </row>
    <row r="651" spans="3:112" s="37" customFormat="1" hidden="1" x14ac:dyDescent="0.25">
      <c r="C651" s="35"/>
      <c r="L651" s="848"/>
      <c r="V651" s="304"/>
      <c r="AF651" s="304"/>
      <c r="AP651" s="304"/>
      <c r="AZ651" s="304"/>
      <c r="BJ651" s="304"/>
      <c r="BT651" s="304"/>
      <c r="CD651" s="304"/>
      <c r="CN651" s="304"/>
      <c r="CX651" s="304"/>
      <c r="DH651" s="304"/>
    </row>
    <row r="652" spans="3:112" s="37" customFormat="1" hidden="1" x14ac:dyDescent="0.25">
      <c r="C652" s="35"/>
      <c r="L652" s="848"/>
      <c r="V652" s="304"/>
      <c r="AF652" s="304"/>
      <c r="AP652" s="304"/>
      <c r="AZ652" s="304"/>
      <c r="BJ652" s="304"/>
      <c r="BT652" s="304"/>
      <c r="CD652" s="304"/>
      <c r="CN652" s="304"/>
      <c r="CX652" s="304"/>
      <c r="DH652" s="304"/>
    </row>
    <row r="653" spans="3:112" s="37" customFormat="1" hidden="1" x14ac:dyDescent="0.25">
      <c r="C653" s="35"/>
      <c r="L653" s="848"/>
      <c r="V653" s="304"/>
      <c r="AF653" s="304"/>
      <c r="AP653" s="304"/>
      <c r="AZ653" s="304"/>
      <c r="BJ653" s="304"/>
      <c r="BT653" s="304"/>
      <c r="CD653" s="304"/>
      <c r="CN653" s="304"/>
      <c r="CX653" s="304"/>
      <c r="DH653" s="304"/>
    </row>
    <row r="654" spans="3:112" s="37" customFormat="1" hidden="1" x14ac:dyDescent="0.25">
      <c r="C654" s="35"/>
      <c r="L654" s="848"/>
      <c r="V654" s="304"/>
      <c r="AF654" s="304"/>
      <c r="AP654" s="304"/>
      <c r="AZ654" s="304"/>
      <c r="BJ654" s="304"/>
      <c r="BT654" s="304"/>
      <c r="CD654" s="304"/>
      <c r="CN654" s="304"/>
      <c r="CX654" s="304"/>
      <c r="DH654" s="304"/>
    </row>
    <row r="655" spans="3:112" s="37" customFormat="1" hidden="1" x14ac:dyDescent="0.25">
      <c r="C655" s="35"/>
      <c r="L655" s="848"/>
      <c r="V655" s="304"/>
      <c r="AF655" s="304"/>
      <c r="AP655" s="304"/>
      <c r="AZ655" s="304"/>
      <c r="BJ655" s="304"/>
      <c r="BT655" s="304"/>
      <c r="CD655" s="304"/>
      <c r="CN655" s="304"/>
      <c r="CX655" s="304"/>
      <c r="DH655" s="304"/>
    </row>
    <row r="656" spans="3:112" s="37" customFormat="1" hidden="1" x14ac:dyDescent="0.25">
      <c r="C656" s="35"/>
      <c r="L656" s="848"/>
      <c r="V656" s="304"/>
      <c r="AF656" s="304"/>
      <c r="AP656" s="304"/>
      <c r="AZ656" s="304"/>
      <c r="BJ656" s="304"/>
      <c r="BT656" s="304"/>
      <c r="CD656" s="304"/>
      <c r="CN656" s="304"/>
      <c r="CX656" s="304"/>
      <c r="DH656" s="304"/>
    </row>
    <row r="657" spans="3:112" s="37" customFormat="1" hidden="1" x14ac:dyDescent="0.25">
      <c r="C657" s="35"/>
      <c r="L657" s="848"/>
      <c r="V657" s="304"/>
      <c r="AF657" s="304"/>
      <c r="AP657" s="304"/>
      <c r="AZ657" s="304"/>
      <c r="BJ657" s="304"/>
      <c r="BT657" s="304"/>
      <c r="CD657" s="304"/>
      <c r="CN657" s="304"/>
      <c r="CX657" s="304"/>
      <c r="DH657" s="304"/>
    </row>
    <row r="658" spans="3:112" s="37" customFormat="1" hidden="1" x14ac:dyDescent="0.25">
      <c r="C658" s="35"/>
      <c r="L658" s="848"/>
      <c r="V658" s="304"/>
      <c r="AF658" s="304"/>
      <c r="AP658" s="304"/>
      <c r="AZ658" s="304"/>
      <c r="BJ658" s="304"/>
      <c r="BT658" s="304"/>
      <c r="CD658" s="304"/>
      <c r="CN658" s="304"/>
      <c r="CX658" s="304"/>
      <c r="DH658" s="304"/>
    </row>
    <row r="659" spans="3:112" s="37" customFormat="1" hidden="1" x14ac:dyDescent="0.25">
      <c r="C659" s="35"/>
      <c r="L659" s="848"/>
      <c r="V659" s="304"/>
      <c r="AF659" s="304"/>
      <c r="AP659" s="304"/>
      <c r="AZ659" s="304"/>
      <c r="BJ659" s="304"/>
      <c r="BT659" s="304"/>
      <c r="CD659" s="304"/>
      <c r="CN659" s="304"/>
      <c r="CX659" s="304"/>
      <c r="DH659" s="304"/>
    </row>
    <row r="660" spans="3:112" s="37" customFormat="1" hidden="1" x14ac:dyDescent="0.25">
      <c r="C660" s="35"/>
      <c r="L660" s="848"/>
      <c r="V660" s="304"/>
      <c r="AF660" s="304"/>
      <c r="AP660" s="304"/>
      <c r="AZ660" s="304"/>
      <c r="BJ660" s="304"/>
      <c r="BT660" s="304"/>
      <c r="CD660" s="304"/>
      <c r="CN660" s="304"/>
      <c r="CX660" s="304"/>
      <c r="DH660" s="304"/>
    </row>
    <row r="661" spans="3:112" s="37" customFormat="1" hidden="1" x14ac:dyDescent="0.25">
      <c r="C661" s="35"/>
      <c r="L661" s="848"/>
      <c r="V661" s="304"/>
      <c r="AF661" s="304"/>
      <c r="AP661" s="304"/>
      <c r="AZ661" s="304"/>
      <c r="BJ661" s="304"/>
      <c r="BT661" s="304"/>
      <c r="CD661" s="304"/>
      <c r="CN661" s="304"/>
      <c r="CX661" s="304"/>
      <c r="DH661" s="304"/>
    </row>
    <row r="662" spans="3:112" s="37" customFormat="1" hidden="1" x14ac:dyDescent="0.25">
      <c r="C662" s="35"/>
      <c r="L662" s="848"/>
      <c r="V662" s="304"/>
      <c r="AF662" s="304"/>
      <c r="AP662" s="304"/>
      <c r="AZ662" s="304"/>
      <c r="BJ662" s="304"/>
      <c r="BT662" s="304"/>
      <c r="CD662" s="304"/>
      <c r="CN662" s="304"/>
      <c r="CX662" s="304"/>
      <c r="DH662" s="304"/>
    </row>
    <row r="663" spans="3:112" s="37" customFormat="1" hidden="1" x14ac:dyDescent="0.25">
      <c r="C663" s="35"/>
      <c r="L663" s="848"/>
      <c r="V663" s="304"/>
      <c r="AF663" s="304"/>
      <c r="AP663" s="304"/>
      <c r="AZ663" s="304"/>
      <c r="BJ663" s="304"/>
      <c r="BT663" s="304"/>
      <c r="CD663" s="304"/>
      <c r="CN663" s="304"/>
      <c r="CX663" s="304"/>
      <c r="DH663" s="304"/>
    </row>
    <row r="664" spans="3:112" s="37" customFormat="1" hidden="1" x14ac:dyDescent="0.25">
      <c r="C664" s="35"/>
      <c r="L664" s="848"/>
      <c r="V664" s="304"/>
      <c r="AF664" s="304"/>
      <c r="AP664" s="304"/>
      <c r="AZ664" s="304"/>
      <c r="BJ664" s="304"/>
      <c r="BT664" s="304"/>
      <c r="CD664" s="304"/>
      <c r="CN664" s="304"/>
      <c r="CX664" s="304"/>
      <c r="DH664" s="304"/>
    </row>
    <row r="665" spans="3:112" s="37" customFormat="1" hidden="1" x14ac:dyDescent="0.25">
      <c r="C665" s="35"/>
      <c r="L665" s="848"/>
      <c r="V665" s="304"/>
      <c r="AF665" s="304"/>
      <c r="AP665" s="304"/>
      <c r="AZ665" s="304"/>
      <c r="BJ665" s="304"/>
      <c r="BT665" s="304"/>
      <c r="CD665" s="304"/>
      <c r="CN665" s="304"/>
      <c r="CX665" s="304"/>
      <c r="DH665" s="304"/>
    </row>
    <row r="666" spans="3:112" s="37" customFormat="1" hidden="1" x14ac:dyDescent="0.25">
      <c r="C666" s="35"/>
      <c r="L666" s="848"/>
      <c r="V666" s="304"/>
      <c r="AF666" s="304"/>
      <c r="AP666" s="304"/>
      <c r="AZ666" s="304"/>
      <c r="BJ666" s="304"/>
      <c r="BT666" s="304"/>
      <c r="CD666" s="304"/>
      <c r="CN666" s="304"/>
      <c r="CX666" s="304"/>
      <c r="DH666" s="304"/>
    </row>
    <row r="667" spans="3:112" s="37" customFormat="1" hidden="1" x14ac:dyDescent="0.25">
      <c r="C667" s="35"/>
      <c r="L667" s="848"/>
      <c r="V667" s="304"/>
      <c r="AF667" s="304"/>
      <c r="AP667" s="304"/>
      <c r="AZ667" s="304"/>
      <c r="BJ667" s="304"/>
      <c r="BT667" s="304"/>
      <c r="CD667" s="304"/>
      <c r="CN667" s="304"/>
      <c r="CX667" s="304"/>
      <c r="DH667" s="304"/>
    </row>
    <row r="668" spans="3:112" s="37" customFormat="1" hidden="1" x14ac:dyDescent="0.25">
      <c r="C668" s="35"/>
      <c r="L668" s="848"/>
      <c r="V668" s="304"/>
      <c r="AF668" s="304"/>
      <c r="AP668" s="304"/>
      <c r="AZ668" s="304"/>
      <c r="BJ668" s="304"/>
      <c r="BT668" s="304"/>
      <c r="CD668" s="304"/>
      <c r="CN668" s="304"/>
      <c r="CX668" s="304"/>
      <c r="DH668" s="304"/>
    </row>
    <row r="669" spans="3:112" s="37" customFormat="1" hidden="1" x14ac:dyDescent="0.25">
      <c r="C669" s="35"/>
      <c r="L669" s="848"/>
      <c r="V669" s="304"/>
      <c r="AF669" s="304"/>
      <c r="AP669" s="304"/>
      <c r="AZ669" s="304"/>
      <c r="BJ669" s="304"/>
      <c r="BT669" s="304"/>
      <c r="CD669" s="304"/>
      <c r="CN669" s="304"/>
      <c r="CX669" s="304"/>
      <c r="DH669" s="304"/>
    </row>
    <row r="670" spans="3:112" s="37" customFormat="1" hidden="1" x14ac:dyDescent="0.25">
      <c r="C670" s="35"/>
      <c r="L670" s="848"/>
      <c r="V670" s="304"/>
      <c r="AF670" s="304"/>
      <c r="AP670" s="304"/>
      <c r="AZ670" s="304"/>
      <c r="BJ670" s="304"/>
      <c r="BT670" s="304"/>
      <c r="CD670" s="304"/>
      <c r="CN670" s="304"/>
      <c r="CX670" s="304"/>
      <c r="DH670" s="304"/>
    </row>
    <row r="671" spans="3:112" s="37" customFormat="1" hidden="1" x14ac:dyDescent="0.25">
      <c r="C671" s="35"/>
      <c r="L671" s="848"/>
      <c r="V671" s="304"/>
      <c r="AF671" s="304"/>
      <c r="AP671" s="304"/>
      <c r="AZ671" s="304"/>
      <c r="BJ671" s="304"/>
      <c r="BT671" s="304"/>
      <c r="CD671" s="304"/>
      <c r="CN671" s="304"/>
      <c r="CX671" s="304"/>
      <c r="DH671" s="304"/>
    </row>
    <row r="672" spans="3:112" s="37" customFormat="1" hidden="1" x14ac:dyDescent="0.25">
      <c r="C672" s="35"/>
      <c r="L672" s="848"/>
      <c r="V672" s="304"/>
      <c r="AF672" s="304"/>
      <c r="AP672" s="304"/>
      <c r="AZ672" s="304"/>
      <c r="BJ672" s="304"/>
      <c r="BT672" s="304"/>
      <c r="CD672" s="304"/>
      <c r="CN672" s="304"/>
      <c r="CX672" s="304"/>
      <c r="DH672" s="304"/>
    </row>
    <row r="673" spans="3:112" s="37" customFormat="1" hidden="1" x14ac:dyDescent="0.25">
      <c r="C673" s="35"/>
      <c r="L673" s="848"/>
      <c r="V673" s="304"/>
      <c r="AF673" s="304"/>
      <c r="AP673" s="304"/>
      <c r="AZ673" s="304"/>
      <c r="BJ673" s="304"/>
      <c r="BT673" s="304"/>
      <c r="CD673" s="304"/>
      <c r="CN673" s="304"/>
      <c r="CX673" s="304"/>
      <c r="DH673" s="304"/>
    </row>
    <row r="674" spans="3:112" s="37" customFormat="1" hidden="1" x14ac:dyDescent="0.25">
      <c r="C674" s="35"/>
      <c r="L674" s="848"/>
      <c r="V674" s="304"/>
      <c r="AF674" s="304"/>
      <c r="AP674" s="304"/>
      <c r="AZ674" s="304"/>
      <c r="BJ674" s="304"/>
      <c r="BT674" s="304"/>
      <c r="CD674" s="304"/>
      <c r="CN674" s="304"/>
      <c r="CX674" s="304"/>
      <c r="DH674" s="304"/>
    </row>
    <row r="675" spans="3:112" s="37" customFormat="1" hidden="1" x14ac:dyDescent="0.25">
      <c r="C675" s="35"/>
      <c r="L675" s="848"/>
      <c r="V675" s="304"/>
      <c r="AF675" s="304"/>
      <c r="AP675" s="304"/>
      <c r="AZ675" s="304"/>
      <c r="BJ675" s="304"/>
      <c r="BT675" s="304"/>
      <c r="CD675" s="304"/>
      <c r="CN675" s="304"/>
      <c r="CX675" s="304"/>
      <c r="DH675" s="304"/>
    </row>
    <row r="676" spans="3:112" s="37" customFormat="1" hidden="1" x14ac:dyDescent="0.25">
      <c r="C676" s="35"/>
      <c r="L676" s="848"/>
      <c r="V676" s="304"/>
      <c r="AF676" s="304"/>
      <c r="AP676" s="304"/>
      <c r="AZ676" s="304"/>
      <c r="BJ676" s="304"/>
      <c r="BT676" s="304"/>
      <c r="CD676" s="304"/>
      <c r="CN676" s="304"/>
      <c r="CX676" s="304"/>
      <c r="DH676" s="304"/>
    </row>
    <row r="677" spans="3:112" s="37" customFormat="1" hidden="1" x14ac:dyDescent="0.25">
      <c r="C677" s="35"/>
      <c r="L677" s="848"/>
      <c r="V677" s="304"/>
      <c r="AF677" s="304"/>
      <c r="AP677" s="304"/>
      <c r="AZ677" s="304"/>
      <c r="BJ677" s="304"/>
      <c r="BT677" s="304"/>
      <c r="CD677" s="304"/>
      <c r="CN677" s="304"/>
      <c r="CX677" s="304"/>
      <c r="DH677" s="304"/>
    </row>
    <row r="678" spans="3:112" s="37" customFormat="1" hidden="1" x14ac:dyDescent="0.25">
      <c r="C678" s="35"/>
      <c r="L678" s="848"/>
      <c r="V678" s="304"/>
      <c r="AF678" s="304"/>
      <c r="AP678" s="304"/>
      <c r="AZ678" s="304"/>
      <c r="BJ678" s="304"/>
      <c r="BT678" s="304"/>
      <c r="CD678" s="304"/>
      <c r="CN678" s="304"/>
      <c r="CX678" s="304"/>
      <c r="DH678" s="304"/>
    </row>
    <row r="679" spans="3:112" s="37" customFormat="1" hidden="1" x14ac:dyDescent="0.25">
      <c r="C679" s="35"/>
      <c r="L679" s="848"/>
      <c r="V679" s="304"/>
      <c r="AF679" s="304"/>
      <c r="AP679" s="304"/>
      <c r="AZ679" s="304"/>
      <c r="BJ679" s="304"/>
      <c r="BT679" s="304"/>
      <c r="CD679" s="304"/>
      <c r="CN679" s="304"/>
      <c r="CX679" s="304"/>
      <c r="DH679" s="304"/>
    </row>
    <row r="680" spans="3:112" s="37" customFormat="1" hidden="1" x14ac:dyDescent="0.25">
      <c r="C680" s="35"/>
      <c r="L680" s="848"/>
      <c r="V680" s="304"/>
      <c r="AF680" s="304"/>
      <c r="AP680" s="304"/>
      <c r="AZ680" s="304"/>
      <c r="BJ680" s="304"/>
      <c r="BT680" s="304"/>
      <c r="CD680" s="304"/>
      <c r="CN680" s="304"/>
      <c r="CX680" s="304"/>
      <c r="DH680" s="304"/>
    </row>
    <row r="681" spans="3:112" s="37" customFormat="1" hidden="1" x14ac:dyDescent="0.25">
      <c r="C681" s="35"/>
      <c r="L681" s="848"/>
      <c r="V681" s="304"/>
      <c r="AF681" s="304"/>
      <c r="AP681" s="304"/>
      <c r="AZ681" s="304"/>
      <c r="BJ681" s="304"/>
      <c r="BT681" s="304"/>
      <c r="CD681" s="304"/>
      <c r="CN681" s="304"/>
      <c r="CX681" s="304"/>
      <c r="DH681" s="304"/>
    </row>
    <row r="682" spans="3:112" s="37" customFormat="1" hidden="1" x14ac:dyDescent="0.25">
      <c r="C682" s="35"/>
      <c r="L682" s="848"/>
      <c r="V682" s="304"/>
      <c r="AF682" s="304"/>
      <c r="AP682" s="304"/>
      <c r="AZ682" s="304"/>
      <c r="BJ682" s="304"/>
      <c r="BT682" s="304"/>
      <c r="CD682" s="304"/>
      <c r="CN682" s="304"/>
      <c r="CX682" s="304"/>
      <c r="DH682" s="304"/>
    </row>
    <row r="683" spans="3:112" s="37" customFormat="1" hidden="1" x14ac:dyDescent="0.25">
      <c r="C683" s="35"/>
      <c r="L683" s="848"/>
      <c r="V683" s="304"/>
      <c r="AF683" s="304"/>
      <c r="AP683" s="304"/>
      <c r="AZ683" s="304"/>
      <c r="BJ683" s="304"/>
      <c r="BT683" s="304"/>
      <c r="CD683" s="304"/>
      <c r="CN683" s="304"/>
      <c r="CX683" s="304"/>
      <c r="DH683" s="304"/>
    </row>
    <row r="684" spans="3:112" s="37" customFormat="1" hidden="1" x14ac:dyDescent="0.25">
      <c r="C684" s="35"/>
      <c r="L684" s="848"/>
      <c r="V684" s="304"/>
      <c r="AF684" s="304"/>
      <c r="AP684" s="304"/>
      <c r="AZ684" s="304"/>
      <c r="BJ684" s="304"/>
      <c r="BT684" s="304"/>
      <c r="CD684" s="304"/>
      <c r="CN684" s="304"/>
      <c r="CX684" s="304"/>
      <c r="DH684" s="304"/>
    </row>
    <row r="685" spans="3:112" s="37" customFormat="1" hidden="1" x14ac:dyDescent="0.25">
      <c r="C685" s="35"/>
      <c r="L685" s="848"/>
      <c r="V685" s="304"/>
      <c r="AF685" s="304"/>
      <c r="AP685" s="304"/>
      <c r="AZ685" s="304"/>
      <c r="BJ685" s="304"/>
      <c r="BT685" s="304"/>
      <c r="CD685" s="304"/>
      <c r="CN685" s="304"/>
      <c r="CX685" s="304"/>
      <c r="DH685" s="304"/>
    </row>
    <row r="686" spans="3:112" s="37" customFormat="1" hidden="1" x14ac:dyDescent="0.25">
      <c r="C686" s="35"/>
      <c r="L686" s="848"/>
      <c r="V686" s="304"/>
      <c r="AF686" s="304"/>
      <c r="AP686" s="304"/>
      <c r="AZ686" s="304"/>
      <c r="BJ686" s="304"/>
      <c r="BT686" s="304"/>
      <c r="CD686" s="304"/>
      <c r="CN686" s="304"/>
      <c r="CX686" s="304"/>
      <c r="DH686" s="304"/>
    </row>
    <row r="687" spans="3:112" s="37" customFormat="1" hidden="1" x14ac:dyDescent="0.25">
      <c r="C687" s="35"/>
      <c r="L687" s="848"/>
      <c r="V687" s="304"/>
      <c r="AF687" s="304"/>
      <c r="AP687" s="304"/>
      <c r="AZ687" s="304"/>
      <c r="BJ687" s="304"/>
      <c r="BT687" s="304"/>
      <c r="CD687" s="304"/>
      <c r="CN687" s="304"/>
      <c r="CX687" s="304"/>
      <c r="DH687" s="304"/>
    </row>
    <row r="688" spans="3:112" s="37" customFormat="1" hidden="1" x14ac:dyDescent="0.25">
      <c r="C688" s="35"/>
      <c r="L688" s="848"/>
      <c r="V688" s="304"/>
      <c r="AF688" s="304"/>
      <c r="AP688" s="304"/>
      <c r="AZ688" s="304"/>
      <c r="BJ688" s="304"/>
      <c r="BT688" s="304"/>
      <c r="CD688" s="304"/>
      <c r="CN688" s="304"/>
      <c r="CX688" s="304"/>
      <c r="DH688" s="304"/>
    </row>
    <row r="689" spans="3:112" s="37" customFormat="1" hidden="1" x14ac:dyDescent="0.25">
      <c r="C689" s="35"/>
      <c r="L689" s="848"/>
      <c r="V689" s="304"/>
      <c r="AF689" s="304"/>
      <c r="AP689" s="304"/>
      <c r="AZ689" s="304"/>
      <c r="BJ689" s="304"/>
      <c r="BT689" s="304"/>
      <c r="CD689" s="304"/>
      <c r="CN689" s="304"/>
      <c r="CX689" s="304"/>
      <c r="DH689" s="304"/>
    </row>
    <row r="690" spans="3:112" s="37" customFormat="1" hidden="1" x14ac:dyDescent="0.25">
      <c r="C690" s="35"/>
      <c r="L690" s="848"/>
      <c r="V690" s="304"/>
      <c r="AF690" s="304"/>
      <c r="AP690" s="304"/>
      <c r="AZ690" s="304"/>
      <c r="BJ690" s="304"/>
      <c r="BT690" s="304"/>
      <c r="CD690" s="304"/>
      <c r="CN690" s="304"/>
      <c r="CX690" s="304"/>
      <c r="DH690" s="304"/>
    </row>
    <row r="691" spans="3:112" s="37" customFormat="1" hidden="1" x14ac:dyDescent="0.25">
      <c r="C691" s="35"/>
      <c r="L691" s="848"/>
      <c r="V691" s="304"/>
      <c r="AF691" s="304"/>
      <c r="AP691" s="304"/>
      <c r="AZ691" s="304"/>
      <c r="BJ691" s="304"/>
      <c r="BT691" s="304"/>
      <c r="CD691" s="304"/>
      <c r="CN691" s="304"/>
      <c r="CX691" s="304"/>
      <c r="DH691" s="304"/>
    </row>
    <row r="692" spans="3:112" s="37" customFormat="1" hidden="1" x14ac:dyDescent="0.25">
      <c r="C692" s="35"/>
      <c r="L692" s="848"/>
      <c r="V692" s="304"/>
      <c r="AF692" s="304"/>
      <c r="AP692" s="304"/>
      <c r="AZ692" s="304"/>
      <c r="BJ692" s="304"/>
      <c r="BT692" s="304"/>
      <c r="CD692" s="304"/>
      <c r="CN692" s="304"/>
      <c r="CX692" s="304"/>
      <c r="DH692" s="304"/>
    </row>
    <row r="693" spans="3:112" s="37" customFormat="1" hidden="1" x14ac:dyDescent="0.25">
      <c r="C693" s="35"/>
      <c r="L693" s="848"/>
      <c r="V693" s="304"/>
      <c r="AF693" s="304"/>
      <c r="AP693" s="304"/>
      <c r="AZ693" s="304"/>
      <c r="BJ693" s="304"/>
      <c r="BT693" s="304"/>
      <c r="CD693" s="304"/>
      <c r="CN693" s="304"/>
      <c r="CX693" s="304"/>
      <c r="DH693" s="304"/>
    </row>
    <row r="694" spans="3:112" s="37" customFormat="1" hidden="1" x14ac:dyDescent="0.25">
      <c r="C694" s="35"/>
      <c r="L694" s="848"/>
      <c r="V694" s="304"/>
      <c r="AF694" s="304"/>
      <c r="AP694" s="304"/>
      <c r="AZ694" s="304"/>
      <c r="BJ694" s="304"/>
      <c r="BT694" s="304"/>
      <c r="CD694" s="304"/>
      <c r="CN694" s="304"/>
      <c r="CX694" s="304"/>
      <c r="DH694" s="304"/>
    </row>
    <row r="695" spans="3:112" s="37" customFormat="1" hidden="1" x14ac:dyDescent="0.25">
      <c r="C695" s="35"/>
      <c r="L695" s="848"/>
      <c r="V695" s="304"/>
      <c r="AF695" s="304"/>
      <c r="AP695" s="304"/>
      <c r="AZ695" s="304"/>
      <c r="BJ695" s="304"/>
      <c r="BT695" s="304"/>
      <c r="CD695" s="304"/>
      <c r="CN695" s="304"/>
      <c r="CX695" s="304"/>
      <c r="DH695" s="304"/>
    </row>
    <row r="696" spans="3:112" s="37" customFormat="1" hidden="1" x14ac:dyDescent="0.25">
      <c r="C696" s="35"/>
      <c r="L696" s="848"/>
      <c r="V696" s="304"/>
      <c r="AF696" s="304"/>
      <c r="AP696" s="304"/>
      <c r="AZ696" s="304"/>
      <c r="BJ696" s="304"/>
      <c r="BT696" s="304"/>
      <c r="CD696" s="304"/>
      <c r="CN696" s="304"/>
      <c r="CX696" s="304"/>
      <c r="DH696" s="304"/>
    </row>
    <row r="697" spans="3:112" s="37" customFormat="1" hidden="1" x14ac:dyDescent="0.25">
      <c r="C697" s="35"/>
      <c r="L697" s="848"/>
      <c r="V697" s="304"/>
      <c r="AF697" s="304"/>
      <c r="AP697" s="304"/>
      <c r="AZ697" s="304"/>
      <c r="BJ697" s="304"/>
      <c r="BT697" s="304"/>
      <c r="CD697" s="304"/>
      <c r="CN697" s="304"/>
      <c r="CX697" s="304"/>
      <c r="DH697" s="304"/>
    </row>
    <row r="698" spans="3:112" s="37" customFormat="1" hidden="1" x14ac:dyDescent="0.25">
      <c r="C698" s="35"/>
      <c r="L698" s="848"/>
      <c r="V698" s="304"/>
      <c r="AF698" s="304"/>
      <c r="AP698" s="304"/>
      <c r="AZ698" s="304"/>
      <c r="BJ698" s="304"/>
      <c r="BT698" s="304"/>
      <c r="CD698" s="304"/>
      <c r="CN698" s="304"/>
      <c r="CX698" s="304"/>
      <c r="DH698" s="304"/>
    </row>
    <row r="699" spans="3:112" s="37" customFormat="1" hidden="1" x14ac:dyDescent="0.25">
      <c r="C699" s="35"/>
      <c r="L699" s="848"/>
      <c r="V699" s="304"/>
      <c r="AF699" s="304"/>
      <c r="AP699" s="304"/>
      <c r="AZ699" s="304"/>
      <c r="BJ699" s="304"/>
      <c r="BT699" s="304"/>
      <c r="CD699" s="304"/>
      <c r="CN699" s="304"/>
      <c r="CX699" s="304"/>
      <c r="DH699" s="304"/>
    </row>
    <row r="700" spans="3:112" s="37" customFormat="1" hidden="1" x14ac:dyDescent="0.25">
      <c r="C700" s="35"/>
      <c r="L700" s="848"/>
      <c r="V700" s="304"/>
      <c r="AF700" s="304"/>
      <c r="AP700" s="304"/>
      <c r="AZ700" s="304"/>
      <c r="BJ700" s="304"/>
      <c r="BT700" s="304"/>
      <c r="CD700" s="304"/>
      <c r="CN700" s="304"/>
      <c r="CX700" s="304"/>
      <c r="DH700" s="304"/>
    </row>
    <row r="701" spans="3:112" s="37" customFormat="1" hidden="1" x14ac:dyDescent="0.25">
      <c r="C701" s="35"/>
      <c r="L701" s="848"/>
      <c r="V701" s="304"/>
      <c r="AF701" s="304"/>
      <c r="AP701" s="304"/>
      <c r="AZ701" s="304"/>
      <c r="BJ701" s="304"/>
      <c r="BT701" s="304"/>
      <c r="CD701" s="304"/>
      <c r="CN701" s="304"/>
      <c r="CX701" s="304"/>
      <c r="DH701" s="304"/>
    </row>
    <row r="702" spans="3:112" s="37" customFormat="1" hidden="1" x14ac:dyDescent="0.25">
      <c r="C702" s="35"/>
      <c r="L702" s="848"/>
      <c r="V702" s="304"/>
      <c r="AF702" s="304"/>
      <c r="AP702" s="304"/>
      <c r="AZ702" s="304"/>
      <c r="BJ702" s="304"/>
      <c r="BT702" s="304"/>
      <c r="CD702" s="304"/>
      <c r="CN702" s="304"/>
      <c r="CX702" s="304"/>
      <c r="DH702" s="304"/>
    </row>
    <row r="703" spans="3:112" s="37" customFormat="1" hidden="1" x14ac:dyDescent="0.25">
      <c r="C703" s="35"/>
      <c r="L703" s="848"/>
      <c r="V703" s="304"/>
      <c r="AF703" s="304"/>
      <c r="AP703" s="304"/>
      <c r="AZ703" s="304"/>
      <c r="BJ703" s="304"/>
      <c r="BT703" s="304"/>
      <c r="CD703" s="304"/>
      <c r="CN703" s="304"/>
      <c r="CX703" s="304"/>
      <c r="DH703" s="304"/>
    </row>
    <row r="704" spans="3:112" s="37" customFormat="1" hidden="1" x14ac:dyDescent="0.25">
      <c r="C704" s="35"/>
      <c r="L704" s="848"/>
      <c r="V704" s="304"/>
      <c r="AF704" s="304"/>
      <c r="AP704" s="304"/>
      <c r="AZ704" s="304"/>
      <c r="BJ704" s="304"/>
      <c r="BT704" s="304"/>
      <c r="CD704" s="304"/>
      <c r="CN704" s="304"/>
      <c r="CX704" s="304"/>
      <c r="DH704" s="304"/>
    </row>
    <row r="705" spans="3:112" s="37" customFormat="1" hidden="1" x14ac:dyDescent="0.25">
      <c r="C705" s="35"/>
      <c r="L705" s="848"/>
      <c r="V705" s="304"/>
      <c r="AF705" s="304"/>
      <c r="AP705" s="304"/>
      <c r="AZ705" s="304"/>
      <c r="BJ705" s="304"/>
      <c r="BT705" s="304"/>
      <c r="CD705" s="304"/>
      <c r="CN705" s="304"/>
      <c r="CX705" s="304"/>
      <c r="DH705" s="304"/>
    </row>
    <row r="706" spans="3:112" s="37" customFormat="1" hidden="1" x14ac:dyDescent="0.25">
      <c r="C706" s="35"/>
      <c r="L706" s="848"/>
      <c r="V706" s="304"/>
      <c r="AF706" s="304"/>
      <c r="AP706" s="304"/>
      <c r="AZ706" s="304"/>
      <c r="BJ706" s="304"/>
      <c r="BT706" s="304"/>
      <c r="CD706" s="304"/>
      <c r="CN706" s="304"/>
      <c r="CX706" s="304"/>
      <c r="DH706" s="304"/>
    </row>
    <row r="707" spans="3:112" s="37" customFormat="1" hidden="1" x14ac:dyDescent="0.25">
      <c r="C707" s="35"/>
      <c r="L707" s="848"/>
      <c r="V707" s="304"/>
      <c r="AF707" s="304"/>
      <c r="AP707" s="304"/>
      <c r="AZ707" s="304"/>
      <c r="BJ707" s="304"/>
      <c r="BT707" s="304"/>
      <c r="CD707" s="304"/>
      <c r="CN707" s="304"/>
      <c r="CX707" s="304"/>
      <c r="DH707" s="304"/>
    </row>
    <row r="708" spans="3:112" s="37" customFormat="1" hidden="1" x14ac:dyDescent="0.25">
      <c r="C708" s="35"/>
      <c r="L708" s="848"/>
      <c r="V708" s="304"/>
      <c r="AF708" s="304"/>
      <c r="AP708" s="304"/>
      <c r="AZ708" s="304"/>
      <c r="BJ708" s="304"/>
      <c r="BT708" s="304"/>
      <c r="CD708" s="304"/>
      <c r="CN708" s="304"/>
      <c r="CX708" s="304"/>
      <c r="DH708" s="304"/>
    </row>
    <row r="709" spans="3:112" s="37" customFormat="1" hidden="1" x14ac:dyDescent="0.25">
      <c r="C709" s="35"/>
      <c r="L709" s="848"/>
      <c r="V709" s="304"/>
      <c r="AF709" s="304"/>
      <c r="AP709" s="304"/>
      <c r="AZ709" s="304"/>
      <c r="BJ709" s="304"/>
      <c r="BT709" s="304"/>
      <c r="CD709" s="304"/>
      <c r="CN709" s="304"/>
      <c r="CX709" s="304"/>
      <c r="DH709" s="304"/>
    </row>
    <row r="710" spans="3:112" s="37" customFormat="1" hidden="1" x14ac:dyDescent="0.25">
      <c r="C710" s="35"/>
      <c r="L710" s="848"/>
      <c r="V710" s="304"/>
      <c r="AF710" s="304"/>
      <c r="AP710" s="304"/>
      <c r="AZ710" s="304"/>
      <c r="BJ710" s="304"/>
      <c r="BT710" s="304"/>
      <c r="CD710" s="304"/>
      <c r="CN710" s="304"/>
      <c r="CX710" s="304"/>
      <c r="DH710" s="304"/>
    </row>
    <row r="711" spans="3:112" s="37" customFormat="1" hidden="1" x14ac:dyDescent="0.25">
      <c r="C711" s="35"/>
      <c r="L711" s="848"/>
      <c r="V711" s="304"/>
      <c r="AF711" s="304"/>
      <c r="AP711" s="304"/>
      <c r="AZ711" s="304"/>
      <c r="BJ711" s="304"/>
      <c r="BT711" s="304"/>
      <c r="CD711" s="304"/>
      <c r="CN711" s="304"/>
      <c r="CX711" s="304"/>
      <c r="DH711" s="304"/>
    </row>
    <row r="712" spans="3:112" s="37" customFormat="1" hidden="1" x14ac:dyDescent="0.25">
      <c r="C712" s="35"/>
      <c r="L712" s="848"/>
      <c r="V712" s="304"/>
      <c r="AF712" s="304"/>
      <c r="AP712" s="304"/>
      <c r="AZ712" s="304"/>
      <c r="BJ712" s="304"/>
      <c r="BT712" s="304"/>
      <c r="CD712" s="304"/>
      <c r="CN712" s="304"/>
      <c r="CX712" s="304"/>
      <c r="DH712" s="304"/>
    </row>
    <row r="713" spans="3:112" s="37" customFormat="1" hidden="1" x14ac:dyDescent="0.25">
      <c r="C713" s="35"/>
      <c r="L713" s="848"/>
      <c r="V713" s="304"/>
      <c r="AF713" s="304"/>
      <c r="AP713" s="304"/>
      <c r="AZ713" s="304"/>
      <c r="BJ713" s="304"/>
      <c r="BT713" s="304"/>
      <c r="CD713" s="304"/>
      <c r="CN713" s="304"/>
      <c r="CX713" s="304"/>
      <c r="DH713" s="304"/>
    </row>
    <row r="714" spans="3:112" s="37" customFormat="1" hidden="1" x14ac:dyDescent="0.25">
      <c r="C714" s="35"/>
      <c r="L714" s="848"/>
      <c r="V714" s="304"/>
      <c r="AF714" s="304"/>
      <c r="AP714" s="304"/>
      <c r="AZ714" s="304"/>
      <c r="BJ714" s="304"/>
      <c r="BT714" s="304"/>
      <c r="CD714" s="304"/>
      <c r="CN714" s="304"/>
      <c r="CX714" s="304"/>
      <c r="DH714" s="304"/>
    </row>
    <row r="715" spans="3:112" s="37" customFormat="1" hidden="1" x14ac:dyDescent="0.25">
      <c r="C715" s="35"/>
      <c r="L715" s="848"/>
      <c r="V715" s="304"/>
      <c r="AF715" s="304"/>
      <c r="AP715" s="304"/>
      <c r="AZ715" s="304"/>
      <c r="BJ715" s="304"/>
      <c r="BT715" s="304"/>
      <c r="CD715" s="304"/>
      <c r="CN715" s="304"/>
      <c r="CX715" s="304"/>
      <c r="DH715" s="304"/>
    </row>
    <row r="716" spans="3:112" s="37" customFormat="1" hidden="1" x14ac:dyDescent="0.25">
      <c r="C716" s="35"/>
      <c r="L716" s="848"/>
      <c r="V716" s="304"/>
      <c r="AF716" s="304"/>
      <c r="AP716" s="304"/>
      <c r="AZ716" s="304"/>
      <c r="BJ716" s="304"/>
      <c r="BT716" s="304"/>
      <c r="CD716" s="304"/>
      <c r="CN716" s="304"/>
      <c r="CX716" s="304"/>
      <c r="DH716" s="304"/>
    </row>
    <row r="717" spans="3:112" s="37" customFormat="1" hidden="1" x14ac:dyDescent="0.25">
      <c r="C717" s="35"/>
      <c r="L717" s="848"/>
      <c r="V717" s="304"/>
      <c r="AF717" s="304"/>
      <c r="AP717" s="304"/>
      <c r="AZ717" s="304"/>
      <c r="BJ717" s="304"/>
      <c r="BT717" s="304"/>
      <c r="CD717" s="304"/>
      <c r="CN717" s="304"/>
      <c r="CX717" s="304"/>
      <c r="DH717" s="304"/>
    </row>
    <row r="718" spans="3:112" s="37" customFormat="1" hidden="1" x14ac:dyDescent="0.25">
      <c r="C718" s="35"/>
      <c r="L718" s="848"/>
      <c r="V718" s="304"/>
      <c r="AF718" s="304"/>
      <c r="AP718" s="304"/>
      <c r="AZ718" s="304"/>
      <c r="BJ718" s="304"/>
      <c r="BT718" s="304"/>
      <c r="CD718" s="304"/>
      <c r="CN718" s="304"/>
      <c r="CX718" s="304"/>
      <c r="DH718" s="304"/>
    </row>
    <row r="719" spans="3:112" s="37" customFormat="1" hidden="1" x14ac:dyDescent="0.25">
      <c r="C719" s="35"/>
      <c r="L719" s="848"/>
      <c r="V719" s="304"/>
      <c r="AF719" s="304"/>
      <c r="AP719" s="304"/>
      <c r="AZ719" s="304"/>
      <c r="BJ719" s="304"/>
      <c r="BT719" s="304"/>
      <c r="CD719" s="304"/>
      <c r="CN719" s="304"/>
      <c r="CX719" s="304"/>
      <c r="DH719" s="304"/>
    </row>
    <row r="720" spans="3:112" s="37" customFormat="1" hidden="1" x14ac:dyDescent="0.25">
      <c r="C720" s="35"/>
      <c r="L720" s="848"/>
      <c r="V720" s="304"/>
      <c r="AF720" s="304"/>
      <c r="AP720" s="304"/>
      <c r="AZ720" s="304"/>
      <c r="BJ720" s="304"/>
      <c r="BT720" s="304"/>
      <c r="CD720" s="304"/>
      <c r="CN720" s="304"/>
      <c r="CX720" s="304"/>
      <c r="DH720" s="304"/>
    </row>
    <row r="721" spans="3:112" s="37" customFormat="1" hidden="1" x14ac:dyDescent="0.25">
      <c r="C721" s="35"/>
      <c r="L721" s="848"/>
      <c r="V721" s="304"/>
      <c r="AF721" s="304"/>
      <c r="AP721" s="304"/>
      <c r="AZ721" s="304"/>
      <c r="BJ721" s="304"/>
      <c r="BT721" s="304"/>
      <c r="CD721" s="304"/>
      <c r="CN721" s="304"/>
      <c r="CX721" s="304"/>
      <c r="DH721" s="304"/>
    </row>
    <row r="722" spans="3:112" s="37" customFormat="1" hidden="1" x14ac:dyDescent="0.25">
      <c r="C722" s="35"/>
      <c r="L722" s="848"/>
      <c r="V722" s="304"/>
      <c r="AF722" s="304"/>
      <c r="AP722" s="304"/>
      <c r="AZ722" s="304"/>
      <c r="BJ722" s="304"/>
      <c r="BT722" s="304"/>
      <c r="CD722" s="304"/>
      <c r="CN722" s="304"/>
      <c r="CX722" s="304"/>
      <c r="DH722" s="304"/>
    </row>
    <row r="723" spans="3:112" s="37" customFormat="1" hidden="1" x14ac:dyDescent="0.25">
      <c r="C723" s="35"/>
      <c r="L723" s="848"/>
      <c r="V723" s="304"/>
      <c r="AF723" s="304"/>
      <c r="AP723" s="304"/>
      <c r="AZ723" s="304"/>
      <c r="BJ723" s="304"/>
      <c r="BT723" s="304"/>
      <c r="CD723" s="304"/>
      <c r="CN723" s="304"/>
      <c r="CX723" s="304"/>
      <c r="DH723" s="304"/>
    </row>
    <row r="724" spans="3:112" s="37" customFormat="1" hidden="1" x14ac:dyDescent="0.25">
      <c r="C724" s="35"/>
      <c r="L724" s="848"/>
      <c r="V724" s="304"/>
      <c r="AF724" s="304"/>
      <c r="AP724" s="304"/>
      <c r="AZ724" s="304"/>
      <c r="BJ724" s="304"/>
      <c r="BT724" s="304"/>
      <c r="CD724" s="304"/>
      <c r="CN724" s="304"/>
      <c r="CX724" s="304"/>
      <c r="DH724" s="304"/>
    </row>
    <row r="725" spans="3:112" s="37" customFormat="1" hidden="1" x14ac:dyDescent="0.25">
      <c r="C725" s="35"/>
      <c r="L725" s="848"/>
      <c r="V725" s="304"/>
      <c r="AF725" s="304"/>
      <c r="AP725" s="304"/>
      <c r="AZ725" s="304"/>
      <c r="BJ725" s="304"/>
      <c r="BT725" s="304"/>
      <c r="CD725" s="304"/>
      <c r="CN725" s="304"/>
      <c r="CX725" s="304"/>
      <c r="DH725" s="304"/>
    </row>
    <row r="726" spans="3:112" s="37" customFormat="1" hidden="1" x14ac:dyDescent="0.25">
      <c r="C726" s="35"/>
      <c r="L726" s="848"/>
      <c r="V726" s="304"/>
      <c r="AF726" s="304"/>
      <c r="AP726" s="304"/>
      <c r="AZ726" s="304"/>
      <c r="BJ726" s="304"/>
      <c r="BT726" s="304"/>
      <c r="CD726" s="304"/>
      <c r="CN726" s="304"/>
      <c r="CX726" s="304"/>
      <c r="DH726" s="304"/>
    </row>
    <row r="727" spans="3:112" s="37" customFormat="1" hidden="1" x14ac:dyDescent="0.25">
      <c r="C727" s="35"/>
      <c r="L727" s="848"/>
      <c r="V727" s="304"/>
      <c r="AF727" s="304"/>
      <c r="AP727" s="304"/>
      <c r="AZ727" s="304"/>
      <c r="BJ727" s="304"/>
      <c r="BT727" s="304"/>
      <c r="CD727" s="304"/>
      <c r="CN727" s="304"/>
      <c r="CX727" s="304"/>
      <c r="DH727" s="304"/>
    </row>
    <row r="728" spans="3:112" s="37" customFormat="1" hidden="1" x14ac:dyDescent="0.25">
      <c r="C728" s="35"/>
      <c r="L728" s="848"/>
      <c r="V728" s="304"/>
      <c r="AF728" s="304"/>
      <c r="AP728" s="304"/>
      <c r="AZ728" s="304"/>
      <c r="BJ728" s="304"/>
      <c r="BT728" s="304"/>
      <c r="CD728" s="304"/>
      <c r="CN728" s="304"/>
      <c r="CX728" s="304"/>
      <c r="DH728" s="304"/>
    </row>
    <row r="729" spans="3:112" s="37" customFormat="1" hidden="1" x14ac:dyDescent="0.25">
      <c r="C729" s="35"/>
      <c r="L729" s="848"/>
      <c r="V729" s="304"/>
      <c r="AF729" s="304"/>
      <c r="AP729" s="304"/>
      <c r="AZ729" s="304"/>
      <c r="BJ729" s="304"/>
      <c r="BT729" s="304"/>
      <c r="CD729" s="304"/>
      <c r="CN729" s="304"/>
      <c r="CX729" s="304"/>
      <c r="DH729" s="304"/>
    </row>
    <row r="730" spans="3:112" s="37" customFormat="1" hidden="1" x14ac:dyDescent="0.25">
      <c r="C730" s="35"/>
      <c r="L730" s="848"/>
      <c r="V730" s="304"/>
      <c r="AF730" s="304"/>
      <c r="AP730" s="304"/>
      <c r="AZ730" s="304"/>
      <c r="BJ730" s="304"/>
      <c r="BT730" s="304"/>
      <c r="CD730" s="304"/>
      <c r="CN730" s="304"/>
      <c r="CX730" s="304"/>
      <c r="DH730" s="304"/>
    </row>
    <row r="731" spans="3:112" s="37" customFormat="1" hidden="1" x14ac:dyDescent="0.25">
      <c r="C731" s="35"/>
      <c r="L731" s="848"/>
      <c r="V731" s="304"/>
      <c r="AF731" s="304"/>
      <c r="AP731" s="304"/>
      <c r="AZ731" s="304"/>
      <c r="BJ731" s="304"/>
      <c r="BT731" s="304"/>
      <c r="CD731" s="304"/>
      <c r="CN731" s="304"/>
      <c r="CX731" s="304"/>
      <c r="DH731" s="304"/>
    </row>
    <row r="732" spans="3:112" s="37" customFormat="1" hidden="1" x14ac:dyDescent="0.25">
      <c r="C732" s="35"/>
      <c r="L732" s="848"/>
      <c r="V732" s="304"/>
      <c r="AF732" s="304"/>
      <c r="AP732" s="304"/>
      <c r="AZ732" s="304"/>
      <c r="BJ732" s="304"/>
      <c r="BT732" s="304"/>
      <c r="CD732" s="304"/>
      <c r="CN732" s="304"/>
      <c r="CX732" s="304"/>
      <c r="DH732" s="304"/>
    </row>
    <row r="733" spans="3:112" s="37" customFormat="1" hidden="1" x14ac:dyDescent="0.25">
      <c r="C733" s="35"/>
      <c r="L733" s="848"/>
      <c r="V733" s="304"/>
      <c r="AF733" s="304"/>
      <c r="AP733" s="304"/>
      <c r="AZ733" s="304"/>
      <c r="BJ733" s="304"/>
      <c r="BT733" s="304"/>
      <c r="CD733" s="304"/>
      <c r="CN733" s="304"/>
      <c r="CX733" s="304"/>
      <c r="DH733" s="304"/>
    </row>
    <row r="734" spans="3:112" s="37" customFormat="1" hidden="1" x14ac:dyDescent="0.25">
      <c r="C734" s="35"/>
      <c r="L734" s="848"/>
      <c r="V734" s="304"/>
      <c r="AF734" s="304"/>
      <c r="AP734" s="304"/>
      <c r="AZ734" s="304"/>
      <c r="BJ734" s="304"/>
      <c r="BT734" s="304"/>
      <c r="CD734" s="304"/>
      <c r="CN734" s="304"/>
      <c r="CX734" s="304"/>
      <c r="DH734" s="304"/>
    </row>
    <row r="735" spans="3:112" s="37" customFormat="1" hidden="1" x14ac:dyDescent="0.25">
      <c r="C735" s="35"/>
      <c r="L735" s="848"/>
      <c r="V735" s="304"/>
      <c r="AF735" s="304"/>
      <c r="AP735" s="304"/>
      <c r="AZ735" s="304"/>
      <c r="BJ735" s="304"/>
      <c r="BT735" s="304"/>
      <c r="CD735" s="304"/>
      <c r="CN735" s="304"/>
      <c r="CX735" s="304"/>
      <c r="DH735" s="304"/>
    </row>
    <row r="736" spans="3:112" s="37" customFormat="1" hidden="1" x14ac:dyDescent="0.25">
      <c r="C736" s="35"/>
      <c r="L736" s="848"/>
      <c r="V736" s="304"/>
      <c r="AF736" s="304"/>
      <c r="AP736" s="304"/>
      <c r="AZ736" s="304"/>
      <c r="BJ736" s="304"/>
      <c r="BT736" s="304"/>
      <c r="CD736" s="304"/>
      <c r="CN736" s="304"/>
      <c r="CX736" s="304"/>
      <c r="DH736" s="304"/>
    </row>
    <row r="737" spans="3:112" s="37" customFormat="1" hidden="1" x14ac:dyDescent="0.25">
      <c r="C737" s="35"/>
      <c r="L737" s="848"/>
      <c r="V737" s="304"/>
      <c r="AF737" s="304"/>
      <c r="AP737" s="304"/>
      <c r="AZ737" s="304"/>
      <c r="BJ737" s="304"/>
      <c r="BT737" s="304"/>
      <c r="CD737" s="304"/>
      <c r="CN737" s="304"/>
      <c r="CX737" s="304"/>
      <c r="DH737" s="304"/>
    </row>
    <row r="738" spans="3:112" s="37" customFormat="1" hidden="1" x14ac:dyDescent="0.25">
      <c r="C738" s="35"/>
      <c r="L738" s="848"/>
      <c r="V738" s="304"/>
      <c r="AF738" s="304"/>
      <c r="AP738" s="304"/>
      <c r="AZ738" s="304"/>
      <c r="BJ738" s="304"/>
      <c r="BT738" s="304"/>
      <c r="CD738" s="304"/>
      <c r="CN738" s="304"/>
      <c r="CX738" s="304"/>
      <c r="DH738" s="304"/>
    </row>
    <row r="739" spans="3:112" s="37" customFormat="1" hidden="1" x14ac:dyDescent="0.25">
      <c r="C739" s="35"/>
      <c r="L739" s="848"/>
      <c r="V739" s="304"/>
      <c r="AF739" s="304"/>
      <c r="AP739" s="304"/>
      <c r="AZ739" s="304"/>
      <c r="BJ739" s="304"/>
      <c r="BT739" s="304"/>
      <c r="CD739" s="304"/>
      <c r="CN739" s="304"/>
      <c r="CX739" s="304"/>
      <c r="DH739" s="304"/>
    </row>
    <row r="740" spans="3:112" s="37" customFormat="1" hidden="1" x14ac:dyDescent="0.25">
      <c r="C740" s="35"/>
      <c r="L740" s="848"/>
      <c r="V740" s="304"/>
      <c r="AF740" s="304"/>
      <c r="AP740" s="304"/>
      <c r="AZ740" s="304"/>
      <c r="BJ740" s="304"/>
      <c r="BT740" s="304"/>
      <c r="CD740" s="304"/>
      <c r="CN740" s="304"/>
      <c r="CX740" s="304"/>
      <c r="DH740" s="304"/>
    </row>
    <row r="741" spans="3:112" s="37" customFormat="1" hidden="1" x14ac:dyDescent="0.25">
      <c r="C741" s="35"/>
      <c r="L741" s="848"/>
      <c r="V741" s="304"/>
      <c r="AF741" s="304"/>
      <c r="AP741" s="304"/>
      <c r="AZ741" s="304"/>
      <c r="BJ741" s="304"/>
      <c r="BT741" s="304"/>
      <c r="CD741" s="304"/>
      <c r="CN741" s="304"/>
      <c r="CX741" s="304"/>
      <c r="DH741" s="304"/>
    </row>
    <row r="742" spans="3:112" s="37" customFormat="1" hidden="1" x14ac:dyDescent="0.25">
      <c r="C742" s="35"/>
      <c r="L742" s="848"/>
      <c r="V742" s="304"/>
      <c r="AF742" s="304"/>
      <c r="AP742" s="304"/>
      <c r="AZ742" s="304"/>
      <c r="BJ742" s="304"/>
      <c r="BT742" s="304"/>
      <c r="CD742" s="304"/>
      <c r="CN742" s="304"/>
      <c r="CX742" s="304"/>
      <c r="DH742" s="304"/>
    </row>
    <row r="743" spans="3:112" s="37" customFormat="1" hidden="1" x14ac:dyDescent="0.25">
      <c r="C743" s="35"/>
      <c r="L743" s="848"/>
      <c r="V743" s="304"/>
      <c r="AF743" s="304"/>
      <c r="AP743" s="304"/>
      <c r="AZ743" s="304"/>
      <c r="BJ743" s="304"/>
      <c r="BT743" s="304"/>
      <c r="CD743" s="304"/>
      <c r="CN743" s="304"/>
      <c r="CX743" s="304"/>
      <c r="DH743" s="304"/>
    </row>
    <row r="744" spans="3:112" s="37" customFormat="1" hidden="1" x14ac:dyDescent="0.25">
      <c r="C744" s="35"/>
      <c r="L744" s="848"/>
      <c r="V744" s="304"/>
      <c r="AF744" s="304"/>
      <c r="AP744" s="304"/>
      <c r="AZ744" s="304"/>
      <c r="BJ744" s="304"/>
      <c r="BT744" s="304"/>
      <c r="CD744" s="304"/>
      <c r="CN744" s="304"/>
      <c r="CX744" s="304"/>
      <c r="DH744" s="304"/>
    </row>
    <row r="745" spans="3:112" s="37" customFormat="1" hidden="1" x14ac:dyDescent="0.25">
      <c r="C745" s="35"/>
      <c r="L745" s="848"/>
      <c r="V745" s="304"/>
      <c r="AF745" s="304"/>
      <c r="AP745" s="304"/>
      <c r="AZ745" s="304"/>
      <c r="BJ745" s="304"/>
      <c r="BT745" s="304"/>
      <c r="CD745" s="304"/>
      <c r="CN745" s="304"/>
      <c r="CX745" s="304"/>
      <c r="DH745" s="304"/>
    </row>
    <row r="746" spans="3:112" s="37" customFormat="1" hidden="1" x14ac:dyDescent="0.25">
      <c r="C746" s="35"/>
      <c r="L746" s="848"/>
      <c r="V746" s="304"/>
      <c r="AF746" s="304"/>
      <c r="AP746" s="304"/>
      <c r="AZ746" s="304"/>
      <c r="BJ746" s="304"/>
      <c r="BT746" s="304"/>
      <c r="CD746" s="304"/>
      <c r="CN746" s="304"/>
      <c r="CX746" s="304"/>
      <c r="DH746" s="304"/>
    </row>
    <row r="747" spans="3:112" s="37" customFormat="1" hidden="1" x14ac:dyDescent="0.25">
      <c r="C747" s="35"/>
      <c r="L747" s="848"/>
      <c r="V747" s="304"/>
      <c r="AF747" s="304"/>
      <c r="AP747" s="304"/>
      <c r="AZ747" s="304"/>
      <c r="BJ747" s="304"/>
      <c r="BT747" s="304"/>
      <c r="CD747" s="304"/>
      <c r="CN747" s="304"/>
      <c r="CX747" s="304"/>
      <c r="DH747" s="304"/>
    </row>
    <row r="748" spans="3:112" s="37" customFormat="1" hidden="1" x14ac:dyDescent="0.25">
      <c r="C748" s="35"/>
      <c r="L748" s="848"/>
      <c r="V748" s="304"/>
      <c r="AF748" s="304"/>
      <c r="AP748" s="304"/>
      <c r="AZ748" s="304"/>
      <c r="BJ748" s="304"/>
      <c r="BT748" s="304"/>
      <c r="CD748" s="304"/>
      <c r="CN748" s="304"/>
      <c r="CX748" s="304"/>
      <c r="DH748" s="304"/>
    </row>
    <row r="749" spans="3:112" s="37" customFormat="1" hidden="1" x14ac:dyDescent="0.25">
      <c r="C749" s="35"/>
      <c r="L749" s="848"/>
      <c r="V749" s="304"/>
      <c r="AF749" s="304"/>
      <c r="AP749" s="304"/>
      <c r="AZ749" s="304"/>
      <c r="BJ749" s="304"/>
      <c r="BT749" s="304"/>
      <c r="CD749" s="304"/>
      <c r="CN749" s="304"/>
      <c r="CX749" s="304"/>
      <c r="DH749" s="304"/>
    </row>
    <row r="750" spans="3:112" s="37" customFormat="1" hidden="1" x14ac:dyDescent="0.25">
      <c r="C750" s="35"/>
      <c r="L750" s="848"/>
      <c r="V750" s="304"/>
      <c r="AF750" s="304"/>
      <c r="AP750" s="304"/>
      <c r="AZ750" s="304"/>
      <c r="BJ750" s="304"/>
      <c r="BT750" s="304"/>
      <c r="CD750" s="304"/>
      <c r="CN750" s="304"/>
      <c r="CX750" s="304"/>
      <c r="DH750" s="304"/>
    </row>
    <row r="751" spans="3:112" s="37" customFormat="1" hidden="1" x14ac:dyDescent="0.25">
      <c r="C751" s="35"/>
      <c r="L751" s="848"/>
      <c r="V751" s="304"/>
      <c r="AF751" s="304"/>
      <c r="AP751" s="304"/>
      <c r="AZ751" s="304"/>
      <c r="BJ751" s="304"/>
      <c r="BT751" s="304"/>
      <c r="CD751" s="304"/>
      <c r="CN751" s="304"/>
      <c r="CX751" s="304"/>
      <c r="DH751" s="304"/>
    </row>
    <row r="752" spans="3:112" s="37" customFormat="1" hidden="1" x14ac:dyDescent="0.25">
      <c r="C752" s="35"/>
      <c r="L752" s="848"/>
      <c r="V752" s="304"/>
      <c r="AF752" s="304"/>
      <c r="AP752" s="304"/>
      <c r="AZ752" s="304"/>
      <c r="BJ752" s="304"/>
      <c r="BT752" s="304"/>
      <c r="CD752" s="304"/>
      <c r="CN752" s="304"/>
      <c r="CX752" s="304"/>
      <c r="DH752" s="304"/>
    </row>
    <row r="753" spans="3:112" s="37" customFormat="1" hidden="1" x14ac:dyDescent="0.25">
      <c r="C753" s="35"/>
      <c r="L753" s="848"/>
      <c r="V753" s="304"/>
      <c r="AF753" s="304"/>
      <c r="AP753" s="304"/>
      <c r="AZ753" s="304"/>
      <c r="BJ753" s="304"/>
      <c r="BT753" s="304"/>
      <c r="CD753" s="304"/>
      <c r="CN753" s="304"/>
      <c r="CX753" s="304"/>
      <c r="DH753" s="304"/>
    </row>
    <row r="754" spans="3:112" s="37" customFormat="1" hidden="1" x14ac:dyDescent="0.25">
      <c r="C754" s="35"/>
      <c r="L754" s="848"/>
      <c r="V754" s="304"/>
      <c r="AF754" s="304"/>
      <c r="AP754" s="304"/>
      <c r="AZ754" s="304"/>
      <c r="BJ754" s="304"/>
      <c r="BT754" s="304"/>
      <c r="CD754" s="304"/>
      <c r="CN754" s="304"/>
      <c r="CX754" s="304"/>
      <c r="DH754" s="304"/>
    </row>
    <row r="755" spans="3:112" s="37" customFormat="1" hidden="1" x14ac:dyDescent="0.25">
      <c r="C755" s="35"/>
      <c r="L755" s="848"/>
      <c r="V755" s="304"/>
      <c r="AF755" s="304"/>
      <c r="AP755" s="304"/>
      <c r="AZ755" s="304"/>
      <c r="BJ755" s="304"/>
      <c r="BT755" s="304"/>
      <c r="CD755" s="304"/>
      <c r="CN755" s="304"/>
      <c r="CX755" s="304"/>
      <c r="DH755" s="304"/>
    </row>
    <row r="756" spans="3:112" s="37" customFormat="1" hidden="1" x14ac:dyDescent="0.25">
      <c r="C756" s="35"/>
      <c r="L756" s="848"/>
      <c r="V756" s="304"/>
      <c r="AF756" s="304"/>
      <c r="AP756" s="304"/>
      <c r="AZ756" s="304"/>
      <c r="BJ756" s="304"/>
      <c r="BT756" s="304"/>
      <c r="CD756" s="304"/>
      <c r="CN756" s="304"/>
      <c r="CX756" s="304"/>
      <c r="DH756" s="304"/>
    </row>
    <row r="757" spans="3:112" s="37" customFormat="1" hidden="1" x14ac:dyDescent="0.25">
      <c r="C757" s="35"/>
      <c r="L757" s="848"/>
      <c r="V757" s="304"/>
      <c r="AF757" s="304"/>
      <c r="AP757" s="304"/>
      <c r="AZ757" s="304"/>
      <c r="BJ757" s="304"/>
      <c r="BT757" s="304"/>
      <c r="CD757" s="304"/>
      <c r="CN757" s="304"/>
      <c r="CX757" s="304"/>
      <c r="DH757" s="304"/>
    </row>
    <row r="758" spans="3:112" s="37" customFormat="1" hidden="1" x14ac:dyDescent="0.25">
      <c r="C758" s="35"/>
      <c r="L758" s="848"/>
      <c r="V758" s="304"/>
      <c r="AF758" s="304"/>
      <c r="AP758" s="304"/>
      <c r="AZ758" s="304"/>
      <c r="BJ758" s="304"/>
      <c r="BT758" s="304"/>
      <c r="CD758" s="304"/>
      <c r="CN758" s="304"/>
      <c r="CX758" s="304"/>
      <c r="DH758" s="304"/>
    </row>
    <row r="759" spans="3:112" s="37" customFormat="1" hidden="1" x14ac:dyDescent="0.25">
      <c r="C759" s="35"/>
      <c r="L759" s="848"/>
      <c r="V759" s="304"/>
      <c r="AF759" s="304"/>
      <c r="AP759" s="304"/>
      <c r="AZ759" s="304"/>
      <c r="BJ759" s="304"/>
      <c r="BT759" s="304"/>
      <c r="CD759" s="304"/>
      <c r="CN759" s="304"/>
      <c r="CX759" s="304"/>
      <c r="DH759" s="304"/>
    </row>
    <row r="760" spans="3:112" s="37" customFormat="1" hidden="1" x14ac:dyDescent="0.25">
      <c r="C760" s="35"/>
      <c r="L760" s="848"/>
      <c r="V760" s="304"/>
      <c r="AF760" s="304"/>
      <c r="AP760" s="304"/>
      <c r="AZ760" s="304"/>
      <c r="BJ760" s="304"/>
      <c r="BT760" s="304"/>
      <c r="CD760" s="304"/>
      <c r="CN760" s="304"/>
      <c r="CX760" s="304"/>
      <c r="DH760" s="304"/>
    </row>
    <row r="761" spans="3:112" s="37" customFormat="1" hidden="1" x14ac:dyDescent="0.25">
      <c r="C761" s="35"/>
      <c r="L761" s="848"/>
      <c r="V761" s="304"/>
      <c r="AF761" s="304"/>
      <c r="AP761" s="304"/>
      <c r="AZ761" s="304"/>
      <c r="BJ761" s="304"/>
      <c r="BT761" s="304"/>
      <c r="CD761" s="304"/>
      <c r="CN761" s="304"/>
      <c r="CX761" s="304"/>
      <c r="DH761" s="304"/>
    </row>
    <row r="762" spans="3:112" s="37" customFormat="1" hidden="1" x14ac:dyDescent="0.25">
      <c r="C762" s="35"/>
      <c r="L762" s="848"/>
      <c r="V762" s="304"/>
      <c r="AF762" s="304"/>
      <c r="AP762" s="304"/>
      <c r="AZ762" s="304"/>
      <c r="BJ762" s="304"/>
      <c r="BT762" s="304"/>
      <c r="CD762" s="304"/>
      <c r="CN762" s="304"/>
      <c r="CX762" s="304"/>
      <c r="DH762" s="304"/>
    </row>
    <row r="763" spans="3:112" s="37" customFormat="1" hidden="1" x14ac:dyDescent="0.25">
      <c r="C763" s="35"/>
      <c r="L763" s="848"/>
      <c r="V763" s="304"/>
      <c r="AF763" s="304"/>
      <c r="AP763" s="304"/>
      <c r="AZ763" s="304"/>
      <c r="BJ763" s="304"/>
      <c r="BT763" s="304"/>
      <c r="CD763" s="304"/>
      <c r="CN763" s="304"/>
      <c r="CX763" s="304"/>
      <c r="DH763" s="304"/>
    </row>
    <row r="764" spans="3:112" s="37" customFormat="1" hidden="1" x14ac:dyDescent="0.25">
      <c r="C764" s="35"/>
      <c r="L764" s="848"/>
      <c r="V764" s="304"/>
      <c r="AF764" s="304"/>
      <c r="AP764" s="304"/>
      <c r="AZ764" s="304"/>
      <c r="BJ764" s="304"/>
      <c r="BT764" s="304"/>
      <c r="CD764" s="304"/>
      <c r="CN764" s="304"/>
      <c r="CX764" s="304"/>
      <c r="DH764" s="304"/>
    </row>
    <row r="765" spans="3:112" s="37" customFormat="1" hidden="1" x14ac:dyDescent="0.25">
      <c r="C765" s="35"/>
      <c r="L765" s="848"/>
      <c r="V765" s="304"/>
      <c r="AF765" s="304"/>
      <c r="AP765" s="304"/>
      <c r="AZ765" s="304"/>
      <c r="BJ765" s="304"/>
      <c r="BT765" s="304"/>
      <c r="CD765" s="304"/>
      <c r="CN765" s="304"/>
      <c r="CX765" s="304"/>
      <c r="DH765" s="304"/>
    </row>
    <row r="766" spans="3:112" s="37" customFormat="1" hidden="1" x14ac:dyDescent="0.25">
      <c r="C766" s="35"/>
      <c r="L766" s="848"/>
      <c r="V766" s="304"/>
      <c r="AF766" s="304"/>
      <c r="AP766" s="304"/>
      <c r="AZ766" s="304"/>
      <c r="BJ766" s="304"/>
      <c r="BT766" s="304"/>
      <c r="CD766" s="304"/>
      <c r="CN766" s="304"/>
      <c r="CX766" s="304"/>
      <c r="DH766" s="304"/>
    </row>
    <row r="767" spans="3:112" s="37" customFormat="1" hidden="1" x14ac:dyDescent="0.25">
      <c r="C767" s="35"/>
      <c r="L767" s="848"/>
      <c r="V767" s="304"/>
      <c r="AF767" s="304"/>
      <c r="AP767" s="304"/>
      <c r="AZ767" s="304"/>
      <c r="BJ767" s="304"/>
      <c r="BT767" s="304"/>
      <c r="CD767" s="304"/>
      <c r="CN767" s="304"/>
      <c r="CX767" s="304"/>
      <c r="DH767" s="304"/>
    </row>
    <row r="768" spans="3:112" s="37" customFormat="1" hidden="1" x14ac:dyDescent="0.25">
      <c r="C768" s="35"/>
      <c r="L768" s="848"/>
      <c r="V768" s="304"/>
      <c r="AF768" s="304"/>
      <c r="AP768" s="304"/>
      <c r="AZ768" s="304"/>
      <c r="BJ768" s="304"/>
      <c r="BT768" s="304"/>
      <c r="CD768" s="304"/>
      <c r="CN768" s="304"/>
      <c r="CX768" s="304"/>
      <c r="DH768" s="304"/>
    </row>
    <row r="769" spans="3:112" s="37" customFormat="1" hidden="1" x14ac:dyDescent="0.25">
      <c r="C769" s="35"/>
      <c r="L769" s="848"/>
      <c r="V769" s="304"/>
      <c r="AF769" s="304"/>
      <c r="AP769" s="304"/>
      <c r="AZ769" s="304"/>
      <c r="BJ769" s="304"/>
      <c r="BT769" s="304"/>
      <c r="CD769" s="304"/>
      <c r="CN769" s="304"/>
      <c r="CX769" s="304"/>
      <c r="DH769" s="304"/>
    </row>
    <row r="770" spans="3:112" s="37" customFormat="1" hidden="1" x14ac:dyDescent="0.25">
      <c r="C770" s="35"/>
      <c r="L770" s="848"/>
      <c r="V770" s="304"/>
      <c r="AF770" s="304"/>
      <c r="AP770" s="304"/>
      <c r="AZ770" s="304"/>
      <c r="BJ770" s="304"/>
      <c r="BT770" s="304"/>
      <c r="CD770" s="304"/>
      <c r="CN770" s="304"/>
      <c r="CX770" s="304"/>
      <c r="DH770" s="304"/>
    </row>
    <row r="771" spans="3:112" s="37" customFormat="1" hidden="1" x14ac:dyDescent="0.25">
      <c r="C771" s="35"/>
      <c r="L771" s="848"/>
      <c r="V771" s="304"/>
      <c r="AF771" s="304"/>
      <c r="AP771" s="304"/>
      <c r="AZ771" s="304"/>
      <c r="BJ771" s="304"/>
      <c r="BT771" s="304"/>
      <c r="CD771" s="304"/>
      <c r="CN771" s="304"/>
      <c r="CX771" s="304"/>
      <c r="DH771" s="304"/>
    </row>
    <row r="772" spans="3:112" s="37" customFormat="1" hidden="1" x14ac:dyDescent="0.25">
      <c r="C772" s="35"/>
      <c r="L772" s="848"/>
      <c r="V772" s="304"/>
      <c r="AF772" s="304"/>
      <c r="AP772" s="304"/>
      <c r="AZ772" s="304"/>
      <c r="BJ772" s="304"/>
      <c r="BT772" s="304"/>
      <c r="CD772" s="304"/>
      <c r="CN772" s="304"/>
      <c r="CX772" s="304"/>
      <c r="DH772" s="304"/>
    </row>
    <row r="773" spans="3:112" s="37" customFormat="1" hidden="1" x14ac:dyDescent="0.25">
      <c r="C773" s="35"/>
      <c r="L773" s="848"/>
      <c r="V773" s="304"/>
      <c r="AF773" s="304"/>
      <c r="AP773" s="304"/>
      <c r="AZ773" s="304"/>
      <c r="BJ773" s="304"/>
      <c r="BT773" s="304"/>
      <c r="CD773" s="304"/>
      <c r="CN773" s="304"/>
      <c r="CX773" s="304"/>
      <c r="DH773" s="304"/>
    </row>
    <row r="774" spans="3:112" s="37" customFormat="1" hidden="1" x14ac:dyDescent="0.25">
      <c r="C774" s="35"/>
      <c r="L774" s="848"/>
      <c r="V774" s="304"/>
      <c r="AF774" s="304"/>
      <c r="AP774" s="304"/>
      <c r="AZ774" s="304"/>
      <c r="BJ774" s="304"/>
      <c r="BT774" s="304"/>
      <c r="CD774" s="304"/>
      <c r="CN774" s="304"/>
      <c r="CX774" s="304"/>
      <c r="DH774" s="304"/>
    </row>
    <row r="775" spans="3:112" s="37" customFormat="1" hidden="1" x14ac:dyDescent="0.25">
      <c r="C775" s="35"/>
      <c r="L775" s="848"/>
      <c r="V775" s="304"/>
      <c r="AF775" s="304"/>
      <c r="AP775" s="304"/>
      <c r="AZ775" s="304"/>
      <c r="BJ775" s="304"/>
      <c r="BT775" s="304"/>
      <c r="CD775" s="304"/>
      <c r="CN775" s="304"/>
      <c r="CX775" s="304"/>
      <c r="DH775" s="304"/>
    </row>
    <row r="776" spans="3:112" s="37" customFormat="1" hidden="1" x14ac:dyDescent="0.25">
      <c r="C776" s="35"/>
      <c r="L776" s="848"/>
      <c r="V776" s="304"/>
      <c r="AF776" s="304"/>
      <c r="AP776" s="304"/>
      <c r="AZ776" s="304"/>
      <c r="BJ776" s="304"/>
      <c r="BT776" s="304"/>
      <c r="CD776" s="304"/>
      <c r="CN776" s="304"/>
      <c r="CX776" s="304"/>
      <c r="DH776" s="304"/>
    </row>
    <row r="777" spans="3:112" s="37" customFormat="1" hidden="1" x14ac:dyDescent="0.25">
      <c r="C777" s="35"/>
      <c r="L777" s="848"/>
      <c r="V777" s="304"/>
      <c r="AF777" s="304"/>
      <c r="AP777" s="304"/>
      <c r="AZ777" s="304"/>
      <c r="BJ777" s="304"/>
      <c r="BT777" s="304"/>
      <c r="CD777" s="304"/>
      <c r="CN777" s="304"/>
      <c r="CX777" s="304"/>
      <c r="DH777" s="304"/>
    </row>
    <row r="778" spans="3:112" s="37" customFormat="1" hidden="1" x14ac:dyDescent="0.25">
      <c r="C778" s="35"/>
      <c r="L778" s="848"/>
      <c r="V778" s="304"/>
      <c r="AF778" s="304"/>
      <c r="AP778" s="304"/>
      <c r="AZ778" s="304"/>
      <c r="BJ778" s="304"/>
      <c r="BT778" s="304"/>
      <c r="CD778" s="304"/>
      <c r="CN778" s="304"/>
      <c r="CX778" s="304"/>
      <c r="DH778" s="304"/>
    </row>
    <row r="779" spans="3:112" s="37" customFormat="1" hidden="1" x14ac:dyDescent="0.25">
      <c r="C779" s="35"/>
      <c r="L779" s="848"/>
      <c r="V779" s="304"/>
      <c r="AF779" s="304"/>
      <c r="AP779" s="304"/>
      <c r="AZ779" s="304"/>
      <c r="BJ779" s="304"/>
      <c r="BT779" s="304"/>
      <c r="CD779" s="304"/>
      <c r="CN779" s="304"/>
      <c r="CX779" s="304"/>
      <c r="DH779" s="304"/>
    </row>
    <row r="780" spans="3:112" s="37" customFormat="1" hidden="1" x14ac:dyDescent="0.25">
      <c r="C780" s="35"/>
      <c r="L780" s="848"/>
      <c r="V780" s="304"/>
      <c r="AF780" s="304"/>
      <c r="AP780" s="304"/>
      <c r="AZ780" s="304"/>
      <c r="BJ780" s="304"/>
      <c r="BT780" s="304"/>
      <c r="CD780" s="304"/>
      <c r="CN780" s="304"/>
      <c r="CX780" s="304"/>
      <c r="DH780" s="304"/>
    </row>
    <row r="781" spans="3:112" s="37" customFormat="1" hidden="1" x14ac:dyDescent="0.25">
      <c r="C781" s="35"/>
      <c r="L781" s="848"/>
      <c r="V781" s="304"/>
      <c r="AF781" s="304"/>
      <c r="AP781" s="304"/>
      <c r="AZ781" s="304"/>
      <c r="BJ781" s="304"/>
      <c r="BT781" s="304"/>
      <c r="CD781" s="304"/>
      <c r="CN781" s="304"/>
      <c r="CX781" s="304"/>
      <c r="DH781" s="304"/>
    </row>
    <row r="782" spans="3:112" s="37" customFormat="1" hidden="1" x14ac:dyDescent="0.25">
      <c r="C782" s="35"/>
      <c r="L782" s="848"/>
      <c r="V782" s="304"/>
      <c r="AF782" s="304"/>
      <c r="AP782" s="304"/>
      <c r="AZ782" s="304"/>
      <c r="BJ782" s="304"/>
      <c r="BT782" s="304"/>
      <c r="CD782" s="304"/>
      <c r="CN782" s="304"/>
      <c r="CX782" s="304"/>
      <c r="DH782" s="304"/>
    </row>
    <row r="783" spans="3:112" s="37" customFormat="1" hidden="1" x14ac:dyDescent="0.25">
      <c r="C783" s="35"/>
      <c r="L783" s="848"/>
      <c r="V783" s="304"/>
      <c r="AF783" s="304"/>
      <c r="AP783" s="304"/>
      <c r="AZ783" s="304"/>
      <c r="BJ783" s="304"/>
      <c r="BT783" s="304"/>
      <c r="CD783" s="304"/>
      <c r="CN783" s="304"/>
      <c r="CX783" s="304"/>
      <c r="DH783" s="304"/>
    </row>
    <row r="784" spans="3:112" s="37" customFormat="1" hidden="1" x14ac:dyDescent="0.25">
      <c r="C784" s="35"/>
      <c r="L784" s="848"/>
      <c r="V784" s="304"/>
      <c r="AF784" s="304"/>
      <c r="AP784" s="304"/>
      <c r="AZ784" s="304"/>
      <c r="BJ784" s="304"/>
      <c r="BT784" s="304"/>
      <c r="CD784" s="304"/>
      <c r="CN784" s="304"/>
      <c r="CX784" s="304"/>
      <c r="DH784" s="304"/>
    </row>
    <row r="785" spans="3:112" s="37" customFormat="1" hidden="1" x14ac:dyDescent="0.25">
      <c r="C785" s="35"/>
      <c r="L785" s="848"/>
      <c r="V785" s="304"/>
      <c r="AF785" s="304"/>
      <c r="AP785" s="304"/>
      <c r="AZ785" s="304"/>
      <c r="BJ785" s="304"/>
      <c r="BT785" s="304"/>
      <c r="CD785" s="304"/>
      <c r="CN785" s="304"/>
      <c r="CX785" s="304"/>
      <c r="DH785" s="304"/>
    </row>
    <row r="786" spans="3:112" s="37" customFormat="1" hidden="1" x14ac:dyDescent="0.25">
      <c r="C786" s="35"/>
      <c r="L786" s="848"/>
      <c r="V786" s="304"/>
      <c r="AF786" s="304"/>
      <c r="AP786" s="304"/>
      <c r="AZ786" s="304"/>
      <c r="BJ786" s="304"/>
      <c r="BT786" s="304"/>
      <c r="CD786" s="304"/>
      <c r="CN786" s="304"/>
      <c r="CX786" s="304"/>
      <c r="DH786" s="304"/>
    </row>
    <row r="787" spans="3:112" s="37" customFormat="1" hidden="1" x14ac:dyDescent="0.25">
      <c r="C787" s="35"/>
      <c r="L787" s="848"/>
      <c r="V787" s="304"/>
      <c r="AF787" s="304"/>
      <c r="AP787" s="304"/>
      <c r="AZ787" s="304"/>
      <c r="BJ787" s="304"/>
      <c r="BT787" s="304"/>
      <c r="CD787" s="304"/>
      <c r="CN787" s="304"/>
      <c r="CX787" s="304"/>
      <c r="DH787" s="304"/>
    </row>
    <row r="788" spans="3:112" s="37" customFormat="1" hidden="1" x14ac:dyDescent="0.25">
      <c r="C788" s="35"/>
      <c r="L788" s="848"/>
      <c r="V788" s="304"/>
      <c r="AF788" s="304"/>
      <c r="AP788" s="304"/>
      <c r="AZ788" s="304"/>
      <c r="BJ788" s="304"/>
      <c r="BT788" s="304"/>
      <c r="CD788" s="304"/>
      <c r="CN788" s="304"/>
      <c r="CX788" s="304"/>
      <c r="DH788" s="304"/>
    </row>
    <row r="789" spans="3:112" s="37" customFormat="1" hidden="1" x14ac:dyDescent="0.25">
      <c r="C789" s="35"/>
      <c r="L789" s="848"/>
      <c r="V789" s="304"/>
      <c r="AF789" s="304"/>
      <c r="AP789" s="304"/>
      <c r="AZ789" s="304"/>
      <c r="BJ789" s="304"/>
      <c r="BT789" s="304"/>
      <c r="CD789" s="304"/>
      <c r="CN789" s="304"/>
      <c r="CX789" s="304"/>
      <c r="DH789" s="304"/>
    </row>
    <row r="790" spans="3:112" s="37" customFormat="1" hidden="1" x14ac:dyDescent="0.25">
      <c r="C790" s="35"/>
      <c r="L790" s="848"/>
      <c r="V790" s="304"/>
      <c r="AF790" s="304"/>
      <c r="AP790" s="304"/>
      <c r="AZ790" s="304"/>
      <c r="BJ790" s="304"/>
      <c r="BT790" s="304"/>
      <c r="CD790" s="304"/>
      <c r="CN790" s="304"/>
      <c r="CX790" s="304"/>
      <c r="DH790" s="304"/>
    </row>
    <row r="791" spans="3:112" s="37" customFormat="1" hidden="1" x14ac:dyDescent="0.25">
      <c r="C791" s="35"/>
      <c r="L791" s="848"/>
      <c r="V791" s="304"/>
      <c r="AF791" s="304"/>
      <c r="AP791" s="304"/>
      <c r="AZ791" s="304"/>
      <c r="BJ791" s="304"/>
      <c r="BT791" s="304"/>
      <c r="CD791" s="304"/>
      <c r="CN791" s="304"/>
      <c r="CX791" s="304"/>
      <c r="DH791" s="304"/>
    </row>
    <row r="792" spans="3:112" s="37" customFormat="1" hidden="1" x14ac:dyDescent="0.25">
      <c r="C792" s="35"/>
      <c r="L792" s="848"/>
      <c r="V792" s="304"/>
      <c r="AF792" s="304"/>
      <c r="AP792" s="304"/>
      <c r="AZ792" s="304"/>
      <c r="BJ792" s="304"/>
      <c r="BT792" s="304"/>
      <c r="CD792" s="304"/>
      <c r="CN792" s="304"/>
      <c r="CX792" s="304"/>
      <c r="DH792" s="304"/>
    </row>
    <row r="793" spans="3:112" s="37" customFormat="1" hidden="1" x14ac:dyDescent="0.25">
      <c r="C793" s="35"/>
      <c r="L793" s="848"/>
      <c r="V793" s="304"/>
      <c r="AF793" s="304"/>
      <c r="AP793" s="304"/>
      <c r="AZ793" s="304"/>
      <c r="BJ793" s="304"/>
      <c r="BT793" s="304"/>
      <c r="CD793" s="304"/>
      <c r="CN793" s="304"/>
      <c r="CX793" s="304"/>
      <c r="DH793" s="304"/>
    </row>
    <row r="794" spans="3:112" s="37" customFormat="1" hidden="1" x14ac:dyDescent="0.25">
      <c r="C794" s="35"/>
      <c r="L794" s="848"/>
      <c r="V794" s="304"/>
      <c r="AF794" s="304"/>
      <c r="AP794" s="304"/>
      <c r="AZ794" s="304"/>
      <c r="BJ794" s="304"/>
      <c r="BT794" s="304"/>
      <c r="CD794" s="304"/>
      <c r="CN794" s="304"/>
      <c r="CX794" s="304"/>
      <c r="DH794" s="304"/>
    </row>
    <row r="795" spans="3:112" s="37" customFormat="1" hidden="1" x14ac:dyDescent="0.25">
      <c r="C795" s="35"/>
      <c r="L795" s="848"/>
      <c r="V795" s="304"/>
      <c r="AF795" s="304"/>
      <c r="AP795" s="304"/>
      <c r="AZ795" s="304"/>
      <c r="BJ795" s="304"/>
      <c r="BT795" s="304"/>
      <c r="CD795" s="304"/>
      <c r="CN795" s="304"/>
      <c r="CX795" s="304"/>
      <c r="DH795" s="304"/>
    </row>
    <row r="796" spans="3:112" s="37" customFormat="1" hidden="1" x14ac:dyDescent="0.25">
      <c r="C796" s="35"/>
      <c r="L796" s="848"/>
      <c r="V796" s="304"/>
      <c r="AF796" s="304"/>
      <c r="AP796" s="304"/>
      <c r="AZ796" s="304"/>
      <c r="BJ796" s="304"/>
      <c r="BT796" s="304"/>
      <c r="CD796" s="304"/>
      <c r="CN796" s="304"/>
      <c r="CX796" s="304"/>
      <c r="DH796" s="304"/>
    </row>
    <row r="797" spans="3:112" s="37" customFormat="1" hidden="1" x14ac:dyDescent="0.25">
      <c r="C797" s="35"/>
      <c r="L797" s="848"/>
      <c r="V797" s="304"/>
      <c r="AF797" s="304"/>
      <c r="AP797" s="304"/>
      <c r="AZ797" s="304"/>
      <c r="BJ797" s="304"/>
      <c r="BT797" s="304"/>
      <c r="CD797" s="304"/>
      <c r="CN797" s="304"/>
      <c r="CX797" s="304"/>
      <c r="DH797" s="304"/>
    </row>
    <row r="798" spans="3:112" s="37" customFormat="1" hidden="1" x14ac:dyDescent="0.25">
      <c r="C798" s="35"/>
      <c r="L798" s="848"/>
      <c r="V798" s="304"/>
      <c r="AF798" s="304"/>
      <c r="AP798" s="304"/>
      <c r="AZ798" s="304"/>
      <c r="BJ798" s="304"/>
      <c r="BT798" s="304"/>
      <c r="CD798" s="304"/>
      <c r="CN798" s="304"/>
      <c r="CX798" s="304"/>
      <c r="DH798" s="304"/>
    </row>
    <row r="799" spans="3:112" s="37" customFormat="1" hidden="1" x14ac:dyDescent="0.25">
      <c r="C799" s="35"/>
      <c r="L799" s="848"/>
      <c r="V799" s="304"/>
      <c r="AF799" s="304"/>
      <c r="AP799" s="304"/>
      <c r="AZ799" s="304"/>
      <c r="BJ799" s="304"/>
      <c r="BT799" s="304"/>
      <c r="CD799" s="304"/>
      <c r="CN799" s="304"/>
      <c r="CX799" s="304"/>
      <c r="DH799" s="304"/>
    </row>
    <row r="800" spans="3:112" s="37" customFormat="1" hidden="1" x14ac:dyDescent="0.25">
      <c r="C800" s="35"/>
      <c r="L800" s="848"/>
      <c r="V800" s="304"/>
      <c r="AF800" s="304"/>
      <c r="AP800" s="304"/>
      <c r="AZ800" s="304"/>
      <c r="BJ800" s="304"/>
      <c r="BT800" s="304"/>
      <c r="CD800" s="304"/>
      <c r="CN800" s="304"/>
      <c r="CX800" s="304"/>
      <c r="DH800" s="304"/>
    </row>
    <row r="801" spans="3:112" s="37" customFormat="1" hidden="1" x14ac:dyDescent="0.25">
      <c r="C801" s="35"/>
      <c r="L801" s="848"/>
      <c r="V801" s="304"/>
      <c r="AF801" s="304"/>
      <c r="AP801" s="304"/>
      <c r="AZ801" s="304"/>
      <c r="BJ801" s="304"/>
      <c r="BT801" s="304"/>
      <c r="CD801" s="304"/>
      <c r="CN801" s="304"/>
      <c r="CX801" s="304"/>
      <c r="DH801" s="304"/>
    </row>
    <row r="802" spans="3:112" s="37" customFormat="1" hidden="1" x14ac:dyDescent="0.25">
      <c r="C802" s="35"/>
      <c r="L802" s="848"/>
      <c r="V802" s="304"/>
      <c r="AF802" s="304"/>
      <c r="AP802" s="304"/>
      <c r="AZ802" s="304"/>
      <c r="BJ802" s="304"/>
      <c r="BT802" s="304"/>
      <c r="CD802" s="304"/>
      <c r="CN802" s="304"/>
      <c r="CX802" s="304"/>
      <c r="DH802" s="304"/>
    </row>
    <row r="803" spans="3:112" s="37" customFormat="1" hidden="1" x14ac:dyDescent="0.25">
      <c r="C803" s="35"/>
      <c r="L803" s="848"/>
      <c r="V803" s="304"/>
      <c r="AF803" s="304"/>
      <c r="AP803" s="304"/>
      <c r="AZ803" s="304"/>
      <c r="BJ803" s="304"/>
      <c r="BT803" s="304"/>
      <c r="CD803" s="304"/>
      <c r="CN803" s="304"/>
      <c r="CX803" s="304"/>
      <c r="DH803" s="304"/>
    </row>
    <row r="804" spans="3:112" s="37" customFormat="1" hidden="1" x14ac:dyDescent="0.25">
      <c r="C804" s="35"/>
      <c r="L804" s="848"/>
      <c r="V804" s="304"/>
      <c r="AF804" s="304"/>
      <c r="AP804" s="304"/>
      <c r="AZ804" s="304"/>
      <c r="BJ804" s="304"/>
      <c r="BT804" s="304"/>
      <c r="CD804" s="304"/>
      <c r="CN804" s="304"/>
      <c r="CX804" s="304"/>
      <c r="DH804" s="304"/>
    </row>
    <row r="805" spans="3:112" s="37" customFormat="1" hidden="1" x14ac:dyDescent="0.25">
      <c r="C805" s="35"/>
      <c r="L805" s="848"/>
      <c r="V805" s="304"/>
      <c r="AF805" s="304"/>
      <c r="AP805" s="304"/>
      <c r="AZ805" s="304"/>
      <c r="BJ805" s="304"/>
      <c r="BT805" s="304"/>
      <c r="CD805" s="304"/>
      <c r="CN805" s="304"/>
      <c r="CX805" s="304"/>
      <c r="DH805" s="304"/>
    </row>
    <row r="806" spans="3:112" s="37" customFormat="1" hidden="1" x14ac:dyDescent="0.25">
      <c r="C806" s="35"/>
      <c r="L806" s="848"/>
      <c r="V806" s="304"/>
      <c r="AF806" s="304"/>
      <c r="AP806" s="304"/>
      <c r="AZ806" s="304"/>
      <c r="BJ806" s="304"/>
      <c r="BT806" s="304"/>
      <c r="CD806" s="304"/>
      <c r="CN806" s="304"/>
      <c r="CX806" s="304"/>
      <c r="DH806" s="304"/>
    </row>
    <row r="807" spans="3:112" s="37" customFormat="1" hidden="1" x14ac:dyDescent="0.25">
      <c r="C807" s="35"/>
      <c r="L807" s="848"/>
      <c r="V807" s="304"/>
      <c r="AF807" s="304"/>
      <c r="AP807" s="304"/>
      <c r="AZ807" s="304"/>
      <c r="BJ807" s="304"/>
      <c r="BT807" s="304"/>
      <c r="CD807" s="304"/>
      <c r="CN807" s="304"/>
      <c r="CX807" s="304"/>
      <c r="DH807" s="304"/>
    </row>
    <row r="808" spans="3:112" s="37" customFormat="1" hidden="1" x14ac:dyDescent="0.25">
      <c r="C808" s="35"/>
      <c r="L808" s="848"/>
      <c r="V808" s="304"/>
      <c r="AF808" s="304"/>
      <c r="AP808" s="304"/>
      <c r="AZ808" s="304"/>
      <c r="BJ808" s="304"/>
      <c r="BT808" s="304"/>
      <c r="CD808" s="304"/>
      <c r="CN808" s="304"/>
      <c r="CX808" s="304"/>
      <c r="DH808" s="304"/>
    </row>
    <row r="809" spans="3:112" s="37" customFormat="1" hidden="1" x14ac:dyDescent="0.25">
      <c r="C809" s="35"/>
      <c r="L809" s="848"/>
      <c r="V809" s="304"/>
      <c r="AF809" s="304"/>
      <c r="AP809" s="304"/>
      <c r="AZ809" s="304"/>
      <c r="BJ809" s="304"/>
      <c r="BT809" s="304"/>
      <c r="CD809" s="304"/>
      <c r="CN809" s="304"/>
      <c r="CX809" s="304"/>
      <c r="DH809" s="304"/>
    </row>
    <row r="810" spans="3:112" s="37" customFormat="1" hidden="1" x14ac:dyDescent="0.25">
      <c r="C810" s="35"/>
      <c r="L810" s="848"/>
      <c r="V810" s="304"/>
      <c r="AF810" s="304"/>
      <c r="AP810" s="304"/>
      <c r="AZ810" s="304"/>
      <c r="BJ810" s="304"/>
      <c r="BT810" s="304"/>
      <c r="CD810" s="304"/>
      <c r="CN810" s="304"/>
      <c r="CX810" s="304"/>
      <c r="DH810" s="304"/>
    </row>
    <row r="811" spans="3:112" s="37" customFormat="1" hidden="1" x14ac:dyDescent="0.25">
      <c r="C811" s="35"/>
      <c r="L811" s="848"/>
      <c r="V811" s="304"/>
      <c r="AF811" s="304"/>
      <c r="AP811" s="304"/>
      <c r="AZ811" s="304"/>
      <c r="BJ811" s="304"/>
      <c r="BT811" s="304"/>
      <c r="CD811" s="304"/>
      <c r="CN811" s="304"/>
      <c r="CX811" s="304"/>
      <c r="DH811" s="304"/>
    </row>
    <row r="812" spans="3:112" s="37" customFormat="1" hidden="1" x14ac:dyDescent="0.25">
      <c r="C812" s="35"/>
      <c r="L812" s="848"/>
      <c r="V812" s="304"/>
      <c r="AF812" s="304"/>
      <c r="AP812" s="304"/>
      <c r="AZ812" s="304"/>
      <c r="BJ812" s="304"/>
      <c r="BT812" s="304"/>
      <c r="CD812" s="304"/>
      <c r="CN812" s="304"/>
      <c r="CX812" s="304"/>
      <c r="DH812" s="304"/>
    </row>
    <row r="813" spans="3:112" s="37" customFormat="1" hidden="1" x14ac:dyDescent="0.25">
      <c r="C813" s="35"/>
      <c r="L813" s="848"/>
      <c r="V813" s="304"/>
      <c r="AF813" s="304"/>
      <c r="AP813" s="304"/>
      <c r="AZ813" s="304"/>
      <c r="BJ813" s="304"/>
      <c r="BT813" s="304"/>
      <c r="CD813" s="304"/>
      <c r="CN813" s="304"/>
      <c r="CX813" s="304"/>
      <c r="DH813" s="304"/>
    </row>
    <row r="814" spans="3:112" s="37" customFormat="1" hidden="1" x14ac:dyDescent="0.25">
      <c r="C814" s="35"/>
      <c r="L814" s="848"/>
      <c r="V814" s="304"/>
      <c r="AF814" s="304"/>
      <c r="AP814" s="304"/>
      <c r="AZ814" s="304"/>
      <c r="BJ814" s="304"/>
      <c r="BT814" s="304"/>
      <c r="CD814" s="304"/>
      <c r="CN814" s="304"/>
      <c r="CX814" s="304"/>
      <c r="DH814" s="304"/>
    </row>
    <row r="815" spans="3:112" s="37" customFormat="1" hidden="1" x14ac:dyDescent="0.25">
      <c r="C815" s="35"/>
      <c r="L815" s="848"/>
      <c r="V815" s="304"/>
      <c r="AF815" s="304"/>
      <c r="AP815" s="304"/>
      <c r="AZ815" s="304"/>
      <c r="BJ815" s="304"/>
      <c r="BT815" s="304"/>
      <c r="CD815" s="304"/>
      <c r="CN815" s="304"/>
      <c r="CX815" s="304"/>
      <c r="DH815" s="304"/>
    </row>
    <row r="816" spans="3:112" s="37" customFormat="1" hidden="1" x14ac:dyDescent="0.25">
      <c r="C816" s="35"/>
      <c r="L816" s="848"/>
      <c r="V816" s="304"/>
      <c r="AF816" s="304"/>
      <c r="AP816" s="304"/>
      <c r="AZ816" s="304"/>
      <c r="BJ816" s="304"/>
      <c r="BT816" s="304"/>
      <c r="CD816" s="304"/>
      <c r="CN816" s="304"/>
      <c r="CX816" s="304"/>
      <c r="DH816" s="304"/>
    </row>
    <row r="817" spans="3:112" s="37" customFormat="1" hidden="1" x14ac:dyDescent="0.25">
      <c r="C817" s="35"/>
      <c r="L817" s="848"/>
      <c r="V817" s="304"/>
      <c r="AF817" s="304"/>
      <c r="AP817" s="304"/>
      <c r="AZ817" s="304"/>
      <c r="BJ817" s="304"/>
      <c r="BT817" s="304"/>
      <c r="CD817" s="304"/>
      <c r="CN817" s="304"/>
      <c r="CX817" s="304"/>
      <c r="DH817" s="304"/>
    </row>
    <row r="818" spans="3:112" s="37" customFormat="1" hidden="1" x14ac:dyDescent="0.25">
      <c r="C818" s="35"/>
      <c r="L818" s="848"/>
      <c r="V818" s="304"/>
      <c r="AF818" s="304"/>
      <c r="AP818" s="304"/>
      <c r="AZ818" s="304"/>
      <c r="BJ818" s="304"/>
      <c r="BT818" s="304"/>
      <c r="CD818" s="304"/>
      <c r="CN818" s="304"/>
      <c r="CX818" s="304"/>
      <c r="DH818" s="304"/>
    </row>
    <row r="819" spans="3:112" s="37" customFormat="1" hidden="1" x14ac:dyDescent="0.25">
      <c r="C819" s="35"/>
      <c r="L819" s="848"/>
      <c r="V819" s="304"/>
      <c r="AF819" s="304"/>
      <c r="AP819" s="304"/>
      <c r="AZ819" s="304"/>
      <c r="BJ819" s="304"/>
      <c r="BT819" s="304"/>
      <c r="CD819" s="304"/>
      <c r="CN819" s="304"/>
      <c r="CX819" s="304"/>
      <c r="DH819" s="304"/>
    </row>
    <row r="820" spans="3:112" s="37" customFormat="1" hidden="1" x14ac:dyDescent="0.25">
      <c r="C820" s="35"/>
      <c r="L820" s="848"/>
      <c r="V820" s="304"/>
      <c r="AF820" s="304"/>
      <c r="AP820" s="304"/>
      <c r="AZ820" s="304"/>
      <c r="BJ820" s="304"/>
      <c r="BT820" s="304"/>
      <c r="CD820" s="304"/>
      <c r="CN820" s="304"/>
      <c r="CX820" s="304"/>
      <c r="DH820" s="304"/>
    </row>
    <row r="821" spans="3:112" s="37" customFormat="1" hidden="1" x14ac:dyDescent="0.25">
      <c r="C821" s="35"/>
      <c r="L821" s="848"/>
      <c r="V821" s="304"/>
      <c r="AF821" s="304"/>
      <c r="AP821" s="304"/>
      <c r="AZ821" s="304"/>
      <c r="BJ821" s="304"/>
      <c r="BT821" s="304"/>
      <c r="CD821" s="304"/>
      <c r="CN821" s="304"/>
      <c r="CX821" s="304"/>
      <c r="DH821" s="304"/>
    </row>
    <row r="822" spans="3:112" s="37" customFormat="1" hidden="1" x14ac:dyDescent="0.25">
      <c r="C822" s="35"/>
      <c r="L822" s="848"/>
      <c r="V822" s="304"/>
      <c r="AF822" s="304"/>
      <c r="AP822" s="304"/>
      <c r="AZ822" s="304"/>
      <c r="BJ822" s="304"/>
      <c r="BT822" s="304"/>
      <c r="CD822" s="304"/>
      <c r="CN822" s="304"/>
      <c r="CX822" s="304"/>
      <c r="DH822" s="304"/>
    </row>
    <row r="823" spans="3:112" s="37" customFormat="1" hidden="1" x14ac:dyDescent="0.25">
      <c r="C823" s="35"/>
      <c r="L823" s="848"/>
      <c r="V823" s="304"/>
      <c r="AF823" s="304"/>
      <c r="AP823" s="304"/>
      <c r="AZ823" s="304"/>
      <c r="BJ823" s="304"/>
      <c r="BT823" s="304"/>
      <c r="CD823" s="304"/>
      <c r="CN823" s="304"/>
      <c r="CX823" s="304"/>
      <c r="DH823" s="304"/>
    </row>
    <row r="824" spans="3:112" s="37" customFormat="1" hidden="1" x14ac:dyDescent="0.25">
      <c r="C824" s="35"/>
      <c r="L824" s="848"/>
      <c r="V824" s="304"/>
      <c r="AF824" s="304"/>
      <c r="AP824" s="304"/>
      <c r="AZ824" s="304"/>
      <c r="BJ824" s="304"/>
      <c r="BT824" s="304"/>
      <c r="CD824" s="304"/>
      <c r="CN824" s="304"/>
      <c r="CX824" s="304"/>
      <c r="DH824" s="304"/>
    </row>
    <row r="825" spans="3:112" s="37" customFormat="1" hidden="1" x14ac:dyDescent="0.25">
      <c r="C825" s="35"/>
      <c r="L825" s="848"/>
      <c r="V825" s="304"/>
      <c r="AF825" s="304"/>
      <c r="AP825" s="304"/>
      <c r="AZ825" s="304"/>
      <c r="BJ825" s="304"/>
      <c r="BT825" s="304"/>
      <c r="CD825" s="304"/>
      <c r="CN825" s="304"/>
      <c r="CX825" s="304"/>
      <c r="DH825" s="304"/>
    </row>
    <row r="826" spans="3:112" s="37" customFormat="1" hidden="1" x14ac:dyDescent="0.25">
      <c r="C826" s="35"/>
      <c r="L826" s="848"/>
      <c r="V826" s="304"/>
      <c r="AF826" s="304"/>
      <c r="AP826" s="304"/>
      <c r="AZ826" s="304"/>
      <c r="BJ826" s="304"/>
      <c r="BT826" s="304"/>
      <c r="CD826" s="304"/>
      <c r="CN826" s="304"/>
      <c r="CX826" s="304"/>
      <c r="DH826" s="304"/>
    </row>
    <row r="827" spans="3:112" s="37" customFormat="1" hidden="1" x14ac:dyDescent="0.25">
      <c r="C827" s="35"/>
      <c r="L827" s="848"/>
      <c r="V827" s="304"/>
      <c r="AF827" s="304"/>
      <c r="AP827" s="304"/>
      <c r="AZ827" s="304"/>
      <c r="BJ827" s="304"/>
      <c r="BT827" s="304"/>
      <c r="CD827" s="304"/>
      <c r="CN827" s="304"/>
      <c r="CX827" s="304"/>
      <c r="DH827" s="304"/>
    </row>
    <row r="828" spans="3:112" s="37" customFormat="1" hidden="1" x14ac:dyDescent="0.25">
      <c r="C828" s="35"/>
      <c r="L828" s="848"/>
      <c r="V828" s="304"/>
      <c r="AF828" s="304"/>
      <c r="AP828" s="304"/>
      <c r="AZ828" s="304"/>
      <c r="BJ828" s="304"/>
      <c r="BT828" s="304"/>
      <c r="CD828" s="304"/>
      <c r="CN828" s="304"/>
      <c r="CX828" s="304"/>
      <c r="DH828" s="304"/>
    </row>
    <row r="829" spans="3:112" s="37" customFormat="1" hidden="1" x14ac:dyDescent="0.25">
      <c r="C829" s="35"/>
      <c r="L829" s="848"/>
      <c r="V829" s="304"/>
      <c r="AF829" s="304"/>
      <c r="AP829" s="304"/>
      <c r="AZ829" s="304"/>
      <c r="BJ829" s="304"/>
      <c r="BT829" s="304"/>
      <c r="CD829" s="304"/>
      <c r="CN829" s="304"/>
      <c r="CX829" s="304"/>
      <c r="DH829" s="304"/>
    </row>
    <row r="830" spans="3:112" s="37" customFormat="1" hidden="1" x14ac:dyDescent="0.25">
      <c r="C830" s="35"/>
      <c r="L830" s="848"/>
      <c r="V830" s="304"/>
      <c r="AF830" s="304"/>
      <c r="AP830" s="304"/>
      <c r="AZ830" s="304"/>
      <c r="BJ830" s="304"/>
      <c r="BT830" s="304"/>
      <c r="CD830" s="304"/>
      <c r="CN830" s="304"/>
      <c r="CX830" s="304"/>
      <c r="DH830" s="304"/>
    </row>
    <row r="831" spans="3:112" s="37" customFormat="1" hidden="1" x14ac:dyDescent="0.25">
      <c r="C831" s="35"/>
      <c r="L831" s="848"/>
      <c r="V831" s="304"/>
      <c r="AF831" s="304"/>
      <c r="AP831" s="304"/>
      <c r="AZ831" s="304"/>
      <c r="BJ831" s="304"/>
      <c r="BT831" s="304"/>
      <c r="CD831" s="304"/>
      <c r="CN831" s="304"/>
      <c r="CX831" s="304"/>
      <c r="DH831" s="304"/>
    </row>
    <row r="832" spans="3:112" s="37" customFormat="1" hidden="1" x14ac:dyDescent="0.25">
      <c r="C832" s="35"/>
      <c r="L832" s="848"/>
      <c r="V832" s="304"/>
      <c r="AF832" s="304"/>
      <c r="AP832" s="304"/>
      <c r="AZ832" s="304"/>
      <c r="BJ832" s="304"/>
      <c r="BT832" s="304"/>
      <c r="CD832" s="304"/>
      <c r="CN832" s="304"/>
      <c r="CX832" s="304"/>
      <c r="DH832" s="304"/>
    </row>
    <row r="833" spans="3:112" s="37" customFormat="1" hidden="1" x14ac:dyDescent="0.25">
      <c r="C833" s="35"/>
      <c r="L833" s="848"/>
      <c r="V833" s="304"/>
      <c r="AF833" s="304"/>
      <c r="AP833" s="304"/>
      <c r="AZ833" s="304"/>
      <c r="BJ833" s="304"/>
      <c r="BT833" s="304"/>
      <c r="CD833" s="304"/>
      <c r="CN833" s="304"/>
      <c r="CX833" s="304"/>
      <c r="DH833" s="304"/>
    </row>
    <row r="834" spans="3:112" s="37" customFormat="1" hidden="1" x14ac:dyDescent="0.25">
      <c r="C834" s="35"/>
      <c r="L834" s="848"/>
      <c r="V834" s="304"/>
      <c r="AF834" s="304"/>
      <c r="AP834" s="304"/>
      <c r="AZ834" s="304"/>
      <c r="BJ834" s="304"/>
      <c r="BT834" s="304"/>
      <c r="CD834" s="304"/>
      <c r="CN834" s="304"/>
      <c r="CX834" s="304"/>
      <c r="DH834" s="304"/>
    </row>
    <row r="835" spans="3:112" s="37" customFormat="1" hidden="1" x14ac:dyDescent="0.25">
      <c r="C835" s="35"/>
      <c r="L835" s="848"/>
      <c r="V835" s="304"/>
      <c r="AF835" s="304"/>
      <c r="AP835" s="304"/>
      <c r="AZ835" s="304"/>
      <c r="BJ835" s="304"/>
      <c r="BT835" s="304"/>
      <c r="CD835" s="304"/>
      <c r="CN835" s="304"/>
      <c r="CX835" s="304"/>
      <c r="DH835" s="304"/>
    </row>
    <row r="836" spans="3:112" s="37" customFormat="1" hidden="1" x14ac:dyDescent="0.25">
      <c r="C836" s="35"/>
      <c r="L836" s="848"/>
      <c r="V836" s="304"/>
      <c r="AF836" s="304"/>
      <c r="AP836" s="304"/>
      <c r="AZ836" s="304"/>
      <c r="BJ836" s="304"/>
      <c r="BT836" s="304"/>
      <c r="CD836" s="304"/>
      <c r="CN836" s="304"/>
      <c r="CX836" s="304"/>
      <c r="DH836" s="304"/>
    </row>
    <row r="837" spans="3:112" s="37" customFormat="1" hidden="1" x14ac:dyDescent="0.25">
      <c r="C837" s="35"/>
      <c r="L837" s="848"/>
      <c r="V837" s="304"/>
      <c r="AF837" s="304"/>
      <c r="AP837" s="304"/>
      <c r="AZ837" s="304"/>
      <c r="BJ837" s="304"/>
      <c r="BT837" s="304"/>
      <c r="CD837" s="304"/>
      <c r="CN837" s="304"/>
      <c r="CX837" s="304"/>
      <c r="DH837" s="304"/>
    </row>
    <row r="838" spans="3:112" s="37" customFormat="1" hidden="1" x14ac:dyDescent="0.25">
      <c r="C838" s="35"/>
      <c r="L838" s="848"/>
      <c r="V838" s="304"/>
      <c r="AF838" s="304"/>
      <c r="AP838" s="304"/>
      <c r="AZ838" s="304"/>
      <c r="BJ838" s="304"/>
      <c r="BT838" s="304"/>
      <c r="CD838" s="304"/>
      <c r="CN838" s="304"/>
      <c r="CX838" s="304"/>
      <c r="DH838" s="304"/>
    </row>
    <row r="839" spans="3:112" s="37" customFormat="1" hidden="1" x14ac:dyDescent="0.25">
      <c r="C839" s="35"/>
      <c r="L839" s="848"/>
      <c r="V839" s="304"/>
      <c r="AF839" s="304"/>
      <c r="AP839" s="304"/>
      <c r="AZ839" s="304"/>
      <c r="BJ839" s="304"/>
      <c r="BT839" s="304"/>
      <c r="CD839" s="304"/>
      <c r="CN839" s="304"/>
      <c r="CX839" s="304"/>
      <c r="DH839" s="304"/>
    </row>
    <row r="840" spans="3:112" s="37" customFormat="1" hidden="1" x14ac:dyDescent="0.25">
      <c r="C840" s="35"/>
      <c r="L840" s="848"/>
      <c r="V840" s="304"/>
      <c r="AF840" s="304"/>
      <c r="AP840" s="304"/>
      <c r="AZ840" s="304"/>
      <c r="BJ840" s="304"/>
      <c r="BT840" s="304"/>
      <c r="CD840" s="304"/>
      <c r="CN840" s="304"/>
      <c r="CX840" s="304"/>
      <c r="DH840" s="304"/>
    </row>
    <row r="841" spans="3:112" s="37" customFormat="1" hidden="1" x14ac:dyDescent="0.25">
      <c r="C841" s="35"/>
      <c r="L841" s="848"/>
      <c r="V841" s="304"/>
      <c r="AF841" s="304"/>
      <c r="AP841" s="304"/>
      <c r="AZ841" s="304"/>
      <c r="BJ841" s="304"/>
      <c r="BT841" s="304"/>
      <c r="CD841" s="304"/>
      <c r="CN841" s="304"/>
      <c r="CX841" s="304"/>
      <c r="DH841" s="304"/>
    </row>
    <row r="842" spans="3:112" s="37" customFormat="1" hidden="1" x14ac:dyDescent="0.25">
      <c r="C842" s="35"/>
      <c r="L842" s="848"/>
      <c r="V842" s="304"/>
      <c r="AF842" s="304"/>
      <c r="AP842" s="304"/>
      <c r="AZ842" s="304"/>
      <c r="BJ842" s="304"/>
      <c r="BT842" s="304"/>
      <c r="CD842" s="304"/>
      <c r="CN842" s="304"/>
      <c r="CX842" s="304"/>
      <c r="DH842" s="304"/>
    </row>
    <row r="843" spans="3:112" s="37" customFormat="1" hidden="1" x14ac:dyDescent="0.25">
      <c r="C843" s="35"/>
      <c r="L843" s="848"/>
      <c r="V843" s="304"/>
      <c r="AF843" s="304"/>
      <c r="AP843" s="304"/>
      <c r="AZ843" s="304"/>
      <c r="BJ843" s="304"/>
      <c r="BT843" s="304"/>
      <c r="CD843" s="304"/>
      <c r="CN843" s="304"/>
      <c r="CX843" s="304"/>
      <c r="DH843" s="304"/>
    </row>
    <row r="844" spans="3:112" s="37" customFormat="1" hidden="1" x14ac:dyDescent="0.25">
      <c r="C844" s="35"/>
      <c r="L844" s="848"/>
      <c r="V844" s="304"/>
      <c r="AF844" s="304"/>
      <c r="AP844" s="304"/>
      <c r="AZ844" s="304"/>
      <c r="BJ844" s="304"/>
      <c r="BT844" s="304"/>
      <c r="CD844" s="304"/>
      <c r="CN844" s="304"/>
      <c r="CX844" s="304"/>
      <c r="DH844" s="304"/>
    </row>
    <row r="845" spans="3:112" s="37" customFormat="1" hidden="1" x14ac:dyDescent="0.25">
      <c r="C845" s="35"/>
      <c r="L845" s="848"/>
      <c r="V845" s="304"/>
      <c r="AF845" s="304"/>
      <c r="AP845" s="304"/>
      <c r="AZ845" s="304"/>
      <c r="BJ845" s="304"/>
      <c r="BT845" s="304"/>
      <c r="CD845" s="304"/>
      <c r="CN845" s="304"/>
      <c r="CX845" s="304"/>
      <c r="DH845" s="304"/>
    </row>
    <row r="846" spans="3:112" s="37" customFormat="1" hidden="1" x14ac:dyDescent="0.25">
      <c r="C846" s="35"/>
      <c r="L846" s="848"/>
      <c r="V846" s="304"/>
      <c r="AF846" s="304"/>
      <c r="AP846" s="304"/>
      <c r="AZ846" s="304"/>
      <c r="BJ846" s="304"/>
      <c r="BT846" s="304"/>
      <c r="CD846" s="304"/>
      <c r="CN846" s="304"/>
      <c r="CX846" s="304"/>
      <c r="DH846" s="304"/>
    </row>
    <row r="847" spans="3:112" s="37" customFormat="1" hidden="1" x14ac:dyDescent="0.25">
      <c r="C847" s="35"/>
      <c r="L847" s="848"/>
      <c r="V847" s="304"/>
      <c r="AF847" s="304"/>
      <c r="AP847" s="304"/>
      <c r="AZ847" s="304"/>
      <c r="BJ847" s="304"/>
      <c r="BT847" s="304"/>
      <c r="CD847" s="304"/>
      <c r="CN847" s="304"/>
      <c r="CX847" s="304"/>
      <c r="DH847" s="304"/>
    </row>
    <row r="848" spans="3:112" s="37" customFormat="1" hidden="1" x14ac:dyDescent="0.25">
      <c r="C848" s="35"/>
      <c r="L848" s="848"/>
      <c r="V848" s="304"/>
      <c r="AF848" s="304"/>
      <c r="AP848" s="304"/>
      <c r="AZ848" s="304"/>
      <c r="BJ848" s="304"/>
      <c r="BT848" s="304"/>
      <c r="CD848" s="304"/>
      <c r="CN848" s="304"/>
      <c r="CX848" s="304"/>
      <c r="DH848" s="304"/>
    </row>
    <row r="849" spans="3:112" s="37" customFormat="1" hidden="1" x14ac:dyDescent="0.25">
      <c r="C849" s="35"/>
      <c r="L849" s="848"/>
      <c r="V849" s="304"/>
      <c r="AF849" s="304"/>
      <c r="AP849" s="304"/>
      <c r="AZ849" s="304"/>
      <c r="BJ849" s="304"/>
      <c r="BT849" s="304"/>
      <c r="CD849" s="304"/>
      <c r="CN849" s="304"/>
      <c r="CX849" s="304"/>
      <c r="DH849" s="304"/>
    </row>
    <row r="850" spans="3:112" s="37" customFormat="1" hidden="1" x14ac:dyDescent="0.25">
      <c r="C850" s="35"/>
      <c r="L850" s="848"/>
      <c r="V850" s="304"/>
      <c r="AF850" s="304"/>
      <c r="AP850" s="304"/>
      <c r="AZ850" s="304"/>
      <c r="BJ850" s="304"/>
      <c r="BT850" s="304"/>
      <c r="CD850" s="304"/>
      <c r="CN850" s="304"/>
      <c r="CX850" s="304"/>
      <c r="DH850" s="304"/>
    </row>
    <row r="851" spans="3:112" s="37" customFormat="1" hidden="1" x14ac:dyDescent="0.25">
      <c r="C851" s="35"/>
      <c r="L851" s="848"/>
      <c r="V851" s="304"/>
      <c r="AF851" s="304"/>
      <c r="AP851" s="304"/>
      <c r="AZ851" s="304"/>
      <c r="BJ851" s="304"/>
      <c r="BT851" s="304"/>
      <c r="CD851" s="304"/>
      <c r="CN851" s="304"/>
      <c r="CX851" s="304"/>
      <c r="DH851" s="304"/>
    </row>
    <row r="852" spans="3:112" s="37" customFormat="1" hidden="1" x14ac:dyDescent="0.25">
      <c r="C852" s="35"/>
      <c r="L852" s="848"/>
      <c r="V852" s="304"/>
      <c r="AF852" s="304"/>
      <c r="AP852" s="304"/>
      <c r="AZ852" s="304"/>
      <c r="BJ852" s="304"/>
      <c r="BT852" s="304"/>
      <c r="CD852" s="304"/>
      <c r="CN852" s="304"/>
      <c r="CX852" s="304"/>
      <c r="DH852" s="304"/>
    </row>
    <row r="853" spans="3:112" s="37" customFormat="1" hidden="1" x14ac:dyDescent="0.25">
      <c r="C853" s="35"/>
      <c r="L853" s="848"/>
      <c r="V853" s="304"/>
      <c r="AF853" s="304"/>
      <c r="AP853" s="304"/>
      <c r="AZ853" s="304"/>
      <c r="BJ853" s="304"/>
      <c r="BT853" s="304"/>
      <c r="CD853" s="304"/>
      <c r="CN853" s="304"/>
      <c r="CX853" s="304"/>
      <c r="DH853" s="304"/>
    </row>
    <row r="854" spans="3:112" s="37" customFormat="1" hidden="1" x14ac:dyDescent="0.25">
      <c r="C854" s="35"/>
      <c r="L854" s="848"/>
      <c r="V854" s="304"/>
      <c r="AF854" s="304"/>
      <c r="AP854" s="304"/>
      <c r="AZ854" s="304"/>
      <c r="BJ854" s="304"/>
      <c r="BT854" s="304"/>
      <c r="CD854" s="304"/>
      <c r="CN854" s="304"/>
      <c r="CX854" s="304"/>
      <c r="DH854" s="304"/>
    </row>
    <row r="855" spans="3:112" s="37" customFormat="1" hidden="1" x14ac:dyDescent="0.25">
      <c r="C855" s="35"/>
      <c r="L855" s="848"/>
      <c r="V855" s="304"/>
      <c r="AF855" s="304"/>
      <c r="AP855" s="304"/>
      <c r="AZ855" s="304"/>
      <c r="BJ855" s="304"/>
      <c r="BT855" s="304"/>
      <c r="CD855" s="304"/>
      <c r="CN855" s="304"/>
      <c r="CX855" s="304"/>
      <c r="DH855" s="304"/>
    </row>
    <row r="856" spans="3:112" s="37" customFormat="1" hidden="1" x14ac:dyDescent="0.25">
      <c r="C856" s="35"/>
      <c r="L856" s="848"/>
      <c r="V856" s="304"/>
      <c r="AF856" s="304"/>
      <c r="AP856" s="304"/>
      <c r="AZ856" s="304"/>
      <c r="BJ856" s="304"/>
      <c r="BT856" s="304"/>
      <c r="CD856" s="304"/>
      <c r="CN856" s="304"/>
      <c r="CX856" s="304"/>
      <c r="DH856" s="304"/>
    </row>
    <row r="857" spans="3:112" s="37" customFormat="1" hidden="1" x14ac:dyDescent="0.25">
      <c r="C857" s="35"/>
      <c r="L857" s="848"/>
      <c r="V857" s="304"/>
      <c r="AF857" s="304"/>
      <c r="AP857" s="304"/>
      <c r="AZ857" s="304"/>
      <c r="BJ857" s="304"/>
      <c r="BT857" s="304"/>
      <c r="CD857" s="304"/>
      <c r="CN857" s="304"/>
      <c r="CX857" s="304"/>
      <c r="DH857" s="304"/>
    </row>
    <row r="858" spans="3:112" s="37" customFormat="1" hidden="1" x14ac:dyDescent="0.25">
      <c r="C858" s="35"/>
      <c r="L858" s="848"/>
      <c r="V858" s="304"/>
      <c r="AF858" s="304"/>
      <c r="AP858" s="304"/>
      <c r="AZ858" s="304"/>
      <c r="BJ858" s="304"/>
      <c r="BT858" s="304"/>
      <c r="CD858" s="304"/>
      <c r="CN858" s="304"/>
      <c r="CX858" s="304"/>
      <c r="DH858" s="304"/>
    </row>
    <row r="859" spans="3:112" s="37" customFormat="1" hidden="1" x14ac:dyDescent="0.25">
      <c r="C859" s="35"/>
      <c r="L859" s="848"/>
      <c r="V859" s="304"/>
      <c r="AF859" s="304"/>
      <c r="AP859" s="304"/>
      <c r="AZ859" s="304"/>
      <c r="BJ859" s="304"/>
      <c r="BT859" s="304"/>
      <c r="CD859" s="304"/>
      <c r="CN859" s="304"/>
      <c r="CX859" s="304"/>
      <c r="DH859" s="304"/>
    </row>
    <row r="860" spans="3:112" s="37" customFormat="1" hidden="1" x14ac:dyDescent="0.25">
      <c r="C860" s="35"/>
      <c r="L860" s="848"/>
      <c r="V860" s="304"/>
      <c r="AF860" s="304"/>
      <c r="AP860" s="304"/>
      <c r="AZ860" s="304"/>
      <c r="BJ860" s="304"/>
      <c r="BT860" s="304"/>
      <c r="CD860" s="304"/>
      <c r="CN860" s="304"/>
      <c r="CX860" s="304"/>
      <c r="DH860" s="304"/>
    </row>
    <row r="861" spans="3:112" s="37" customFormat="1" hidden="1" x14ac:dyDescent="0.25">
      <c r="C861" s="35"/>
      <c r="L861" s="848"/>
      <c r="V861" s="304"/>
      <c r="AF861" s="304"/>
      <c r="AP861" s="304"/>
      <c r="AZ861" s="304"/>
      <c r="BJ861" s="304"/>
      <c r="BT861" s="304"/>
      <c r="CD861" s="304"/>
      <c r="CN861" s="304"/>
      <c r="CX861" s="304"/>
      <c r="DH861" s="304"/>
    </row>
    <row r="862" spans="3:112" s="37" customFormat="1" hidden="1" x14ac:dyDescent="0.25">
      <c r="C862" s="35"/>
      <c r="L862" s="848"/>
      <c r="V862" s="304"/>
      <c r="AF862" s="304"/>
      <c r="AP862" s="304"/>
      <c r="AZ862" s="304"/>
      <c r="BJ862" s="304"/>
      <c r="BT862" s="304"/>
      <c r="CD862" s="304"/>
      <c r="CN862" s="304"/>
      <c r="CX862" s="304"/>
      <c r="DH862" s="304"/>
    </row>
    <row r="863" spans="3:112" s="37" customFormat="1" hidden="1" x14ac:dyDescent="0.25">
      <c r="C863" s="35"/>
      <c r="L863" s="848"/>
      <c r="V863" s="304"/>
      <c r="AF863" s="304"/>
      <c r="AP863" s="304"/>
      <c r="AZ863" s="304"/>
      <c r="BJ863" s="304"/>
      <c r="BT863" s="304"/>
      <c r="CD863" s="304"/>
      <c r="CN863" s="304"/>
      <c r="CX863" s="304"/>
      <c r="DH863" s="304"/>
    </row>
    <row r="864" spans="3:112" s="37" customFormat="1" hidden="1" x14ac:dyDescent="0.25">
      <c r="C864" s="35"/>
      <c r="L864" s="848"/>
      <c r="V864" s="304"/>
      <c r="AF864" s="304"/>
      <c r="AP864" s="304"/>
      <c r="AZ864" s="304"/>
      <c r="BJ864" s="304"/>
      <c r="BT864" s="304"/>
      <c r="CD864" s="304"/>
      <c r="CN864" s="304"/>
      <c r="CX864" s="304"/>
      <c r="DH864" s="304"/>
    </row>
    <row r="865" spans="3:112" s="37" customFormat="1" hidden="1" x14ac:dyDescent="0.25">
      <c r="C865" s="35"/>
      <c r="L865" s="848"/>
      <c r="V865" s="304"/>
      <c r="AF865" s="304"/>
      <c r="AP865" s="304"/>
      <c r="AZ865" s="304"/>
      <c r="BJ865" s="304"/>
      <c r="BT865" s="304"/>
      <c r="CD865" s="304"/>
      <c r="CN865" s="304"/>
      <c r="CX865" s="304"/>
      <c r="DH865" s="304"/>
    </row>
    <row r="866" spans="3:112" s="37" customFormat="1" hidden="1" x14ac:dyDescent="0.25">
      <c r="C866" s="35"/>
      <c r="L866" s="848"/>
      <c r="V866" s="304"/>
      <c r="AF866" s="304"/>
      <c r="AP866" s="304"/>
      <c r="AZ866" s="304"/>
      <c r="BJ866" s="304"/>
      <c r="BT866" s="304"/>
      <c r="CD866" s="304"/>
      <c r="CN866" s="304"/>
      <c r="CX866" s="304"/>
      <c r="DH866" s="304"/>
    </row>
    <row r="867" spans="3:112" s="37" customFormat="1" hidden="1" x14ac:dyDescent="0.25">
      <c r="C867" s="35"/>
      <c r="L867" s="848"/>
      <c r="V867" s="304"/>
      <c r="AF867" s="304"/>
      <c r="AP867" s="304"/>
      <c r="AZ867" s="304"/>
      <c r="BJ867" s="304"/>
      <c r="BT867" s="304"/>
      <c r="CD867" s="304"/>
      <c r="CN867" s="304"/>
      <c r="CX867" s="304"/>
      <c r="DH867" s="304"/>
    </row>
    <row r="868" spans="3:112" s="37" customFormat="1" hidden="1" x14ac:dyDescent="0.25">
      <c r="C868" s="35"/>
      <c r="L868" s="848"/>
      <c r="V868" s="304"/>
      <c r="AF868" s="304"/>
      <c r="AP868" s="304"/>
      <c r="AZ868" s="304"/>
      <c r="BJ868" s="304"/>
      <c r="BT868" s="304"/>
      <c r="CD868" s="304"/>
      <c r="CN868" s="304"/>
      <c r="CX868" s="304"/>
      <c r="DH868" s="304"/>
    </row>
    <row r="869" spans="3:112" s="37" customFormat="1" hidden="1" x14ac:dyDescent="0.25">
      <c r="C869" s="35"/>
      <c r="L869" s="848"/>
      <c r="V869" s="304"/>
      <c r="AF869" s="304"/>
      <c r="AP869" s="304"/>
      <c r="AZ869" s="304"/>
      <c r="BJ869" s="304"/>
      <c r="BT869" s="304"/>
      <c r="CD869" s="304"/>
      <c r="CN869" s="304"/>
      <c r="CX869" s="304"/>
      <c r="DH869" s="304"/>
    </row>
    <row r="870" spans="3:112" s="37" customFormat="1" hidden="1" x14ac:dyDescent="0.25">
      <c r="C870" s="35"/>
      <c r="L870" s="848"/>
      <c r="V870" s="304"/>
      <c r="AF870" s="304"/>
      <c r="AP870" s="304"/>
      <c r="AZ870" s="304"/>
      <c r="BJ870" s="304"/>
      <c r="BT870" s="304"/>
      <c r="CD870" s="304"/>
      <c r="CN870" s="304"/>
      <c r="CX870" s="304"/>
      <c r="DH870" s="304"/>
    </row>
    <row r="871" spans="3:112" s="37" customFormat="1" hidden="1" x14ac:dyDescent="0.25">
      <c r="C871" s="35"/>
      <c r="L871" s="848"/>
      <c r="V871" s="304"/>
      <c r="AF871" s="304"/>
      <c r="AP871" s="304"/>
      <c r="AZ871" s="304"/>
      <c r="BJ871" s="304"/>
      <c r="BT871" s="304"/>
      <c r="CD871" s="304"/>
      <c r="CN871" s="304"/>
      <c r="CX871" s="304"/>
      <c r="DH871" s="304"/>
    </row>
    <row r="872" spans="3:112" s="37" customFormat="1" hidden="1" x14ac:dyDescent="0.25">
      <c r="C872" s="35"/>
      <c r="L872" s="848"/>
      <c r="V872" s="304"/>
      <c r="AF872" s="304"/>
      <c r="AP872" s="304"/>
      <c r="AZ872" s="304"/>
      <c r="BJ872" s="304"/>
      <c r="BT872" s="304"/>
      <c r="CD872" s="304"/>
      <c r="CN872" s="304"/>
      <c r="CX872" s="304"/>
      <c r="DH872" s="304"/>
    </row>
    <row r="873" spans="3:112" s="37" customFormat="1" hidden="1" x14ac:dyDescent="0.25">
      <c r="C873" s="35"/>
      <c r="L873" s="848"/>
      <c r="V873" s="304"/>
      <c r="AF873" s="304"/>
      <c r="AP873" s="304"/>
      <c r="AZ873" s="304"/>
      <c r="BJ873" s="304"/>
      <c r="BT873" s="304"/>
      <c r="CD873" s="304"/>
      <c r="CN873" s="304"/>
      <c r="CX873" s="304"/>
      <c r="DH873" s="304"/>
    </row>
    <row r="874" spans="3:112" s="37" customFormat="1" hidden="1" x14ac:dyDescent="0.25">
      <c r="C874" s="35"/>
      <c r="L874" s="848"/>
      <c r="V874" s="304"/>
      <c r="AF874" s="304"/>
      <c r="AP874" s="304"/>
      <c r="AZ874" s="304"/>
      <c r="BJ874" s="304"/>
      <c r="BT874" s="304"/>
      <c r="CD874" s="304"/>
      <c r="CN874" s="304"/>
      <c r="CX874" s="304"/>
      <c r="DH874" s="304"/>
    </row>
    <row r="875" spans="3:112" s="37" customFormat="1" hidden="1" x14ac:dyDescent="0.25">
      <c r="C875" s="35"/>
      <c r="L875" s="848"/>
      <c r="V875" s="304"/>
      <c r="AF875" s="304"/>
      <c r="AP875" s="304"/>
      <c r="AZ875" s="304"/>
      <c r="BJ875" s="304"/>
      <c r="BT875" s="304"/>
      <c r="CD875" s="304"/>
      <c r="CN875" s="304"/>
      <c r="CX875" s="304"/>
      <c r="DH875" s="304"/>
    </row>
    <row r="876" spans="3:112" s="37" customFormat="1" hidden="1" x14ac:dyDescent="0.25">
      <c r="C876" s="35"/>
      <c r="L876" s="848"/>
      <c r="V876" s="304"/>
      <c r="AF876" s="304"/>
      <c r="AP876" s="304"/>
      <c r="AZ876" s="304"/>
      <c r="BJ876" s="304"/>
      <c r="BT876" s="304"/>
      <c r="CD876" s="304"/>
      <c r="CN876" s="304"/>
      <c r="CX876" s="304"/>
      <c r="DH876" s="304"/>
    </row>
    <row r="877" spans="3:112" s="37" customFormat="1" hidden="1" x14ac:dyDescent="0.25">
      <c r="C877" s="35"/>
      <c r="L877" s="848"/>
      <c r="V877" s="304"/>
      <c r="AF877" s="304"/>
      <c r="AP877" s="304"/>
      <c r="AZ877" s="304"/>
      <c r="BJ877" s="304"/>
      <c r="BT877" s="304"/>
      <c r="CD877" s="304"/>
      <c r="CN877" s="304"/>
      <c r="CX877" s="304"/>
      <c r="DH877" s="304"/>
    </row>
    <row r="878" spans="3:112" s="37" customFormat="1" hidden="1" x14ac:dyDescent="0.25">
      <c r="C878" s="35"/>
      <c r="L878" s="848"/>
      <c r="V878" s="304"/>
      <c r="AF878" s="304"/>
      <c r="AP878" s="304"/>
      <c r="AZ878" s="304"/>
      <c r="BJ878" s="304"/>
      <c r="BT878" s="304"/>
      <c r="CD878" s="304"/>
      <c r="CN878" s="304"/>
      <c r="CX878" s="304"/>
      <c r="DH878" s="304"/>
    </row>
    <row r="879" spans="3:112" s="37" customFormat="1" hidden="1" x14ac:dyDescent="0.25">
      <c r="C879" s="35"/>
      <c r="L879" s="848"/>
      <c r="V879" s="304"/>
      <c r="AF879" s="304"/>
      <c r="AP879" s="304"/>
      <c r="AZ879" s="304"/>
      <c r="BJ879" s="304"/>
      <c r="BT879" s="304"/>
      <c r="CD879" s="304"/>
      <c r="CN879" s="304"/>
      <c r="CX879" s="304"/>
      <c r="DH879" s="304"/>
    </row>
    <row r="880" spans="3:112" s="37" customFormat="1" hidden="1" x14ac:dyDescent="0.25">
      <c r="C880" s="35"/>
      <c r="L880" s="848"/>
      <c r="V880" s="304"/>
      <c r="AF880" s="304"/>
      <c r="AP880" s="304"/>
      <c r="AZ880" s="304"/>
      <c r="BJ880" s="304"/>
      <c r="BT880" s="304"/>
      <c r="CD880" s="304"/>
      <c r="CN880" s="304"/>
      <c r="CX880" s="304"/>
      <c r="DH880" s="304"/>
    </row>
    <row r="881" spans="3:112" s="37" customFormat="1" hidden="1" x14ac:dyDescent="0.25">
      <c r="C881" s="35"/>
      <c r="L881" s="848"/>
      <c r="V881" s="304"/>
      <c r="AF881" s="304"/>
      <c r="AP881" s="304"/>
      <c r="AZ881" s="304"/>
      <c r="BJ881" s="304"/>
      <c r="BT881" s="304"/>
      <c r="CD881" s="304"/>
      <c r="CN881" s="304"/>
      <c r="CX881" s="304"/>
      <c r="DH881" s="304"/>
    </row>
    <row r="882" spans="3:112" s="37" customFormat="1" hidden="1" x14ac:dyDescent="0.25">
      <c r="C882" s="35"/>
      <c r="L882" s="848"/>
      <c r="V882" s="304"/>
      <c r="AF882" s="304"/>
      <c r="AP882" s="304"/>
      <c r="AZ882" s="304"/>
      <c r="BJ882" s="304"/>
      <c r="BT882" s="304"/>
      <c r="CD882" s="304"/>
      <c r="CN882" s="304"/>
      <c r="CX882" s="304"/>
      <c r="DH882" s="304"/>
    </row>
    <row r="883" spans="3:112" s="37" customFormat="1" hidden="1" x14ac:dyDescent="0.25">
      <c r="C883" s="35"/>
      <c r="L883" s="848"/>
      <c r="V883" s="304"/>
      <c r="AF883" s="304"/>
      <c r="AP883" s="304"/>
      <c r="AZ883" s="304"/>
      <c r="BJ883" s="304"/>
      <c r="BT883" s="304"/>
      <c r="CD883" s="304"/>
      <c r="CN883" s="304"/>
      <c r="CX883" s="304"/>
      <c r="DH883" s="304"/>
    </row>
    <row r="884" spans="3:112" s="37" customFormat="1" hidden="1" x14ac:dyDescent="0.25">
      <c r="C884" s="35"/>
      <c r="L884" s="848"/>
      <c r="V884" s="304"/>
      <c r="AF884" s="304"/>
      <c r="AP884" s="304"/>
      <c r="AZ884" s="304"/>
      <c r="BJ884" s="304"/>
      <c r="BT884" s="304"/>
      <c r="CD884" s="304"/>
      <c r="CN884" s="304"/>
      <c r="CX884" s="304"/>
      <c r="DH884" s="304"/>
    </row>
    <row r="885" spans="3:112" s="37" customFormat="1" hidden="1" x14ac:dyDescent="0.25">
      <c r="C885" s="35"/>
      <c r="L885" s="848"/>
      <c r="V885" s="304"/>
      <c r="AF885" s="304"/>
      <c r="AP885" s="304"/>
      <c r="AZ885" s="304"/>
      <c r="BJ885" s="304"/>
      <c r="BT885" s="304"/>
      <c r="CD885" s="304"/>
      <c r="CN885" s="304"/>
      <c r="CX885" s="304"/>
      <c r="DH885" s="304"/>
    </row>
    <row r="886" spans="3:112" s="37" customFormat="1" hidden="1" x14ac:dyDescent="0.25">
      <c r="C886" s="35"/>
      <c r="L886" s="848"/>
      <c r="V886" s="304"/>
      <c r="AF886" s="304"/>
      <c r="AP886" s="304"/>
      <c r="AZ886" s="304"/>
      <c r="BJ886" s="304"/>
      <c r="BT886" s="304"/>
      <c r="CD886" s="304"/>
      <c r="CN886" s="304"/>
      <c r="CX886" s="304"/>
      <c r="DH886" s="304"/>
    </row>
    <row r="887" spans="3:112" s="37" customFormat="1" hidden="1" x14ac:dyDescent="0.25">
      <c r="C887" s="35"/>
      <c r="L887" s="848"/>
      <c r="V887" s="304"/>
      <c r="AF887" s="304"/>
      <c r="AP887" s="304"/>
      <c r="AZ887" s="304"/>
      <c r="BJ887" s="304"/>
      <c r="BT887" s="304"/>
      <c r="CD887" s="304"/>
      <c r="CN887" s="304"/>
      <c r="CX887" s="304"/>
      <c r="DH887" s="304"/>
    </row>
    <row r="888" spans="3:112" s="37" customFormat="1" hidden="1" x14ac:dyDescent="0.25">
      <c r="C888" s="35"/>
      <c r="L888" s="848"/>
      <c r="V888" s="304"/>
      <c r="AF888" s="304"/>
      <c r="AP888" s="304"/>
      <c r="AZ888" s="304"/>
      <c r="BJ888" s="304"/>
      <c r="BT888" s="304"/>
      <c r="CD888" s="304"/>
      <c r="CN888" s="304"/>
      <c r="CX888" s="304"/>
      <c r="DH888" s="304"/>
    </row>
    <row r="889" spans="3:112" s="37" customFormat="1" hidden="1" x14ac:dyDescent="0.25">
      <c r="C889" s="35"/>
      <c r="L889" s="848"/>
      <c r="V889" s="304"/>
      <c r="AF889" s="304"/>
      <c r="AP889" s="304"/>
      <c r="AZ889" s="304"/>
      <c r="BJ889" s="304"/>
      <c r="BT889" s="304"/>
      <c r="CD889" s="304"/>
      <c r="CN889" s="304"/>
      <c r="CX889" s="304"/>
      <c r="DH889" s="304"/>
    </row>
    <row r="890" spans="3:112" s="37" customFormat="1" hidden="1" x14ac:dyDescent="0.25">
      <c r="C890" s="35"/>
      <c r="L890" s="848"/>
      <c r="V890" s="304"/>
      <c r="AF890" s="304"/>
      <c r="AP890" s="304"/>
      <c r="AZ890" s="304"/>
      <c r="BJ890" s="304"/>
      <c r="BT890" s="304"/>
      <c r="CD890" s="304"/>
      <c r="CN890" s="304"/>
      <c r="CX890" s="304"/>
      <c r="DH890" s="304"/>
    </row>
    <row r="891" spans="3:112" s="37" customFormat="1" hidden="1" x14ac:dyDescent="0.25">
      <c r="C891" s="35"/>
      <c r="L891" s="848"/>
      <c r="V891" s="304"/>
      <c r="AF891" s="304"/>
      <c r="AP891" s="304"/>
      <c r="AZ891" s="304"/>
      <c r="BJ891" s="304"/>
      <c r="BT891" s="304"/>
      <c r="CD891" s="304"/>
      <c r="CN891" s="304"/>
      <c r="CX891" s="304"/>
      <c r="DH891" s="304"/>
    </row>
    <row r="892" spans="3:112" s="37" customFormat="1" hidden="1" x14ac:dyDescent="0.25">
      <c r="C892" s="35"/>
      <c r="L892" s="848"/>
      <c r="V892" s="304"/>
      <c r="AF892" s="304"/>
      <c r="AP892" s="304"/>
      <c r="AZ892" s="304"/>
      <c r="BJ892" s="304"/>
      <c r="BT892" s="304"/>
      <c r="CD892" s="304"/>
      <c r="CN892" s="304"/>
      <c r="CX892" s="304"/>
      <c r="DH892" s="304"/>
    </row>
    <row r="893" spans="3:112" s="37" customFormat="1" hidden="1" x14ac:dyDescent="0.25">
      <c r="C893" s="35"/>
      <c r="L893" s="848"/>
      <c r="V893" s="304"/>
      <c r="AF893" s="304"/>
      <c r="AP893" s="304"/>
      <c r="AZ893" s="304"/>
      <c r="BJ893" s="304"/>
      <c r="BT893" s="304"/>
      <c r="CD893" s="304"/>
      <c r="CN893" s="304"/>
      <c r="CX893" s="304"/>
      <c r="DH893" s="304"/>
    </row>
    <row r="894" spans="3:112" s="37" customFormat="1" hidden="1" x14ac:dyDescent="0.25">
      <c r="C894" s="35"/>
      <c r="L894" s="848"/>
      <c r="V894" s="304"/>
      <c r="AF894" s="304"/>
      <c r="AP894" s="304"/>
      <c r="AZ894" s="304"/>
      <c r="BJ894" s="304"/>
      <c r="BT894" s="304"/>
      <c r="CD894" s="304"/>
      <c r="CN894" s="304"/>
      <c r="CX894" s="304"/>
      <c r="DH894" s="304"/>
    </row>
    <row r="895" spans="3:112" s="37" customFormat="1" hidden="1" x14ac:dyDescent="0.25">
      <c r="C895" s="35"/>
      <c r="L895" s="848"/>
      <c r="V895" s="304"/>
      <c r="AF895" s="304"/>
      <c r="AP895" s="304"/>
      <c r="AZ895" s="304"/>
      <c r="BJ895" s="304"/>
      <c r="BT895" s="304"/>
      <c r="CD895" s="304"/>
      <c r="CN895" s="304"/>
      <c r="CX895" s="304"/>
      <c r="DH895" s="304"/>
    </row>
    <row r="896" spans="3:112" s="37" customFormat="1" hidden="1" x14ac:dyDescent="0.25">
      <c r="C896" s="35"/>
      <c r="L896" s="848"/>
      <c r="V896" s="304"/>
      <c r="AF896" s="304"/>
      <c r="AP896" s="304"/>
      <c r="AZ896" s="304"/>
      <c r="BJ896" s="304"/>
      <c r="BT896" s="304"/>
      <c r="CD896" s="304"/>
      <c r="CN896" s="304"/>
      <c r="CX896" s="304"/>
      <c r="DH896" s="304"/>
    </row>
    <row r="897" spans="3:112" s="37" customFormat="1" hidden="1" x14ac:dyDescent="0.25">
      <c r="C897" s="35"/>
      <c r="L897" s="848"/>
      <c r="V897" s="304"/>
      <c r="AF897" s="304"/>
      <c r="AP897" s="304"/>
      <c r="AZ897" s="304"/>
      <c r="BJ897" s="304"/>
      <c r="BT897" s="304"/>
      <c r="CD897" s="304"/>
      <c r="CN897" s="304"/>
      <c r="CX897" s="304"/>
      <c r="DH897" s="304"/>
    </row>
    <row r="898" spans="3:112" s="37" customFormat="1" hidden="1" x14ac:dyDescent="0.25">
      <c r="C898" s="35"/>
      <c r="L898" s="848"/>
      <c r="V898" s="304"/>
      <c r="AF898" s="304"/>
      <c r="AP898" s="304"/>
      <c r="AZ898" s="304"/>
      <c r="BJ898" s="304"/>
      <c r="BT898" s="304"/>
      <c r="CD898" s="304"/>
      <c r="CN898" s="304"/>
      <c r="CX898" s="304"/>
      <c r="DH898" s="304"/>
    </row>
    <row r="899" spans="3:112" s="37" customFormat="1" hidden="1" x14ac:dyDescent="0.25">
      <c r="C899" s="35"/>
      <c r="L899" s="848"/>
      <c r="V899" s="304"/>
      <c r="AF899" s="304"/>
      <c r="AP899" s="304"/>
      <c r="AZ899" s="304"/>
      <c r="BJ899" s="304"/>
      <c r="BT899" s="304"/>
      <c r="CD899" s="304"/>
      <c r="CN899" s="304"/>
      <c r="CX899" s="304"/>
      <c r="DH899" s="304"/>
    </row>
    <row r="900" spans="3:112" s="37" customFormat="1" hidden="1" x14ac:dyDescent="0.25">
      <c r="C900" s="35"/>
      <c r="L900" s="848"/>
      <c r="V900" s="304"/>
      <c r="AF900" s="304"/>
      <c r="AP900" s="304"/>
      <c r="AZ900" s="304"/>
      <c r="BJ900" s="304"/>
      <c r="BT900" s="304"/>
      <c r="CD900" s="304"/>
      <c r="CN900" s="304"/>
      <c r="CX900" s="304"/>
      <c r="DH900" s="304"/>
    </row>
    <row r="901" spans="3:112" s="37" customFormat="1" hidden="1" x14ac:dyDescent="0.25">
      <c r="C901" s="35"/>
      <c r="L901" s="848"/>
      <c r="V901" s="304"/>
      <c r="AF901" s="304"/>
      <c r="AP901" s="304"/>
      <c r="AZ901" s="304"/>
      <c r="BJ901" s="304"/>
      <c r="BT901" s="304"/>
      <c r="CD901" s="304"/>
      <c r="CN901" s="304"/>
      <c r="CX901" s="304"/>
      <c r="DH901" s="304"/>
    </row>
    <row r="902" spans="3:112" s="37" customFormat="1" hidden="1" x14ac:dyDescent="0.25">
      <c r="C902" s="35"/>
      <c r="L902" s="848"/>
      <c r="V902" s="304"/>
      <c r="AF902" s="304"/>
      <c r="AP902" s="304"/>
      <c r="AZ902" s="304"/>
      <c r="BJ902" s="304"/>
      <c r="BT902" s="304"/>
      <c r="CD902" s="304"/>
      <c r="CN902" s="304"/>
      <c r="CX902" s="304"/>
      <c r="DH902" s="304"/>
    </row>
    <row r="903" spans="3:112" s="37" customFormat="1" hidden="1" x14ac:dyDescent="0.25">
      <c r="C903" s="35"/>
      <c r="L903" s="848"/>
      <c r="V903" s="304"/>
      <c r="AF903" s="304"/>
      <c r="AP903" s="304"/>
      <c r="AZ903" s="304"/>
      <c r="BJ903" s="304"/>
      <c r="BT903" s="304"/>
      <c r="CD903" s="304"/>
      <c r="CN903" s="304"/>
      <c r="CX903" s="304"/>
      <c r="DH903" s="304"/>
    </row>
    <row r="904" spans="3:112" s="37" customFormat="1" hidden="1" x14ac:dyDescent="0.25">
      <c r="C904" s="35"/>
      <c r="L904" s="848"/>
      <c r="V904" s="304"/>
      <c r="AF904" s="304"/>
      <c r="AP904" s="304"/>
      <c r="AZ904" s="304"/>
      <c r="BJ904" s="304"/>
      <c r="BT904" s="304"/>
      <c r="CD904" s="304"/>
      <c r="CN904" s="304"/>
      <c r="CX904" s="304"/>
      <c r="DH904" s="304"/>
    </row>
    <row r="905" spans="3:112" s="37" customFormat="1" hidden="1" x14ac:dyDescent="0.25">
      <c r="C905" s="35"/>
      <c r="L905" s="848"/>
      <c r="V905" s="304"/>
      <c r="AF905" s="304"/>
      <c r="AP905" s="304"/>
      <c r="AZ905" s="304"/>
      <c r="BJ905" s="304"/>
      <c r="BT905" s="304"/>
      <c r="CD905" s="304"/>
      <c r="CN905" s="304"/>
      <c r="CX905" s="304"/>
      <c r="DH905" s="304"/>
    </row>
    <row r="906" spans="3:112" s="37" customFormat="1" hidden="1" x14ac:dyDescent="0.25">
      <c r="C906" s="35"/>
      <c r="L906" s="848"/>
      <c r="V906" s="304"/>
      <c r="AF906" s="304"/>
      <c r="AP906" s="304"/>
      <c r="AZ906" s="304"/>
      <c r="BJ906" s="304"/>
      <c r="BT906" s="304"/>
      <c r="CD906" s="304"/>
      <c r="CN906" s="304"/>
      <c r="CX906" s="304"/>
      <c r="DH906" s="304"/>
    </row>
    <row r="907" spans="3:112" s="37" customFormat="1" hidden="1" x14ac:dyDescent="0.25">
      <c r="C907" s="35"/>
      <c r="L907" s="848"/>
      <c r="V907" s="304"/>
      <c r="AF907" s="304"/>
      <c r="AP907" s="304"/>
      <c r="AZ907" s="304"/>
      <c r="BJ907" s="304"/>
      <c r="BT907" s="304"/>
      <c r="CD907" s="304"/>
      <c r="CN907" s="304"/>
      <c r="CX907" s="304"/>
      <c r="DH907" s="304"/>
    </row>
    <row r="908" spans="3:112" s="37" customFormat="1" hidden="1" x14ac:dyDescent="0.25">
      <c r="C908" s="35"/>
      <c r="L908" s="848"/>
      <c r="V908" s="304"/>
      <c r="AF908" s="304"/>
      <c r="AP908" s="304"/>
      <c r="AZ908" s="304"/>
      <c r="BJ908" s="304"/>
      <c r="BT908" s="304"/>
      <c r="CD908" s="304"/>
      <c r="CN908" s="304"/>
      <c r="CX908" s="304"/>
      <c r="DH908" s="304"/>
    </row>
    <row r="909" spans="3:112" s="37" customFormat="1" hidden="1" x14ac:dyDescent="0.25">
      <c r="C909" s="35"/>
      <c r="L909" s="848"/>
      <c r="V909" s="304"/>
      <c r="AF909" s="304"/>
      <c r="AP909" s="304"/>
      <c r="AZ909" s="304"/>
      <c r="BJ909" s="304"/>
      <c r="BT909" s="304"/>
      <c r="CD909" s="304"/>
      <c r="CN909" s="304"/>
      <c r="CX909" s="304"/>
      <c r="DH909" s="304"/>
    </row>
    <row r="910" spans="3:112" s="37" customFormat="1" hidden="1" x14ac:dyDescent="0.25">
      <c r="C910" s="35"/>
      <c r="L910" s="848"/>
      <c r="V910" s="304"/>
      <c r="AF910" s="304"/>
      <c r="AP910" s="304"/>
      <c r="AZ910" s="304"/>
      <c r="BJ910" s="304"/>
      <c r="BT910" s="304"/>
      <c r="CD910" s="304"/>
      <c r="CN910" s="304"/>
      <c r="CX910" s="304"/>
      <c r="DH910" s="304"/>
    </row>
    <row r="911" spans="3:112" s="37" customFormat="1" hidden="1" x14ac:dyDescent="0.25">
      <c r="C911" s="35"/>
      <c r="L911" s="848"/>
      <c r="V911" s="304"/>
      <c r="AF911" s="304"/>
      <c r="AP911" s="304"/>
      <c r="AZ911" s="304"/>
      <c r="BJ911" s="304"/>
      <c r="BT911" s="304"/>
      <c r="CD911" s="304"/>
      <c r="CN911" s="304"/>
      <c r="CX911" s="304"/>
      <c r="DH911" s="304"/>
    </row>
    <row r="912" spans="3:112" s="37" customFormat="1" hidden="1" x14ac:dyDescent="0.25">
      <c r="C912" s="35"/>
      <c r="L912" s="848"/>
      <c r="V912" s="304"/>
      <c r="AF912" s="304"/>
      <c r="AP912" s="304"/>
      <c r="AZ912" s="304"/>
      <c r="BJ912" s="304"/>
      <c r="BT912" s="304"/>
      <c r="CD912" s="304"/>
      <c r="CN912" s="304"/>
      <c r="CX912" s="304"/>
      <c r="DH912" s="304"/>
    </row>
    <row r="913" spans="3:112" s="37" customFormat="1" hidden="1" x14ac:dyDescent="0.25">
      <c r="C913" s="35"/>
      <c r="L913" s="848"/>
      <c r="V913" s="304"/>
      <c r="AF913" s="304"/>
      <c r="AP913" s="304"/>
      <c r="AZ913" s="304"/>
      <c r="BJ913" s="304"/>
      <c r="BT913" s="304"/>
      <c r="CD913" s="304"/>
      <c r="CN913" s="304"/>
      <c r="CX913" s="304"/>
      <c r="DH913" s="304"/>
    </row>
    <row r="914" spans="3:112" s="37" customFormat="1" hidden="1" x14ac:dyDescent="0.25">
      <c r="C914" s="35"/>
      <c r="L914" s="848"/>
      <c r="V914" s="304"/>
      <c r="AF914" s="304"/>
      <c r="AP914" s="304"/>
      <c r="AZ914" s="304"/>
      <c r="BJ914" s="304"/>
      <c r="BT914" s="304"/>
      <c r="CD914" s="304"/>
      <c r="CN914" s="304"/>
      <c r="CX914" s="304"/>
      <c r="DH914" s="304"/>
    </row>
    <row r="915" spans="3:112" s="37" customFormat="1" hidden="1" x14ac:dyDescent="0.25">
      <c r="C915" s="35"/>
      <c r="L915" s="848"/>
      <c r="V915" s="304"/>
      <c r="AF915" s="304"/>
      <c r="AP915" s="304"/>
      <c r="AZ915" s="304"/>
      <c r="BJ915" s="304"/>
      <c r="BT915" s="304"/>
      <c r="CD915" s="304"/>
      <c r="CN915" s="304"/>
      <c r="CX915" s="304"/>
      <c r="DH915" s="304"/>
    </row>
    <row r="916" spans="3:112" s="37" customFormat="1" hidden="1" x14ac:dyDescent="0.25">
      <c r="C916" s="35"/>
      <c r="L916" s="848"/>
      <c r="V916" s="304"/>
      <c r="AF916" s="304"/>
      <c r="AP916" s="304"/>
      <c r="AZ916" s="304"/>
      <c r="BJ916" s="304"/>
      <c r="BT916" s="304"/>
      <c r="CD916" s="304"/>
      <c r="CN916" s="304"/>
      <c r="CX916" s="304"/>
      <c r="DH916" s="304"/>
    </row>
    <row r="917" spans="3:112" s="37" customFormat="1" hidden="1" x14ac:dyDescent="0.25">
      <c r="C917" s="35"/>
      <c r="L917" s="848"/>
      <c r="V917" s="304"/>
      <c r="AF917" s="304"/>
      <c r="AP917" s="304"/>
      <c r="AZ917" s="304"/>
      <c r="BJ917" s="304"/>
      <c r="BT917" s="304"/>
      <c r="CD917" s="304"/>
      <c r="CN917" s="304"/>
      <c r="CX917" s="304"/>
      <c r="DH917" s="304"/>
    </row>
    <row r="918" spans="3:112" s="37" customFormat="1" hidden="1" x14ac:dyDescent="0.25">
      <c r="C918" s="35"/>
      <c r="L918" s="848"/>
      <c r="V918" s="304"/>
      <c r="AF918" s="304"/>
      <c r="AP918" s="304"/>
      <c r="AZ918" s="304"/>
      <c r="BJ918" s="304"/>
      <c r="BT918" s="304"/>
      <c r="CD918" s="304"/>
      <c r="CN918" s="304"/>
      <c r="CX918" s="304"/>
      <c r="DH918" s="304"/>
    </row>
    <row r="919" spans="3:112" s="37" customFormat="1" hidden="1" x14ac:dyDescent="0.25">
      <c r="C919" s="35"/>
      <c r="L919" s="848"/>
      <c r="V919" s="304"/>
      <c r="AF919" s="304"/>
      <c r="AP919" s="304"/>
      <c r="AZ919" s="304"/>
      <c r="BJ919" s="304"/>
      <c r="BT919" s="304"/>
      <c r="CD919" s="304"/>
      <c r="CN919" s="304"/>
      <c r="CX919" s="304"/>
      <c r="DH919" s="304"/>
    </row>
    <row r="920" spans="3:112" s="37" customFormat="1" hidden="1" x14ac:dyDescent="0.25">
      <c r="C920" s="35"/>
      <c r="L920" s="848"/>
      <c r="V920" s="304"/>
      <c r="AF920" s="304"/>
      <c r="AP920" s="304"/>
      <c r="AZ920" s="304"/>
      <c r="BJ920" s="304"/>
      <c r="BT920" s="304"/>
      <c r="CD920" s="304"/>
      <c r="CN920" s="304"/>
      <c r="CX920" s="304"/>
      <c r="DH920" s="304"/>
    </row>
    <row r="921" spans="3:112" s="37" customFormat="1" hidden="1" x14ac:dyDescent="0.25">
      <c r="C921" s="35"/>
      <c r="L921" s="848"/>
      <c r="V921" s="304"/>
      <c r="AF921" s="304"/>
      <c r="AP921" s="304"/>
      <c r="AZ921" s="304"/>
      <c r="BJ921" s="304"/>
      <c r="BT921" s="304"/>
      <c r="CD921" s="304"/>
      <c r="CN921" s="304"/>
      <c r="CX921" s="304"/>
      <c r="DH921" s="304"/>
    </row>
    <row r="922" spans="3:112" s="37" customFormat="1" hidden="1" x14ac:dyDescent="0.25">
      <c r="C922" s="35"/>
      <c r="L922" s="848"/>
      <c r="V922" s="304"/>
      <c r="AF922" s="304"/>
      <c r="AP922" s="304"/>
      <c r="AZ922" s="304"/>
      <c r="BJ922" s="304"/>
      <c r="BT922" s="304"/>
      <c r="CD922" s="304"/>
      <c r="CN922" s="304"/>
      <c r="CX922" s="304"/>
      <c r="DH922" s="304"/>
    </row>
    <row r="923" spans="3:112" s="37" customFormat="1" hidden="1" x14ac:dyDescent="0.25">
      <c r="C923" s="35"/>
      <c r="L923" s="848"/>
      <c r="V923" s="304"/>
      <c r="AF923" s="304"/>
      <c r="AP923" s="304"/>
      <c r="AZ923" s="304"/>
      <c r="BJ923" s="304"/>
      <c r="BT923" s="304"/>
      <c r="CD923" s="304"/>
      <c r="CN923" s="304"/>
      <c r="CX923" s="304"/>
      <c r="DH923" s="304"/>
    </row>
    <row r="924" spans="3:112" s="37" customFormat="1" hidden="1" x14ac:dyDescent="0.25">
      <c r="C924" s="35"/>
      <c r="L924" s="848"/>
      <c r="V924" s="304"/>
      <c r="AF924" s="304"/>
      <c r="AP924" s="304"/>
      <c r="AZ924" s="304"/>
      <c r="BJ924" s="304"/>
      <c r="BT924" s="304"/>
      <c r="CD924" s="304"/>
      <c r="CN924" s="304"/>
      <c r="CX924" s="304"/>
      <c r="DH924" s="304"/>
    </row>
    <row r="925" spans="3:112" s="37" customFormat="1" hidden="1" x14ac:dyDescent="0.25">
      <c r="C925" s="35"/>
      <c r="L925" s="848"/>
      <c r="V925" s="304"/>
      <c r="AF925" s="304"/>
      <c r="AP925" s="304"/>
      <c r="AZ925" s="304"/>
      <c r="BJ925" s="304"/>
      <c r="BT925" s="304"/>
      <c r="CD925" s="304"/>
      <c r="CN925" s="304"/>
      <c r="CX925" s="304"/>
      <c r="DH925" s="304"/>
    </row>
    <row r="926" spans="3:112" s="37" customFormat="1" hidden="1" x14ac:dyDescent="0.25">
      <c r="C926" s="35"/>
      <c r="L926" s="848"/>
      <c r="V926" s="304"/>
      <c r="AF926" s="304"/>
      <c r="AP926" s="304"/>
      <c r="AZ926" s="304"/>
      <c r="BJ926" s="304"/>
      <c r="BT926" s="304"/>
      <c r="CD926" s="304"/>
      <c r="CN926" s="304"/>
      <c r="CX926" s="304"/>
      <c r="DH926" s="304"/>
    </row>
    <row r="927" spans="3:112" s="37" customFormat="1" hidden="1" x14ac:dyDescent="0.25">
      <c r="C927" s="35"/>
      <c r="L927" s="848"/>
      <c r="V927" s="304"/>
      <c r="AF927" s="304"/>
      <c r="AP927" s="304"/>
      <c r="AZ927" s="304"/>
      <c r="BJ927" s="304"/>
      <c r="BT927" s="304"/>
      <c r="CD927" s="304"/>
      <c r="CN927" s="304"/>
      <c r="CX927" s="304"/>
      <c r="DH927" s="304"/>
    </row>
    <row r="928" spans="3:112" s="37" customFormat="1" hidden="1" x14ac:dyDescent="0.25">
      <c r="C928" s="35"/>
      <c r="L928" s="848"/>
      <c r="V928" s="304"/>
      <c r="AF928" s="304"/>
      <c r="AP928" s="304"/>
      <c r="AZ928" s="304"/>
      <c r="BJ928" s="304"/>
      <c r="BT928" s="304"/>
      <c r="CD928" s="304"/>
      <c r="CN928" s="304"/>
      <c r="CX928" s="304"/>
      <c r="DH928" s="304"/>
    </row>
    <row r="929" spans="3:112" s="37" customFormat="1" hidden="1" x14ac:dyDescent="0.25">
      <c r="C929" s="35"/>
      <c r="L929" s="848"/>
      <c r="V929" s="304"/>
      <c r="AF929" s="304"/>
      <c r="AP929" s="304"/>
      <c r="AZ929" s="304"/>
      <c r="BJ929" s="304"/>
      <c r="BT929" s="304"/>
      <c r="CD929" s="304"/>
      <c r="CN929" s="304"/>
      <c r="CX929" s="304"/>
      <c r="DH929" s="304"/>
    </row>
    <row r="930" spans="3:112" s="37" customFormat="1" hidden="1" x14ac:dyDescent="0.25">
      <c r="C930" s="35"/>
      <c r="L930" s="848"/>
      <c r="V930" s="304"/>
      <c r="AF930" s="304"/>
      <c r="AP930" s="304"/>
      <c r="AZ930" s="304"/>
      <c r="BJ930" s="304"/>
      <c r="BT930" s="304"/>
      <c r="CD930" s="304"/>
      <c r="CN930" s="304"/>
      <c r="CX930" s="304"/>
      <c r="DH930" s="304"/>
    </row>
    <row r="931" spans="3:112" s="37" customFormat="1" hidden="1" x14ac:dyDescent="0.25">
      <c r="C931" s="35"/>
      <c r="L931" s="848"/>
      <c r="V931" s="304"/>
      <c r="AF931" s="304"/>
      <c r="AP931" s="304"/>
      <c r="AZ931" s="304"/>
      <c r="BJ931" s="304"/>
      <c r="BT931" s="304"/>
      <c r="CD931" s="304"/>
      <c r="CN931" s="304"/>
      <c r="CX931" s="304"/>
      <c r="DH931" s="304"/>
    </row>
    <row r="932" spans="3:112" s="37" customFormat="1" hidden="1" x14ac:dyDescent="0.25">
      <c r="C932" s="35"/>
      <c r="L932" s="848"/>
      <c r="V932" s="304"/>
      <c r="AF932" s="304"/>
      <c r="AP932" s="304"/>
      <c r="AZ932" s="304"/>
      <c r="BJ932" s="304"/>
      <c r="BT932" s="304"/>
      <c r="CD932" s="304"/>
      <c r="CN932" s="304"/>
      <c r="CX932" s="304"/>
      <c r="DH932" s="304"/>
    </row>
    <row r="933" spans="3:112" s="37" customFormat="1" hidden="1" x14ac:dyDescent="0.25">
      <c r="C933" s="35"/>
      <c r="L933" s="848"/>
      <c r="V933" s="304"/>
      <c r="AF933" s="304"/>
      <c r="AP933" s="304"/>
      <c r="AZ933" s="304"/>
      <c r="BJ933" s="304"/>
      <c r="BT933" s="304"/>
      <c r="CD933" s="304"/>
      <c r="CN933" s="304"/>
      <c r="CX933" s="304"/>
      <c r="DH933" s="304"/>
    </row>
    <row r="934" spans="3:112" s="37" customFormat="1" hidden="1" x14ac:dyDescent="0.25">
      <c r="C934" s="35"/>
      <c r="L934" s="848"/>
      <c r="V934" s="304"/>
      <c r="AF934" s="304"/>
      <c r="AP934" s="304"/>
      <c r="AZ934" s="304"/>
      <c r="BJ934" s="304"/>
      <c r="BT934" s="304"/>
      <c r="CD934" s="304"/>
      <c r="CN934" s="304"/>
      <c r="CX934" s="304"/>
      <c r="DH934" s="304"/>
    </row>
    <row r="935" spans="3:112" s="37" customFormat="1" hidden="1" x14ac:dyDescent="0.25">
      <c r="C935" s="35"/>
      <c r="L935" s="848"/>
      <c r="V935" s="304"/>
      <c r="AF935" s="304"/>
      <c r="AP935" s="304"/>
      <c r="AZ935" s="304"/>
      <c r="BJ935" s="304"/>
      <c r="BT935" s="304"/>
      <c r="CD935" s="304"/>
      <c r="CN935" s="304"/>
      <c r="CX935" s="304"/>
      <c r="DH935" s="304"/>
    </row>
    <row r="936" spans="3:112" s="37" customFormat="1" hidden="1" x14ac:dyDescent="0.25">
      <c r="C936" s="35"/>
      <c r="L936" s="848"/>
      <c r="V936" s="304"/>
      <c r="AF936" s="304"/>
      <c r="AP936" s="304"/>
      <c r="AZ936" s="304"/>
      <c r="BJ936" s="304"/>
      <c r="BT936" s="304"/>
      <c r="CD936" s="304"/>
      <c r="CN936" s="304"/>
      <c r="CX936" s="304"/>
      <c r="DH936" s="304"/>
    </row>
    <row r="937" spans="3:112" s="37" customFormat="1" hidden="1" x14ac:dyDescent="0.25">
      <c r="C937" s="35"/>
      <c r="L937" s="848"/>
      <c r="V937" s="304"/>
      <c r="AF937" s="304"/>
      <c r="AP937" s="304"/>
      <c r="AZ937" s="304"/>
      <c r="BJ937" s="304"/>
      <c r="BT937" s="304"/>
      <c r="CD937" s="304"/>
      <c r="CN937" s="304"/>
      <c r="CX937" s="304"/>
      <c r="DH937" s="304"/>
    </row>
    <row r="938" spans="3:112" s="37" customFormat="1" hidden="1" x14ac:dyDescent="0.25">
      <c r="C938" s="35"/>
      <c r="L938" s="848"/>
      <c r="V938" s="304"/>
      <c r="AF938" s="304"/>
      <c r="AP938" s="304"/>
      <c r="AZ938" s="304"/>
      <c r="BJ938" s="304"/>
      <c r="BT938" s="304"/>
      <c r="CD938" s="304"/>
      <c r="CN938" s="304"/>
      <c r="CX938" s="304"/>
      <c r="DH938" s="304"/>
    </row>
    <row r="939" spans="3:112" s="37" customFormat="1" hidden="1" x14ac:dyDescent="0.25">
      <c r="C939" s="35"/>
      <c r="L939" s="848"/>
      <c r="V939" s="304"/>
      <c r="AF939" s="304"/>
      <c r="AP939" s="304"/>
      <c r="AZ939" s="304"/>
      <c r="BJ939" s="304"/>
      <c r="BT939" s="304"/>
      <c r="CD939" s="304"/>
      <c r="CN939" s="304"/>
      <c r="CX939" s="304"/>
      <c r="DH939" s="304"/>
    </row>
    <row r="940" spans="3:112" s="37" customFormat="1" hidden="1" x14ac:dyDescent="0.25">
      <c r="C940" s="35"/>
      <c r="L940" s="848"/>
      <c r="V940" s="304"/>
      <c r="AF940" s="304"/>
      <c r="AP940" s="304"/>
      <c r="AZ940" s="304"/>
      <c r="BJ940" s="304"/>
      <c r="BT940" s="304"/>
      <c r="CD940" s="304"/>
      <c r="CN940" s="304"/>
      <c r="CX940" s="304"/>
      <c r="DH940" s="304"/>
    </row>
    <row r="941" spans="3:112" s="37" customFormat="1" hidden="1" x14ac:dyDescent="0.25">
      <c r="C941" s="35"/>
      <c r="L941" s="848"/>
      <c r="V941" s="304"/>
      <c r="AF941" s="304"/>
      <c r="AP941" s="304"/>
      <c r="AZ941" s="304"/>
      <c r="BJ941" s="304"/>
      <c r="BT941" s="304"/>
      <c r="CD941" s="304"/>
      <c r="CN941" s="304"/>
      <c r="CX941" s="304"/>
      <c r="DH941" s="304"/>
    </row>
    <row r="942" spans="3:112" s="37" customFormat="1" hidden="1" x14ac:dyDescent="0.25">
      <c r="C942" s="35"/>
      <c r="L942" s="848"/>
      <c r="V942" s="304"/>
      <c r="AF942" s="304"/>
      <c r="AP942" s="304"/>
      <c r="AZ942" s="304"/>
      <c r="BJ942" s="304"/>
      <c r="BT942" s="304"/>
      <c r="CD942" s="304"/>
      <c r="CN942" s="304"/>
      <c r="CX942" s="304"/>
      <c r="DH942" s="304"/>
    </row>
    <row r="943" spans="3:112" s="37" customFormat="1" hidden="1" x14ac:dyDescent="0.25">
      <c r="C943" s="35"/>
      <c r="L943" s="848"/>
      <c r="V943" s="304"/>
      <c r="AF943" s="304"/>
      <c r="AP943" s="304"/>
      <c r="AZ943" s="304"/>
      <c r="BJ943" s="304"/>
      <c r="BT943" s="304"/>
      <c r="CD943" s="304"/>
      <c r="CN943" s="304"/>
      <c r="CX943" s="304"/>
      <c r="DH943" s="304"/>
    </row>
    <row r="944" spans="3:112" s="37" customFormat="1" hidden="1" x14ac:dyDescent="0.25">
      <c r="C944" s="35"/>
      <c r="L944" s="848"/>
      <c r="V944" s="304"/>
      <c r="AF944" s="304"/>
      <c r="AP944" s="304"/>
      <c r="AZ944" s="304"/>
      <c r="BJ944" s="304"/>
      <c r="BT944" s="304"/>
      <c r="CD944" s="304"/>
      <c r="CN944" s="304"/>
      <c r="CX944" s="304"/>
      <c r="DH944" s="304"/>
    </row>
    <row r="945" spans="3:112" s="37" customFormat="1" hidden="1" x14ac:dyDescent="0.25">
      <c r="C945" s="35"/>
      <c r="L945" s="848"/>
      <c r="V945" s="304"/>
      <c r="AF945" s="304"/>
      <c r="AP945" s="304"/>
      <c r="AZ945" s="304"/>
      <c r="BJ945" s="304"/>
      <c r="BT945" s="304"/>
      <c r="CD945" s="304"/>
      <c r="CN945" s="304"/>
      <c r="CX945" s="304"/>
      <c r="DH945" s="304"/>
    </row>
    <row r="946" spans="3:112" s="37" customFormat="1" hidden="1" x14ac:dyDescent="0.25">
      <c r="C946" s="35"/>
      <c r="L946" s="848"/>
      <c r="V946" s="304"/>
      <c r="AF946" s="304"/>
      <c r="AP946" s="304"/>
      <c r="AZ946" s="304"/>
      <c r="BJ946" s="304"/>
      <c r="BT946" s="304"/>
      <c r="CD946" s="304"/>
      <c r="CN946" s="304"/>
      <c r="CX946" s="304"/>
      <c r="DH946" s="304"/>
    </row>
    <row r="947" spans="3:112" s="37" customFormat="1" hidden="1" x14ac:dyDescent="0.25">
      <c r="C947" s="35"/>
      <c r="L947" s="848"/>
      <c r="V947" s="304"/>
      <c r="AF947" s="304"/>
      <c r="AP947" s="304"/>
      <c r="AZ947" s="304"/>
      <c r="BJ947" s="304"/>
      <c r="BT947" s="304"/>
      <c r="CD947" s="304"/>
      <c r="CN947" s="304"/>
      <c r="CX947" s="304"/>
      <c r="DH947" s="304"/>
    </row>
    <row r="948" spans="3:112" s="37" customFormat="1" hidden="1" x14ac:dyDescent="0.25">
      <c r="C948" s="35"/>
      <c r="L948" s="848"/>
      <c r="V948" s="304"/>
      <c r="AF948" s="304"/>
      <c r="AP948" s="304"/>
      <c r="AZ948" s="304"/>
      <c r="BJ948" s="304"/>
      <c r="BT948" s="304"/>
      <c r="CD948" s="304"/>
      <c r="CN948" s="304"/>
      <c r="CX948" s="304"/>
      <c r="DH948" s="304"/>
    </row>
    <row r="949" spans="3:112" s="37" customFormat="1" hidden="1" x14ac:dyDescent="0.25">
      <c r="C949" s="35"/>
      <c r="L949" s="848"/>
      <c r="V949" s="304"/>
      <c r="AF949" s="304"/>
      <c r="AP949" s="304"/>
      <c r="AZ949" s="304"/>
      <c r="BJ949" s="304"/>
      <c r="BT949" s="304"/>
      <c r="CD949" s="304"/>
      <c r="CN949" s="304"/>
      <c r="CX949" s="304"/>
      <c r="DH949" s="304"/>
    </row>
    <row r="950" spans="3:112" s="37" customFormat="1" hidden="1" x14ac:dyDescent="0.25">
      <c r="C950" s="35"/>
      <c r="L950" s="848"/>
      <c r="V950" s="304"/>
      <c r="AF950" s="304"/>
      <c r="AP950" s="304"/>
      <c r="AZ950" s="304"/>
      <c r="BJ950" s="304"/>
      <c r="BT950" s="304"/>
      <c r="CD950" s="304"/>
      <c r="CN950" s="304"/>
      <c r="CX950" s="304"/>
      <c r="DH950" s="304"/>
    </row>
    <row r="951" spans="3:112" s="37" customFormat="1" hidden="1" x14ac:dyDescent="0.25">
      <c r="C951" s="35"/>
      <c r="L951" s="848"/>
      <c r="V951" s="304"/>
      <c r="AF951" s="304"/>
      <c r="AP951" s="304"/>
      <c r="AZ951" s="304"/>
      <c r="BJ951" s="304"/>
      <c r="BT951" s="304"/>
      <c r="CD951" s="304"/>
      <c r="CN951" s="304"/>
      <c r="CX951" s="304"/>
      <c r="DH951" s="304"/>
    </row>
    <row r="952" spans="3:112" s="37" customFormat="1" hidden="1" x14ac:dyDescent="0.25">
      <c r="C952" s="35"/>
      <c r="L952" s="848"/>
      <c r="V952" s="304"/>
      <c r="AF952" s="304"/>
      <c r="AP952" s="304"/>
      <c r="AZ952" s="304"/>
      <c r="BJ952" s="304"/>
      <c r="BT952" s="304"/>
      <c r="CD952" s="304"/>
      <c r="CN952" s="304"/>
      <c r="CX952" s="304"/>
      <c r="DH952" s="304"/>
    </row>
    <row r="953" spans="3:112" s="37" customFormat="1" hidden="1" x14ac:dyDescent="0.25">
      <c r="C953" s="35"/>
      <c r="L953" s="848"/>
      <c r="V953" s="304"/>
      <c r="AF953" s="304"/>
      <c r="AP953" s="304"/>
      <c r="AZ953" s="304"/>
      <c r="BJ953" s="304"/>
      <c r="BT953" s="304"/>
      <c r="CD953" s="304"/>
      <c r="CN953" s="304"/>
      <c r="CX953" s="304"/>
      <c r="DH953" s="304"/>
    </row>
    <row r="954" spans="3:112" s="37" customFormat="1" hidden="1" x14ac:dyDescent="0.25">
      <c r="C954" s="35"/>
      <c r="L954" s="848"/>
      <c r="V954" s="304"/>
      <c r="AF954" s="304"/>
      <c r="AP954" s="304"/>
      <c r="AZ954" s="304"/>
      <c r="BJ954" s="304"/>
      <c r="BT954" s="304"/>
      <c r="CD954" s="304"/>
      <c r="CN954" s="304"/>
      <c r="CX954" s="304"/>
      <c r="DH954" s="304"/>
    </row>
    <row r="955" spans="3:112" s="37" customFormat="1" hidden="1" x14ac:dyDescent="0.25">
      <c r="C955" s="35"/>
      <c r="L955" s="848"/>
      <c r="V955" s="304"/>
      <c r="AF955" s="304"/>
      <c r="AP955" s="304"/>
      <c r="AZ955" s="304"/>
      <c r="BJ955" s="304"/>
      <c r="BT955" s="304"/>
      <c r="CD955" s="304"/>
      <c r="CN955" s="304"/>
      <c r="CX955" s="304"/>
      <c r="DH955" s="304"/>
    </row>
    <row r="956" spans="3:112" s="37" customFormat="1" hidden="1" x14ac:dyDescent="0.25">
      <c r="C956" s="35"/>
      <c r="L956" s="848"/>
      <c r="V956" s="304"/>
      <c r="AF956" s="304"/>
      <c r="AP956" s="304"/>
      <c r="AZ956" s="304"/>
      <c r="BJ956" s="304"/>
      <c r="BT956" s="304"/>
      <c r="CD956" s="304"/>
      <c r="CN956" s="304"/>
      <c r="CX956" s="304"/>
      <c r="DH956" s="304"/>
    </row>
    <row r="957" spans="3:112" s="37" customFormat="1" hidden="1" x14ac:dyDescent="0.25">
      <c r="C957" s="35"/>
      <c r="L957" s="848"/>
      <c r="V957" s="304"/>
      <c r="AF957" s="304"/>
      <c r="AP957" s="304"/>
      <c r="AZ957" s="304"/>
      <c r="BJ957" s="304"/>
      <c r="BT957" s="304"/>
      <c r="CD957" s="304"/>
      <c r="CN957" s="304"/>
      <c r="CX957" s="304"/>
      <c r="DH957" s="304"/>
    </row>
    <row r="958" spans="3:112" s="37" customFormat="1" hidden="1" x14ac:dyDescent="0.25">
      <c r="C958" s="35"/>
      <c r="L958" s="848"/>
      <c r="V958" s="304"/>
      <c r="AF958" s="304"/>
      <c r="AP958" s="304"/>
      <c r="AZ958" s="304"/>
      <c r="BJ958" s="304"/>
      <c r="BT958" s="304"/>
      <c r="CD958" s="304"/>
      <c r="CN958" s="304"/>
      <c r="CX958" s="304"/>
      <c r="DH958" s="304"/>
    </row>
    <row r="959" spans="3:112" s="37" customFormat="1" hidden="1" x14ac:dyDescent="0.25">
      <c r="C959" s="35"/>
      <c r="L959" s="848"/>
      <c r="V959" s="304"/>
      <c r="AF959" s="304"/>
      <c r="AP959" s="304"/>
      <c r="AZ959" s="304"/>
      <c r="BJ959" s="304"/>
      <c r="BT959" s="304"/>
      <c r="CD959" s="304"/>
      <c r="CN959" s="304"/>
      <c r="CX959" s="304"/>
      <c r="DH959" s="304"/>
    </row>
    <row r="960" spans="3:112" s="37" customFormat="1" hidden="1" x14ac:dyDescent="0.25">
      <c r="C960" s="35"/>
      <c r="L960" s="848"/>
      <c r="V960" s="304"/>
      <c r="AF960" s="304"/>
      <c r="AP960" s="304"/>
      <c r="AZ960" s="304"/>
      <c r="BJ960" s="304"/>
      <c r="BT960" s="304"/>
      <c r="CD960" s="304"/>
      <c r="CN960" s="304"/>
      <c r="CX960" s="304"/>
      <c r="DH960" s="304"/>
    </row>
    <row r="961" spans="3:112" s="37" customFormat="1" hidden="1" x14ac:dyDescent="0.25">
      <c r="C961" s="35"/>
      <c r="L961" s="848"/>
      <c r="V961" s="304"/>
      <c r="AF961" s="304"/>
      <c r="AP961" s="304"/>
      <c r="AZ961" s="304"/>
      <c r="BJ961" s="304"/>
      <c r="BT961" s="304"/>
      <c r="CD961" s="304"/>
      <c r="CN961" s="304"/>
      <c r="CX961" s="304"/>
      <c r="DH961" s="304"/>
    </row>
    <row r="962" spans="3:112" s="37" customFormat="1" hidden="1" x14ac:dyDescent="0.25">
      <c r="C962" s="35"/>
      <c r="L962" s="848"/>
      <c r="V962" s="304"/>
      <c r="AF962" s="304"/>
      <c r="AP962" s="304"/>
      <c r="AZ962" s="304"/>
      <c r="BJ962" s="304"/>
      <c r="BT962" s="304"/>
      <c r="CD962" s="304"/>
      <c r="CN962" s="304"/>
      <c r="CX962" s="304"/>
      <c r="DH962" s="304"/>
    </row>
    <row r="963" spans="3:112" s="37" customFormat="1" hidden="1" x14ac:dyDescent="0.25">
      <c r="C963" s="35"/>
      <c r="L963" s="848"/>
      <c r="V963" s="304"/>
      <c r="AF963" s="304"/>
      <c r="AP963" s="304"/>
      <c r="AZ963" s="304"/>
      <c r="BJ963" s="304"/>
      <c r="BT963" s="304"/>
      <c r="CD963" s="304"/>
      <c r="CN963" s="304"/>
      <c r="CX963" s="304"/>
      <c r="DH963" s="304"/>
    </row>
    <row r="964" spans="3:112" s="37" customFormat="1" hidden="1" x14ac:dyDescent="0.25">
      <c r="C964" s="35"/>
      <c r="L964" s="848"/>
      <c r="V964" s="304"/>
      <c r="AF964" s="304"/>
      <c r="AP964" s="304"/>
      <c r="AZ964" s="304"/>
      <c r="BJ964" s="304"/>
      <c r="BT964" s="304"/>
      <c r="CD964" s="304"/>
      <c r="CN964" s="304"/>
      <c r="CX964" s="304"/>
      <c r="DH964" s="304"/>
    </row>
    <row r="965" spans="3:112" s="37" customFormat="1" hidden="1" x14ac:dyDescent="0.25">
      <c r="C965" s="35"/>
      <c r="L965" s="848"/>
      <c r="V965" s="304"/>
      <c r="AF965" s="304"/>
      <c r="AP965" s="304"/>
      <c r="AZ965" s="304"/>
      <c r="BJ965" s="304"/>
      <c r="BT965" s="304"/>
      <c r="CD965" s="304"/>
      <c r="CN965" s="304"/>
      <c r="CX965" s="304"/>
      <c r="DH965" s="304"/>
    </row>
    <row r="966" spans="3:112" s="37" customFormat="1" hidden="1" x14ac:dyDescent="0.25">
      <c r="C966" s="35"/>
      <c r="L966" s="848"/>
      <c r="V966" s="304"/>
      <c r="AF966" s="304"/>
      <c r="AP966" s="304"/>
      <c r="AZ966" s="304"/>
      <c r="BJ966" s="304"/>
      <c r="BT966" s="304"/>
      <c r="CD966" s="304"/>
      <c r="CN966" s="304"/>
      <c r="CX966" s="304"/>
      <c r="DH966" s="304"/>
    </row>
    <row r="967" spans="3:112" s="37" customFormat="1" hidden="1" x14ac:dyDescent="0.25">
      <c r="C967" s="35"/>
      <c r="L967" s="848"/>
      <c r="V967" s="304"/>
      <c r="AF967" s="304"/>
      <c r="AP967" s="304"/>
      <c r="AZ967" s="304"/>
      <c r="BJ967" s="304"/>
      <c r="BT967" s="304"/>
      <c r="CD967" s="304"/>
      <c r="CN967" s="304"/>
      <c r="CX967" s="304"/>
      <c r="DH967" s="304"/>
    </row>
    <row r="968" spans="3:112" s="37" customFormat="1" hidden="1" x14ac:dyDescent="0.25">
      <c r="C968" s="35"/>
      <c r="L968" s="848"/>
      <c r="V968" s="304"/>
      <c r="AF968" s="304"/>
      <c r="AP968" s="304"/>
      <c r="AZ968" s="304"/>
      <c r="BJ968" s="304"/>
      <c r="BT968" s="304"/>
      <c r="CD968" s="304"/>
      <c r="CN968" s="304"/>
      <c r="CX968" s="304"/>
      <c r="DH968" s="304"/>
    </row>
    <row r="969" spans="3:112" s="37" customFormat="1" hidden="1" x14ac:dyDescent="0.25">
      <c r="C969" s="35"/>
      <c r="L969" s="848"/>
      <c r="V969" s="304"/>
      <c r="AF969" s="304"/>
      <c r="AP969" s="304"/>
      <c r="AZ969" s="304"/>
      <c r="BJ969" s="304"/>
      <c r="BT969" s="304"/>
      <c r="CD969" s="304"/>
      <c r="CN969" s="304"/>
      <c r="CX969" s="304"/>
      <c r="DH969" s="304"/>
    </row>
    <row r="970" spans="3:112" s="37" customFormat="1" hidden="1" x14ac:dyDescent="0.25">
      <c r="C970" s="35"/>
      <c r="L970" s="848"/>
      <c r="V970" s="304"/>
      <c r="AF970" s="304"/>
      <c r="AP970" s="304"/>
      <c r="AZ970" s="304"/>
      <c r="BJ970" s="304"/>
      <c r="BT970" s="304"/>
      <c r="CD970" s="304"/>
      <c r="CN970" s="304"/>
      <c r="CX970" s="304"/>
      <c r="DH970" s="304"/>
    </row>
    <row r="971" spans="3:112" s="37" customFormat="1" hidden="1" x14ac:dyDescent="0.25">
      <c r="C971" s="35"/>
      <c r="L971" s="848"/>
      <c r="V971" s="304"/>
      <c r="AF971" s="304"/>
      <c r="AP971" s="304"/>
      <c r="AZ971" s="304"/>
      <c r="BJ971" s="304"/>
      <c r="BT971" s="304"/>
      <c r="CD971" s="304"/>
      <c r="CN971" s="304"/>
      <c r="CX971" s="304"/>
      <c r="DH971" s="304"/>
    </row>
    <row r="972" spans="3:112" s="37" customFormat="1" hidden="1" x14ac:dyDescent="0.25">
      <c r="C972" s="35"/>
      <c r="L972" s="848"/>
      <c r="V972" s="304"/>
      <c r="AF972" s="304"/>
      <c r="AP972" s="304"/>
      <c r="AZ972" s="304"/>
      <c r="BJ972" s="304"/>
      <c r="BT972" s="304"/>
      <c r="CD972" s="304"/>
      <c r="CN972" s="304"/>
      <c r="CX972" s="304"/>
      <c r="DH972" s="304"/>
    </row>
    <row r="973" spans="3:112" s="37" customFormat="1" hidden="1" x14ac:dyDescent="0.25">
      <c r="C973" s="35"/>
      <c r="L973" s="848"/>
      <c r="V973" s="304"/>
      <c r="AF973" s="304"/>
      <c r="AP973" s="304"/>
      <c r="AZ973" s="304"/>
      <c r="BJ973" s="304"/>
      <c r="BT973" s="304"/>
      <c r="CD973" s="304"/>
      <c r="CN973" s="304"/>
      <c r="CX973" s="304"/>
      <c r="DH973" s="304"/>
    </row>
    <row r="974" spans="3:112" s="37" customFormat="1" hidden="1" x14ac:dyDescent="0.25">
      <c r="C974" s="35"/>
      <c r="L974" s="848"/>
      <c r="V974" s="304"/>
      <c r="AF974" s="304"/>
      <c r="AP974" s="304"/>
      <c r="AZ974" s="304"/>
      <c r="BJ974" s="304"/>
      <c r="BT974" s="304"/>
      <c r="CD974" s="304"/>
      <c r="CN974" s="304"/>
      <c r="CX974" s="304"/>
      <c r="DH974" s="304"/>
    </row>
    <row r="975" spans="3:112" s="37" customFormat="1" hidden="1" x14ac:dyDescent="0.25">
      <c r="C975" s="35"/>
      <c r="L975" s="848"/>
      <c r="V975" s="304"/>
      <c r="AF975" s="304"/>
      <c r="AP975" s="304"/>
      <c r="AZ975" s="304"/>
      <c r="BJ975" s="304"/>
      <c r="BT975" s="304"/>
      <c r="CD975" s="304"/>
      <c r="CN975" s="304"/>
      <c r="CX975" s="304"/>
      <c r="DH975" s="304"/>
    </row>
    <row r="976" spans="3:112" s="37" customFormat="1" hidden="1" x14ac:dyDescent="0.25">
      <c r="C976" s="35"/>
      <c r="L976" s="848"/>
      <c r="V976" s="304"/>
      <c r="AF976" s="304"/>
      <c r="AP976" s="304"/>
      <c r="AZ976" s="304"/>
      <c r="BJ976" s="304"/>
      <c r="BT976" s="304"/>
      <c r="CD976" s="304"/>
      <c r="CN976" s="304"/>
      <c r="CX976" s="304"/>
      <c r="DH976" s="304"/>
    </row>
    <row r="977" spans="3:112" s="37" customFormat="1" hidden="1" x14ac:dyDescent="0.25">
      <c r="C977" s="35"/>
      <c r="L977" s="848"/>
      <c r="V977" s="304"/>
      <c r="AF977" s="304"/>
      <c r="AP977" s="304"/>
      <c r="AZ977" s="304"/>
      <c r="BJ977" s="304"/>
      <c r="BT977" s="304"/>
      <c r="CD977" s="304"/>
      <c r="CN977" s="304"/>
      <c r="CX977" s="304"/>
      <c r="DH977" s="304"/>
    </row>
    <row r="978" spans="3:112" s="37" customFormat="1" hidden="1" x14ac:dyDescent="0.25">
      <c r="C978" s="35"/>
      <c r="L978" s="848"/>
      <c r="V978" s="304"/>
      <c r="AF978" s="304"/>
      <c r="AP978" s="304"/>
      <c r="AZ978" s="304"/>
      <c r="BJ978" s="304"/>
      <c r="BT978" s="304"/>
      <c r="CD978" s="304"/>
      <c r="CN978" s="304"/>
      <c r="CX978" s="304"/>
      <c r="DH978" s="304"/>
    </row>
    <row r="979" spans="3:112" s="37" customFormat="1" hidden="1" x14ac:dyDescent="0.25">
      <c r="C979" s="35"/>
      <c r="L979" s="848"/>
      <c r="V979" s="304"/>
      <c r="AF979" s="304"/>
      <c r="AP979" s="304"/>
      <c r="AZ979" s="304"/>
      <c r="BJ979" s="304"/>
      <c r="BT979" s="304"/>
      <c r="CD979" s="304"/>
      <c r="CN979" s="304"/>
      <c r="CX979" s="304"/>
      <c r="DH979" s="304"/>
    </row>
    <row r="980" spans="3:112" s="37" customFormat="1" hidden="1" x14ac:dyDescent="0.25">
      <c r="C980" s="35"/>
      <c r="L980" s="848"/>
      <c r="V980" s="304"/>
      <c r="AF980" s="304"/>
      <c r="AP980" s="304"/>
      <c r="AZ980" s="304"/>
      <c r="BJ980" s="304"/>
      <c r="BT980" s="304"/>
      <c r="CD980" s="304"/>
      <c r="CN980" s="304"/>
      <c r="CX980" s="304"/>
      <c r="DH980" s="304"/>
    </row>
    <row r="981" spans="3:112" s="37" customFormat="1" hidden="1" x14ac:dyDescent="0.25">
      <c r="C981" s="35"/>
      <c r="L981" s="848"/>
      <c r="V981" s="304"/>
      <c r="AF981" s="304"/>
      <c r="AP981" s="304"/>
      <c r="AZ981" s="304"/>
      <c r="BJ981" s="304"/>
      <c r="BT981" s="304"/>
      <c r="CD981" s="304"/>
      <c r="CN981" s="304"/>
      <c r="CX981" s="304"/>
      <c r="DH981" s="304"/>
    </row>
    <row r="982" spans="3:112" s="37" customFormat="1" hidden="1" x14ac:dyDescent="0.25">
      <c r="C982" s="35"/>
      <c r="L982" s="848"/>
      <c r="V982" s="304"/>
      <c r="AF982" s="304"/>
      <c r="AP982" s="304"/>
      <c r="AZ982" s="304"/>
      <c r="BJ982" s="304"/>
      <c r="BT982" s="304"/>
      <c r="CD982" s="304"/>
      <c r="CN982" s="304"/>
      <c r="CX982" s="304"/>
      <c r="DH982" s="304"/>
    </row>
    <row r="983" spans="3:112" s="37" customFormat="1" hidden="1" x14ac:dyDescent="0.25">
      <c r="C983" s="35"/>
      <c r="L983" s="848"/>
      <c r="V983" s="304"/>
      <c r="AF983" s="304"/>
      <c r="AP983" s="304"/>
      <c r="AZ983" s="304"/>
      <c r="BJ983" s="304"/>
      <c r="BT983" s="304"/>
      <c r="CD983" s="304"/>
      <c r="CN983" s="304"/>
      <c r="CX983" s="304"/>
      <c r="DH983" s="304"/>
    </row>
    <row r="984" spans="3:112" s="37" customFormat="1" hidden="1" x14ac:dyDescent="0.25">
      <c r="C984" s="35"/>
      <c r="L984" s="848"/>
      <c r="V984" s="304"/>
      <c r="AF984" s="304"/>
      <c r="AP984" s="304"/>
      <c r="AZ984" s="304"/>
      <c r="BJ984" s="304"/>
      <c r="BT984" s="304"/>
      <c r="CD984" s="304"/>
      <c r="CN984" s="304"/>
      <c r="CX984" s="304"/>
      <c r="DH984" s="304"/>
    </row>
    <row r="985" spans="3:112" s="37" customFormat="1" hidden="1" x14ac:dyDescent="0.25">
      <c r="C985" s="35"/>
      <c r="L985" s="848"/>
      <c r="V985" s="304"/>
      <c r="AF985" s="304"/>
      <c r="AP985" s="304"/>
      <c r="AZ985" s="304"/>
      <c r="BJ985" s="304"/>
      <c r="BT985" s="304"/>
      <c r="CD985" s="304"/>
      <c r="CN985" s="304"/>
      <c r="CX985" s="304"/>
      <c r="DH985" s="304"/>
    </row>
    <row r="986" spans="3:112" s="37" customFormat="1" hidden="1" x14ac:dyDescent="0.25">
      <c r="C986" s="35"/>
      <c r="L986" s="848"/>
      <c r="V986" s="304"/>
      <c r="AF986" s="304"/>
      <c r="AP986" s="304"/>
      <c r="AZ986" s="304"/>
      <c r="BJ986" s="304"/>
      <c r="BT986" s="304"/>
      <c r="CD986" s="304"/>
      <c r="CN986" s="304"/>
      <c r="CX986" s="304"/>
      <c r="DH986" s="304"/>
    </row>
    <row r="987" spans="3:112" s="37" customFormat="1" hidden="1" x14ac:dyDescent="0.25">
      <c r="C987" s="35"/>
      <c r="L987" s="848"/>
      <c r="V987" s="304"/>
      <c r="AF987" s="304"/>
      <c r="AP987" s="304"/>
      <c r="AZ987" s="304"/>
      <c r="BJ987" s="304"/>
      <c r="BT987" s="304"/>
      <c r="CD987" s="304"/>
      <c r="CN987" s="304"/>
      <c r="CX987" s="304"/>
      <c r="DH987" s="304"/>
    </row>
    <row r="988" spans="3:112" s="37" customFormat="1" hidden="1" x14ac:dyDescent="0.25">
      <c r="C988" s="35"/>
      <c r="L988" s="848"/>
      <c r="V988" s="304"/>
      <c r="AF988" s="304"/>
      <c r="AP988" s="304"/>
      <c r="AZ988" s="304"/>
      <c r="BJ988" s="304"/>
      <c r="BT988" s="304"/>
      <c r="CD988" s="304"/>
      <c r="CN988" s="304"/>
      <c r="CX988" s="304"/>
      <c r="DH988" s="304"/>
    </row>
    <row r="989" spans="3:112" s="37" customFormat="1" hidden="1" x14ac:dyDescent="0.25">
      <c r="C989" s="35"/>
      <c r="L989" s="848"/>
      <c r="V989" s="304"/>
      <c r="AF989" s="304"/>
      <c r="AP989" s="304"/>
      <c r="AZ989" s="304"/>
      <c r="BJ989" s="304"/>
      <c r="BT989" s="304"/>
      <c r="CD989" s="304"/>
      <c r="CN989" s="304"/>
      <c r="CX989" s="304"/>
      <c r="DH989" s="304"/>
    </row>
    <row r="990" spans="3:112" s="37" customFormat="1" hidden="1" x14ac:dyDescent="0.25">
      <c r="C990" s="35"/>
      <c r="L990" s="848"/>
      <c r="V990" s="304"/>
      <c r="AF990" s="304"/>
      <c r="AP990" s="304"/>
      <c r="AZ990" s="304"/>
      <c r="BJ990" s="304"/>
      <c r="BT990" s="304"/>
      <c r="CD990" s="304"/>
      <c r="CN990" s="304"/>
      <c r="CX990" s="304"/>
      <c r="DH990" s="304"/>
    </row>
    <row r="991" spans="3:112" s="37" customFormat="1" hidden="1" x14ac:dyDescent="0.25">
      <c r="C991" s="35"/>
      <c r="L991" s="848"/>
      <c r="V991" s="304"/>
      <c r="AF991" s="304"/>
      <c r="AP991" s="304"/>
      <c r="AZ991" s="304"/>
      <c r="BJ991" s="304"/>
      <c r="BT991" s="304"/>
      <c r="CD991" s="304"/>
      <c r="CN991" s="304"/>
      <c r="CX991" s="304"/>
      <c r="DH991" s="304"/>
    </row>
    <row r="992" spans="3:112" s="37" customFormat="1" hidden="1" x14ac:dyDescent="0.25">
      <c r="C992" s="35"/>
      <c r="L992" s="848"/>
      <c r="V992" s="304"/>
      <c r="AF992" s="304"/>
      <c r="AP992" s="304"/>
      <c r="AZ992" s="304"/>
      <c r="BJ992" s="304"/>
      <c r="BT992" s="304"/>
      <c r="CD992" s="304"/>
      <c r="CN992" s="304"/>
      <c r="CX992" s="304"/>
      <c r="DH992" s="304"/>
    </row>
    <row r="993" spans="3:112" s="37" customFormat="1" hidden="1" x14ac:dyDescent="0.25">
      <c r="C993" s="35"/>
      <c r="L993" s="848"/>
      <c r="V993" s="304"/>
      <c r="AF993" s="304"/>
      <c r="AP993" s="304"/>
      <c r="AZ993" s="304"/>
      <c r="BJ993" s="304"/>
      <c r="BT993" s="304"/>
      <c r="CD993" s="304"/>
      <c r="CN993" s="304"/>
      <c r="CX993" s="304"/>
      <c r="DH993" s="304"/>
    </row>
    <row r="994" spans="3:112" s="37" customFormat="1" hidden="1" x14ac:dyDescent="0.25">
      <c r="C994" s="35"/>
      <c r="L994" s="848"/>
      <c r="V994" s="304"/>
      <c r="AF994" s="304"/>
      <c r="AP994" s="304"/>
      <c r="AZ994" s="304"/>
      <c r="BJ994" s="304"/>
      <c r="BT994" s="304"/>
      <c r="CD994" s="304"/>
      <c r="CN994" s="304"/>
      <c r="CX994" s="304"/>
      <c r="DH994" s="304"/>
    </row>
    <row r="995" spans="3:112" s="37" customFormat="1" hidden="1" x14ac:dyDescent="0.25">
      <c r="C995" s="35"/>
      <c r="L995" s="848"/>
      <c r="V995" s="304"/>
      <c r="AF995" s="304"/>
      <c r="AP995" s="304"/>
      <c r="AZ995" s="304"/>
      <c r="BJ995" s="304"/>
      <c r="BT995" s="304"/>
      <c r="CD995" s="304"/>
      <c r="CN995" s="304"/>
      <c r="CX995" s="304"/>
      <c r="DH995" s="304"/>
    </row>
    <row r="996" spans="3:112" s="37" customFormat="1" hidden="1" x14ac:dyDescent="0.25">
      <c r="C996" s="35"/>
      <c r="L996" s="848"/>
      <c r="V996" s="304"/>
      <c r="AF996" s="304"/>
      <c r="AP996" s="304"/>
      <c r="AZ996" s="304"/>
      <c r="BJ996" s="304"/>
      <c r="BT996" s="304"/>
      <c r="CD996" s="304"/>
      <c r="CN996" s="304"/>
      <c r="CX996" s="304"/>
      <c r="DH996" s="304"/>
    </row>
    <row r="997" spans="3:112" s="37" customFormat="1" hidden="1" x14ac:dyDescent="0.25">
      <c r="C997" s="35"/>
      <c r="L997" s="848"/>
      <c r="V997" s="304"/>
      <c r="AF997" s="304"/>
      <c r="AP997" s="304"/>
      <c r="AZ997" s="304"/>
      <c r="BJ997" s="304"/>
      <c r="BT997" s="304"/>
      <c r="CD997" s="304"/>
      <c r="CN997" s="304"/>
      <c r="CX997" s="304"/>
      <c r="DH997" s="304"/>
    </row>
    <row r="998" spans="3:112" s="37" customFormat="1" hidden="1" x14ac:dyDescent="0.25">
      <c r="C998" s="35"/>
      <c r="L998" s="848"/>
      <c r="V998" s="304"/>
      <c r="AF998" s="304"/>
      <c r="AP998" s="304"/>
      <c r="AZ998" s="304"/>
      <c r="BJ998" s="304"/>
      <c r="BT998" s="304"/>
      <c r="CD998" s="304"/>
      <c r="CN998" s="304"/>
      <c r="CX998" s="304"/>
      <c r="DH998" s="304"/>
    </row>
    <row r="999" spans="3:112" s="37" customFormat="1" hidden="1" x14ac:dyDescent="0.25">
      <c r="C999" s="35"/>
      <c r="L999" s="848"/>
      <c r="V999" s="304"/>
      <c r="AF999" s="304"/>
      <c r="AP999" s="304"/>
      <c r="AZ999" s="304"/>
      <c r="BJ999" s="304"/>
      <c r="BT999" s="304"/>
      <c r="CD999" s="304"/>
      <c r="CN999" s="304"/>
      <c r="CX999" s="304"/>
      <c r="DH999" s="304"/>
    </row>
    <row r="1000" spans="3:112" s="37" customFormat="1" hidden="1" x14ac:dyDescent="0.25">
      <c r="C1000" s="35"/>
      <c r="L1000" s="848"/>
      <c r="V1000" s="304"/>
      <c r="AF1000" s="304"/>
      <c r="AP1000" s="304"/>
      <c r="AZ1000" s="304"/>
      <c r="BJ1000" s="304"/>
      <c r="BT1000" s="304"/>
      <c r="CD1000" s="304"/>
      <c r="CN1000" s="304"/>
      <c r="CX1000" s="304"/>
      <c r="DH1000" s="304"/>
    </row>
    <row r="1001" spans="3:112" s="37" customFormat="1" hidden="1" x14ac:dyDescent="0.25">
      <c r="C1001" s="35"/>
      <c r="L1001" s="848"/>
      <c r="V1001" s="304"/>
      <c r="AF1001" s="304"/>
      <c r="AP1001" s="304"/>
      <c r="AZ1001" s="304"/>
      <c r="BJ1001" s="304"/>
      <c r="BT1001" s="304"/>
      <c r="CD1001" s="304"/>
      <c r="CN1001" s="304"/>
      <c r="CX1001" s="304"/>
      <c r="DH1001" s="304"/>
    </row>
    <row r="1002" spans="3:112" s="37" customFormat="1" hidden="1" x14ac:dyDescent="0.25">
      <c r="C1002" s="35"/>
      <c r="L1002" s="848"/>
      <c r="V1002" s="304"/>
      <c r="AF1002" s="304"/>
      <c r="AP1002" s="304"/>
      <c r="AZ1002" s="304"/>
      <c r="BJ1002" s="304"/>
      <c r="BT1002" s="304"/>
      <c r="CD1002" s="304"/>
      <c r="CN1002" s="304"/>
      <c r="CX1002" s="304"/>
      <c r="DH1002" s="304"/>
    </row>
    <row r="1003" spans="3:112" s="37" customFormat="1" hidden="1" x14ac:dyDescent="0.25">
      <c r="C1003" s="35"/>
      <c r="L1003" s="848"/>
      <c r="V1003" s="304"/>
      <c r="AF1003" s="304"/>
      <c r="AP1003" s="304"/>
      <c r="AZ1003" s="304"/>
      <c r="BJ1003" s="304"/>
      <c r="BT1003" s="304"/>
      <c r="CD1003" s="304"/>
      <c r="CN1003" s="304"/>
      <c r="CX1003" s="304"/>
      <c r="DH1003" s="304"/>
    </row>
    <row r="1004" spans="3:112" s="37" customFormat="1" hidden="1" x14ac:dyDescent="0.25">
      <c r="C1004" s="35"/>
      <c r="L1004" s="848"/>
      <c r="V1004" s="304"/>
      <c r="AF1004" s="304"/>
      <c r="AP1004" s="304"/>
      <c r="AZ1004" s="304"/>
      <c r="BJ1004" s="304"/>
      <c r="BT1004" s="304"/>
      <c r="CD1004" s="304"/>
      <c r="CN1004" s="304"/>
      <c r="CX1004" s="304"/>
      <c r="DH1004" s="304"/>
    </row>
    <row r="1005" spans="3:112" s="37" customFormat="1" hidden="1" x14ac:dyDescent="0.25">
      <c r="C1005" s="35"/>
      <c r="L1005" s="848"/>
      <c r="V1005" s="304"/>
      <c r="AF1005" s="304"/>
      <c r="AP1005" s="304"/>
      <c r="AZ1005" s="304"/>
      <c r="BJ1005" s="304"/>
      <c r="BT1005" s="304"/>
      <c r="CD1005" s="304"/>
      <c r="CN1005" s="304"/>
      <c r="CX1005" s="304"/>
      <c r="DH1005" s="304"/>
    </row>
    <row r="1006" spans="3:112" s="37" customFormat="1" hidden="1" x14ac:dyDescent="0.25">
      <c r="C1006" s="35"/>
      <c r="L1006" s="848"/>
      <c r="V1006" s="304"/>
      <c r="AF1006" s="304"/>
      <c r="AP1006" s="304"/>
      <c r="AZ1006" s="304"/>
      <c r="BJ1006" s="304"/>
      <c r="BT1006" s="304"/>
      <c r="CD1006" s="304"/>
      <c r="CN1006" s="304"/>
      <c r="CX1006" s="304"/>
      <c r="DH1006" s="304"/>
    </row>
    <row r="1007" spans="3:112" s="37" customFormat="1" hidden="1" x14ac:dyDescent="0.25">
      <c r="C1007" s="35"/>
      <c r="L1007" s="848"/>
      <c r="V1007" s="304"/>
      <c r="AF1007" s="304"/>
      <c r="AP1007" s="304"/>
      <c r="AZ1007" s="304"/>
      <c r="BJ1007" s="304"/>
      <c r="BT1007" s="304"/>
      <c r="CD1007" s="304"/>
      <c r="CN1007" s="304"/>
      <c r="CX1007" s="304"/>
      <c r="DH1007" s="304"/>
    </row>
    <row r="1008" spans="3:112" s="37" customFormat="1" hidden="1" x14ac:dyDescent="0.25">
      <c r="C1008" s="35"/>
      <c r="L1008" s="848"/>
      <c r="V1008" s="304"/>
      <c r="AF1008" s="304"/>
      <c r="AP1008" s="304"/>
      <c r="AZ1008" s="304"/>
      <c r="BJ1008" s="304"/>
      <c r="BT1008" s="304"/>
      <c r="CD1008" s="304"/>
      <c r="CN1008" s="304"/>
      <c r="CX1008" s="304"/>
      <c r="DH1008" s="304"/>
    </row>
    <row r="1009" spans="3:112" s="37" customFormat="1" hidden="1" x14ac:dyDescent="0.25">
      <c r="C1009" s="35"/>
      <c r="L1009" s="848"/>
      <c r="V1009" s="304"/>
      <c r="AF1009" s="304"/>
      <c r="AP1009" s="304"/>
      <c r="AZ1009" s="304"/>
      <c r="BJ1009" s="304"/>
      <c r="BT1009" s="304"/>
      <c r="CD1009" s="304"/>
      <c r="CN1009" s="304"/>
      <c r="CX1009" s="304"/>
      <c r="DH1009" s="304"/>
    </row>
    <row r="1010" spans="3:112" s="37" customFormat="1" hidden="1" x14ac:dyDescent="0.25">
      <c r="C1010" s="35"/>
      <c r="L1010" s="848"/>
      <c r="V1010" s="304"/>
      <c r="AF1010" s="304"/>
      <c r="AP1010" s="304"/>
      <c r="AZ1010" s="304"/>
      <c r="BJ1010" s="304"/>
      <c r="BT1010" s="304"/>
      <c r="CD1010" s="304"/>
      <c r="CN1010" s="304"/>
      <c r="CX1010" s="304"/>
      <c r="DH1010" s="304"/>
    </row>
    <row r="1011" spans="3:112" s="37" customFormat="1" hidden="1" x14ac:dyDescent="0.25">
      <c r="C1011" s="35"/>
      <c r="L1011" s="848"/>
      <c r="V1011" s="304"/>
      <c r="AF1011" s="304"/>
      <c r="AP1011" s="304"/>
      <c r="AZ1011" s="304"/>
      <c r="BJ1011" s="304"/>
      <c r="BT1011" s="304"/>
      <c r="CD1011" s="304"/>
      <c r="CN1011" s="304"/>
      <c r="CX1011" s="304"/>
      <c r="DH1011" s="304"/>
    </row>
    <row r="1012" spans="3:112" s="37" customFormat="1" hidden="1" x14ac:dyDescent="0.25">
      <c r="C1012" s="35"/>
      <c r="L1012" s="848"/>
      <c r="V1012" s="304"/>
      <c r="AF1012" s="304"/>
      <c r="AP1012" s="304"/>
      <c r="AZ1012" s="304"/>
      <c r="BJ1012" s="304"/>
      <c r="BT1012" s="304"/>
      <c r="CD1012" s="304"/>
      <c r="CN1012" s="304"/>
      <c r="CX1012" s="304"/>
      <c r="DH1012" s="304"/>
    </row>
    <row r="1013" spans="3:112" s="37" customFormat="1" hidden="1" x14ac:dyDescent="0.25">
      <c r="C1013" s="35"/>
      <c r="L1013" s="848"/>
      <c r="V1013" s="304"/>
      <c r="AF1013" s="304"/>
      <c r="AP1013" s="304"/>
      <c r="AZ1013" s="304"/>
      <c r="BJ1013" s="304"/>
      <c r="BT1013" s="304"/>
      <c r="CD1013" s="304"/>
      <c r="CN1013" s="304"/>
      <c r="CX1013" s="304"/>
      <c r="DH1013" s="304"/>
    </row>
    <row r="1014" spans="3:112" s="37" customFormat="1" hidden="1" x14ac:dyDescent="0.25">
      <c r="C1014" s="35"/>
      <c r="L1014" s="848"/>
      <c r="V1014" s="304"/>
      <c r="AF1014" s="304"/>
      <c r="AP1014" s="304"/>
      <c r="AZ1014" s="304"/>
      <c r="BJ1014" s="304"/>
      <c r="BT1014" s="304"/>
      <c r="CD1014" s="304"/>
      <c r="CN1014" s="304"/>
      <c r="CX1014" s="304"/>
      <c r="DH1014" s="304"/>
    </row>
    <row r="1015" spans="3:112" s="37" customFormat="1" hidden="1" x14ac:dyDescent="0.25">
      <c r="C1015" s="35"/>
      <c r="L1015" s="848"/>
      <c r="V1015" s="304"/>
      <c r="AF1015" s="304"/>
      <c r="AP1015" s="304"/>
      <c r="AZ1015" s="304"/>
      <c r="BJ1015" s="304"/>
      <c r="BT1015" s="304"/>
      <c r="CD1015" s="304"/>
      <c r="CN1015" s="304"/>
      <c r="CX1015" s="304"/>
      <c r="DH1015" s="304"/>
    </row>
    <row r="1016" spans="3:112" s="37" customFormat="1" hidden="1" x14ac:dyDescent="0.25">
      <c r="C1016" s="35"/>
      <c r="L1016" s="848"/>
      <c r="V1016" s="304"/>
      <c r="AF1016" s="304"/>
      <c r="AP1016" s="304"/>
      <c r="AZ1016" s="304"/>
      <c r="BJ1016" s="304"/>
      <c r="BT1016" s="304"/>
      <c r="CD1016" s="304"/>
      <c r="CN1016" s="304"/>
      <c r="CX1016" s="304"/>
      <c r="DH1016" s="304"/>
    </row>
    <row r="1017" spans="3:112" s="37" customFormat="1" hidden="1" x14ac:dyDescent="0.25">
      <c r="C1017" s="35"/>
      <c r="L1017" s="848"/>
      <c r="V1017" s="304"/>
      <c r="AF1017" s="304"/>
      <c r="AP1017" s="304"/>
      <c r="AZ1017" s="304"/>
      <c r="BJ1017" s="304"/>
      <c r="BT1017" s="304"/>
      <c r="CD1017" s="304"/>
      <c r="CN1017" s="304"/>
      <c r="CX1017" s="304"/>
      <c r="DH1017" s="304"/>
    </row>
    <row r="1018" spans="3:112" s="37" customFormat="1" hidden="1" x14ac:dyDescent="0.25">
      <c r="C1018" s="35"/>
      <c r="L1018" s="848"/>
      <c r="V1018" s="304"/>
      <c r="AF1018" s="304"/>
      <c r="AP1018" s="304"/>
      <c r="AZ1018" s="304"/>
      <c r="BJ1018" s="304"/>
      <c r="BT1018" s="304"/>
      <c r="CD1018" s="304"/>
      <c r="CN1018" s="304"/>
      <c r="CX1018" s="304"/>
      <c r="DH1018" s="304"/>
    </row>
    <row r="1019" spans="3:112" s="37" customFormat="1" hidden="1" x14ac:dyDescent="0.25">
      <c r="C1019" s="35"/>
      <c r="L1019" s="848"/>
      <c r="V1019" s="304"/>
      <c r="AF1019" s="304"/>
      <c r="AP1019" s="304"/>
      <c r="AZ1019" s="304"/>
      <c r="BJ1019" s="304"/>
      <c r="BT1019" s="304"/>
      <c r="CD1019" s="304"/>
      <c r="CN1019" s="304"/>
      <c r="CX1019" s="304"/>
      <c r="DH1019" s="304"/>
    </row>
    <row r="1020" spans="3:112" s="37" customFormat="1" hidden="1" x14ac:dyDescent="0.25">
      <c r="C1020" s="35"/>
      <c r="L1020" s="848"/>
      <c r="V1020" s="304"/>
      <c r="AF1020" s="304"/>
      <c r="AP1020" s="304"/>
      <c r="AZ1020" s="304"/>
      <c r="BJ1020" s="304"/>
      <c r="BT1020" s="304"/>
      <c r="CD1020" s="304"/>
      <c r="CN1020" s="304"/>
      <c r="CX1020" s="304"/>
      <c r="DH1020" s="304"/>
    </row>
    <row r="1021" spans="3:112" s="37" customFormat="1" hidden="1" x14ac:dyDescent="0.25">
      <c r="C1021" s="35"/>
      <c r="L1021" s="848"/>
      <c r="V1021" s="304"/>
      <c r="AF1021" s="304"/>
      <c r="AP1021" s="304"/>
      <c r="AZ1021" s="304"/>
      <c r="BJ1021" s="304"/>
      <c r="BT1021" s="304"/>
      <c r="CD1021" s="304"/>
      <c r="CN1021" s="304"/>
      <c r="CX1021" s="304"/>
      <c r="DH1021" s="304"/>
    </row>
    <row r="1022" spans="3:112" s="37" customFormat="1" hidden="1" x14ac:dyDescent="0.25">
      <c r="C1022" s="35"/>
      <c r="L1022" s="848"/>
      <c r="V1022" s="304"/>
      <c r="AF1022" s="304"/>
      <c r="AP1022" s="304"/>
      <c r="AZ1022" s="304"/>
      <c r="BJ1022" s="304"/>
      <c r="BT1022" s="304"/>
      <c r="CD1022" s="304"/>
      <c r="CN1022" s="304"/>
      <c r="CX1022" s="304"/>
      <c r="DH1022" s="304"/>
    </row>
    <row r="1023" spans="3:112" s="37" customFormat="1" hidden="1" x14ac:dyDescent="0.25">
      <c r="C1023" s="35"/>
      <c r="L1023" s="848"/>
      <c r="V1023" s="304"/>
      <c r="AF1023" s="304"/>
      <c r="AP1023" s="304"/>
      <c r="AZ1023" s="304"/>
      <c r="BJ1023" s="304"/>
      <c r="BT1023" s="304"/>
      <c r="CD1023" s="304"/>
      <c r="CN1023" s="304"/>
      <c r="CX1023" s="304"/>
      <c r="DH1023" s="304"/>
    </row>
    <row r="1024" spans="3:112" s="37" customFormat="1" hidden="1" x14ac:dyDescent="0.25">
      <c r="C1024" s="35"/>
      <c r="L1024" s="848"/>
      <c r="V1024" s="304"/>
      <c r="AF1024" s="304"/>
      <c r="AP1024" s="304"/>
      <c r="AZ1024" s="304"/>
      <c r="BJ1024" s="304"/>
      <c r="BT1024" s="304"/>
      <c r="CD1024" s="304"/>
      <c r="CN1024" s="304"/>
      <c r="CX1024" s="304"/>
      <c r="DH1024" s="304"/>
    </row>
    <row r="1025" spans="3:112" s="37" customFormat="1" hidden="1" x14ac:dyDescent="0.25">
      <c r="C1025" s="35"/>
      <c r="L1025" s="848"/>
      <c r="V1025" s="304"/>
      <c r="AF1025" s="304"/>
      <c r="AP1025" s="304"/>
      <c r="AZ1025" s="304"/>
      <c r="BJ1025" s="304"/>
      <c r="BT1025" s="304"/>
      <c r="CD1025" s="304"/>
      <c r="CN1025" s="304"/>
      <c r="CX1025" s="304"/>
      <c r="DH1025" s="304"/>
    </row>
    <row r="1026" spans="3:112" s="37" customFormat="1" hidden="1" x14ac:dyDescent="0.25">
      <c r="C1026" s="35"/>
      <c r="L1026" s="848"/>
      <c r="V1026" s="304"/>
      <c r="AF1026" s="304"/>
      <c r="AP1026" s="304"/>
      <c r="AZ1026" s="304"/>
      <c r="BJ1026" s="304"/>
      <c r="BT1026" s="304"/>
      <c r="CD1026" s="304"/>
      <c r="CN1026" s="304"/>
      <c r="CX1026" s="304"/>
      <c r="DH1026" s="304"/>
    </row>
    <row r="1027" spans="3:112" s="37" customFormat="1" hidden="1" x14ac:dyDescent="0.25">
      <c r="C1027" s="35"/>
      <c r="L1027" s="848"/>
      <c r="V1027" s="304"/>
      <c r="AF1027" s="304"/>
      <c r="AP1027" s="304"/>
      <c r="AZ1027" s="304"/>
      <c r="BJ1027" s="304"/>
      <c r="BT1027" s="304"/>
      <c r="CD1027" s="304"/>
      <c r="CN1027" s="304"/>
      <c r="CX1027" s="304"/>
      <c r="DH1027" s="304"/>
    </row>
    <row r="1028" spans="3:112" s="37" customFormat="1" hidden="1" x14ac:dyDescent="0.25">
      <c r="C1028" s="35"/>
      <c r="L1028" s="848"/>
      <c r="V1028" s="304"/>
      <c r="AF1028" s="304"/>
      <c r="AP1028" s="304"/>
      <c r="AZ1028" s="304"/>
      <c r="BJ1028" s="304"/>
      <c r="BT1028" s="304"/>
      <c r="CD1028" s="304"/>
      <c r="CN1028" s="304"/>
      <c r="CX1028" s="304"/>
      <c r="DH1028" s="304"/>
    </row>
    <row r="1029" spans="3:112" s="37" customFormat="1" hidden="1" x14ac:dyDescent="0.25">
      <c r="C1029" s="35"/>
      <c r="L1029" s="848"/>
      <c r="V1029" s="304"/>
      <c r="AF1029" s="304"/>
      <c r="AP1029" s="304"/>
      <c r="AZ1029" s="304"/>
      <c r="BJ1029" s="304"/>
      <c r="BT1029" s="304"/>
      <c r="CD1029" s="304"/>
      <c r="CN1029" s="304"/>
      <c r="CX1029" s="304"/>
      <c r="DH1029" s="304"/>
    </row>
    <row r="1030" spans="3:112" s="37" customFormat="1" hidden="1" x14ac:dyDescent="0.25">
      <c r="C1030" s="35"/>
      <c r="L1030" s="848"/>
      <c r="V1030" s="304"/>
      <c r="AF1030" s="304"/>
      <c r="AP1030" s="304"/>
      <c r="AZ1030" s="304"/>
      <c r="BJ1030" s="304"/>
      <c r="BT1030" s="304"/>
      <c r="CD1030" s="304"/>
      <c r="CN1030" s="304"/>
      <c r="CX1030" s="304"/>
      <c r="DH1030" s="304"/>
    </row>
    <row r="1031" spans="3:112" s="37" customFormat="1" hidden="1" x14ac:dyDescent="0.25">
      <c r="C1031" s="35"/>
      <c r="L1031" s="848"/>
      <c r="V1031" s="304"/>
      <c r="AF1031" s="304"/>
      <c r="AP1031" s="304"/>
      <c r="AZ1031" s="304"/>
      <c r="BJ1031" s="304"/>
      <c r="BT1031" s="304"/>
      <c r="CD1031" s="304"/>
      <c r="CN1031" s="304"/>
      <c r="CX1031" s="304"/>
      <c r="DH1031" s="304"/>
    </row>
    <row r="1032" spans="3:112" s="37" customFormat="1" hidden="1" x14ac:dyDescent="0.25">
      <c r="C1032" s="35"/>
      <c r="L1032" s="848"/>
      <c r="V1032" s="304"/>
      <c r="AF1032" s="304"/>
      <c r="AP1032" s="304"/>
      <c r="AZ1032" s="304"/>
      <c r="BJ1032" s="304"/>
      <c r="BT1032" s="304"/>
      <c r="CD1032" s="304"/>
      <c r="CN1032" s="304"/>
      <c r="CX1032" s="304"/>
      <c r="DH1032" s="304"/>
    </row>
    <row r="1033" spans="3:112" s="37" customFormat="1" hidden="1" x14ac:dyDescent="0.25">
      <c r="C1033" s="35"/>
      <c r="L1033" s="848"/>
      <c r="V1033" s="304"/>
      <c r="AF1033" s="304"/>
      <c r="AP1033" s="304"/>
      <c r="AZ1033" s="304"/>
      <c r="BJ1033" s="304"/>
      <c r="BT1033" s="304"/>
      <c r="CD1033" s="304"/>
      <c r="CN1033" s="304"/>
      <c r="CX1033" s="304"/>
      <c r="DH1033" s="304"/>
    </row>
    <row r="1034" spans="3:112" s="37" customFormat="1" hidden="1" x14ac:dyDescent="0.25">
      <c r="C1034" s="35"/>
      <c r="L1034" s="848"/>
      <c r="V1034" s="304"/>
      <c r="AF1034" s="304"/>
      <c r="AP1034" s="304"/>
      <c r="AZ1034" s="304"/>
      <c r="BJ1034" s="304"/>
      <c r="BT1034" s="304"/>
      <c r="CD1034" s="304"/>
      <c r="CN1034" s="304"/>
      <c r="CX1034" s="304"/>
      <c r="DH1034" s="304"/>
    </row>
    <row r="1035" spans="3:112" s="37" customFormat="1" hidden="1" x14ac:dyDescent="0.25">
      <c r="C1035" s="35"/>
      <c r="L1035" s="848"/>
      <c r="V1035" s="304"/>
      <c r="AF1035" s="304"/>
      <c r="AP1035" s="304"/>
      <c r="AZ1035" s="304"/>
      <c r="BJ1035" s="304"/>
      <c r="BT1035" s="304"/>
      <c r="CD1035" s="304"/>
      <c r="CN1035" s="304"/>
      <c r="CX1035" s="304"/>
      <c r="DH1035" s="304"/>
    </row>
    <row r="1036" spans="3:112" s="37" customFormat="1" hidden="1" x14ac:dyDescent="0.25">
      <c r="C1036" s="35"/>
      <c r="L1036" s="848"/>
      <c r="V1036" s="304"/>
      <c r="AF1036" s="304"/>
      <c r="AP1036" s="304"/>
      <c r="AZ1036" s="304"/>
      <c r="BJ1036" s="304"/>
      <c r="BT1036" s="304"/>
      <c r="CD1036" s="304"/>
      <c r="CN1036" s="304"/>
      <c r="CX1036" s="304"/>
      <c r="DH1036" s="304"/>
    </row>
    <row r="1037" spans="3:112" s="37" customFormat="1" hidden="1" x14ac:dyDescent="0.25">
      <c r="C1037" s="35"/>
      <c r="L1037" s="848"/>
      <c r="V1037" s="304"/>
      <c r="AF1037" s="304"/>
      <c r="AP1037" s="304"/>
      <c r="AZ1037" s="304"/>
      <c r="BJ1037" s="304"/>
      <c r="BT1037" s="304"/>
      <c r="CD1037" s="304"/>
      <c r="CN1037" s="304"/>
      <c r="CX1037" s="304"/>
      <c r="DH1037" s="304"/>
    </row>
    <row r="1038" spans="3:112" s="37" customFormat="1" hidden="1" x14ac:dyDescent="0.25">
      <c r="C1038" s="35"/>
      <c r="L1038" s="848"/>
      <c r="V1038" s="304"/>
      <c r="AF1038" s="304"/>
      <c r="AP1038" s="304"/>
      <c r="AZ1038" s="304"/>
      <c r="BJ1038" s="304"/>
      <c r="BT1038" s="304"/>
      <c r="CD1038" s="304"/>
      <c r="CN1038" s="304"/>
      <c r="CX1038" s="304"/>
      <c r="DH1038" s="304"/>
    </row>
    <row r="1039" spans="3:112" s="37" customFormat="1" hidden="1" x14ac:dyDescent="0.25">
      <c r="C1039" s="35"/>
      <c r="L1039" s="848"/>
      <c r="V1039" s="304"/>
      <c r="AF1039" s="304"/>
      <c r="AP1039" s="304"/>
      <c r="AZ1039" s="304"/>
      <c r="BJ1039" s="304"/>
      <c r="BT1039" s="304"/>
      <c r="CD1039" s="304"/>
      <c r="CN1039" s="304"/>
      <c r="CX1039" s="304"/>
      <c r="DH1039" s="304"/>
    </row>
    <row r="1040" spans="3:112" s="37" customFormat="1" hidden="1" x14ac:dyDescent="0.25">
      <c r="C1040" s="35"/>
      <c r="L1040" s="848"/>
      <c r="V1040" s="304"/>
      <c r="AF1040" s="304"/>
      <c r="AP1040" s="304"/>
      <c r="AZ1040" s="304"/>
      <c r="BJ1040" s="304"/>
      <c r="BT1040" s="304"/>
      <c r="CD1040" s="304"/>
      <c r="CN1040" s="304"/>
      <c r="CX1040" s="304"/>
      <c r="DH1040" s="304"/>
    </row>
    <row r="1041" spans="3:112" s="37" customFormat="1" hidden="1" x14ac:dyDescent="0.25">
      <c r="C1041" s="35"/>
      <c r="L1041" s="848"/>
      <c r="V1041" s="304"/>
      <c r="AF1041" s="304"/>
      <c r="AP1041" s="304"/>
      <c r="AZ1041" s="304"/>
      <c r="BJ1041" s="304"/>
      <c r="BT1041" s="304"/>
      <c r="CD1041" s="304"/>
      <c r="CN1041" s="304"/>
      <c r="CX1041" s="304"/>
      <c r="DH1041" s="304"/>
    </row>
    <row r="1042" spans="3:112" s="37" customFormat="1" hidden="1" x14ac:dyDescent="0.25">
      <c r="C1042" s="35"/>
      <c r="L1042" s="848"/>
      <c r="V1042" s="304"/>
      <c r="AF1042" s="304"/>
      <c r="AP1042" s="304"/>
      <c r="AZ1042" s="304"/>
      <c r="BJ1042" s="304"/>
      <c r="BT1042" s="304"/>
      <c r="CD1042" s="304"/>
      <c r="CN1042" s="304"/>
      <c r="CX1042" s="304"/>
      <c r="DH1042" s="304"/>
    </row>
    <row r="1043" spans="3:112" s="37" customFormat="1" hidden="1" x14ac:dyDescent="0.25">
      <c r="C1043" s="35"/>
      <c r="L1043" s="848"/>
      <c r="V1043" s="304"/>
      <c r="AF1043" s="304"/>
      <c r="AP1043" s="304"/>
      <c r="AZ1043" s="304"/>
      <c r="BJ1043" s="304"/>
      <c r="BT1043" s="304"/>
      <c r="CD1043" s="304"/>
      <c r="CN1043" s="304"/>
      <c r="CX1043" s="304"/>
      <c r="DH1043" s="304"/>
    </row>
    <row r="1044" spans="3:112" s="37" customFormat="1" hidden="1" x14ac:dyDescent="0.25">
      <c r="C1044" s="35"/>
      <c r="L1044" s="848"/>
      <c r="V1044" s="304"/>
      <c r="AF1044" s="304"/>
      <c r="AP1044" s="304"/>
      <c r="AZ1044" s="304"/>
      <c r="BJ1044" s="304"/>
      <c r="BT1044" s="304"/>
      <c r="CD1044" s="304"/>
      <c r="CN1044" s="304"/>
      <c r="CX1044" s="304"/>
      <c r="DH1044" s="304"/>
    </row>
    <row r="1045" spans="3:112" s="37" customFormat="1" hidden="1" x14ac:dyDescent="0.25">
      <c r="C1045" s="35"/>
      <c r="L1045" s="848"/>
      <c r="V1045" s="304"/>
      <c r="AF1045" s="304"/>
      <c r="AP1045" s="304"/>
      <c r="AZ1045" s="304"/>
      <c r="BJ1045" s="304"/>
      <c r="BT1045" s="304"/>
      <c r="CD1045" s="304"/>
      <c r="CN1045" s="304"/>
      <c r="CX1045" s="304"/>
      <c r="DH1045" s="304"/>
    </row>
    <row r="1046" spans="3:112" s="37" customFormat="1" hidden="1" x14ac:dyDescent="0.25">
      <c r="C1046" s="35"/>
      <c r="L1046" s="848"/>
      <c r="V1046" s="304"/>
      <c r="AF1046" s="304"/>
      <c r="AP1046" s="304"/>
      <c r="AZ1046" s="304"/>
      <c r="BJ1046" s="304"/>
      <c r="BT1046" s="304"/>
      <c r="CD1046" s="304"/>
      <c r="CN1046" s="304"/>
      <c r="CX1046" s="304"/>
      <c r="DH1046" s="304"/>
    </row>
    <row r="1047" spans="3:112" s="37" customFormat="1" hidden="1" x14ac:dyDescent="0.25">
      <c r="C1047" s="35"/>
      <c r="L1047" s="848"/>
      <c r="V1047" s="304"/>
      <c r="AF1047" s="304"/>
      <c r="AP1047" s="304"/>
      <c r="AZ1047" s="304"/>
      <c r="BJ1047" s="304"/>
      <c r="BT1047" s="304"/>
      <c r="CD1047" s="304"/>
      <c r="CN1047" s="304"/>
      <c r="CX1047" s="304"/>
      <c r="DH1047" s="304"/>
    </row>
    <row r="1048" spans="3:112" s="37" customFormat="1" hidden="1" x14ac:dyDescent="0.25">
      <c r="C1048" s="35"/>
      <c r="L1048" s="848"/>
      <c r="V1048" s="304"/>
      <c r="AF1048" s="304"/>
      <c r="AP1048" s="304"/>
      <c r="AZ1048" s="304"/>
      <c r="BJ1048" s="304"/>
      <c r="BT1048" s="304"/>
      <c r="CD1048" s="304"/>
      <c r="CN1048" s="304"/>
      <c r="CX1048" s="304"/>
      <c r="DH1048" s="304"/>
    </row>
    <row r="1049" spans="3:112" s="37" customFormat="1" hidden="1" x14ac:dyDescent="0.25">
      <c r="C1049" s="35"/>
      <c r="L1049" s="848"/>
      <c r="V1049" s="304"/>
      <c r="AF1049" s="304"/>
      <c r="AP1049" s="304"/>
      <c r="AZ1049" s="304"/>
      <c r="BJ1049" s="304"/>
      <c r="BT1049" s="304"/>
      <c r="CD1049" s="304"/>
      <c r="CN1049" s="304"/>
      <c r="CX1049" s="304"/>
      <c r="DH1049" s="304"/>
    </row>
    <row r="1050" spans="3:112" s="37" customFormat="1" hidden="1" x14ac:dyDescent="0.25">
      <c r="C1050" s="35"/>
      <c r="L1050" s="848"/>
      <c r="V1050" s="304"/>
      <c r="AF1050" s="304"/>
      <c r="AP1050" s="304"/>
      <c r="AZ1050" s="304"/>
      <c r="BJ1050" s="304"/>
      <c r="BT1050" s="304"/>
      <c r="CD1050" s="304"/>
      <c r="CN1050" s="304"/>
      <c r="CX1050" s="304"/>
      <c r="DH1050" s="304"/>
    </row>
    <row r="1051" spans="3:112" s="37" customFormat="1" hidden="1" x14ac:dyDescent="0.25">
      <c r="C1051" s="35"/>
      <c r="L1051" s="848"/>
      <c r="V1051" s="304"/>
      <c r="AF1051" s="304"/>
      <c r="AP1051" s="304"/>
      <c r="AZ1051" s="304"/>
      <c r="BJ1051" s="304"/>
      <c r="BT1051" s="304"/>
      <c r="CD1051" s="304"/>
      <c r="CN1051" s="304"/>
      <c r="CX1051" s="304"/>
      <c r="DH1051" s="304"/>
    </row>
    <row r="1052" spans="3:112" s="37" customFormat="1" hidden="1" x14ac:dyDescent="0.25">
      <c r="C1052" s="35"/>
      <c r="L1052" s="848"/>
      <c r="V1052" s="304"/>
      <c r="AF1052" s="304"/>
      <c r="AP1052" s="304"/>
      <c r="AZ1052" s="304"/>
      <c r="BJ1052" s="304"/>
      <c r="BT1052" s="304"/>
      <c r="CD1052" s="304"/>
      <c r="CN1052" s="304"/>
      <c r="CX1052" s="304"/>
      <c r="DH1052" s="304"/>
    </row>
    <row r="1053" spans="3:112" s="37" customFormat="1" hidden="1" x14ac:dyDescent="0.25">
      <c r="C1053" s="35"/>
      <c r="L1053" s="848"/>
      <c r="V1053" s="304"/>
      <c r="AF1053" s="304"/>
      <c r="AP1053" s="304"/>
      <c r="AZ1053" s="304"/>
      <c r="BJ1053" s="304"/>
      <c r="BT1053" s="304"/>
      <c r="CD1053" s="304"/>
      <c r="CN1053" s="304"/>
      <c r="CX1053" s="304"/>
      <c r="DH1053" s="304"/>
    </row>
    <row r="1054" spans="3:112" s="37" customFormat="1" hidden="1" x14ac:dyDescent="0.25">
      <c r="C1054" s="35"/>
      <c r="L1054" s="848"/>
      <c r="V1054" s="304"/>
      <c r="AF1054" s="304"/>
      <c r="AP1054" s="304"/>
      <c r="AZ1054" s="304"/>
      <c r="BJ1054" s="304"/>
      <c r="BT1054" s="304"/>
      <c r="CD1054" s="304"/>
      <c r="CN1054" s="304"/>
      <c r="CX1054" s="304"/>
      <c r="DH1054" s="304"/>
    </row>
    <row r="1055" spans="3:112" s="37" customFormat="1" hidden="1" x14ac:dyDescent="0.25">
      <c r="C1055" s="35"/>
      <c r="L1055" s="848"/>
      <c r="V1055" s="304"/>
      <c r="AF1055" s="304"/>
      <c r="AP1055" s="304"/>
      <c r="AZ1055" s="304"/>
      <c r="BJ1055" s="304"/>
      <c r="BT1055" s="304"/>
      <c r="CD1055" s="304"/>
      <c r="CN1055" s="304"/>
      <c r="CX1055" s="304"/>
      <c r="DH1055" s="304"/>
    </row>
    <row r="1056" spans="3:112" s="37" customFormat="1" hidden="1" x14ac:dyDescent="0.25">
      <c r="C1056" s="35"/>
      <c r="L1056" s="848"/>
      <c r="V1056" s="304"/>
      <c r="AF1056" s="304"/>
      <c r="AP1056" s="304"/>
      <c r="AZ1056" s="304"/>
      <c r="BJ1056" s="304"/>
      <c r="BT1056" s="304"/>
      <c r="CD1056" s="304"/>
      <c r="CN1056" s="304"/>
      <c r="CX1056" s="304"/>
      <c r="DH1056" s="304"/>
    </row>
    <row r="1057" spans="3:112" s="37" customFormat="1" hidden="1" x14ac:dyDescent="0.25">
      <c r="C1057" s="35"/>
      <c r="L1057" s="848"/>
      <c r="V1057" s="304"/>
      <c r="AF1057" s="304"/>
      <c r="AP1057" s="304"/>
      <c r="AZ1057" s="304"/>
      <c r="BJ1057" s="304"/>
      <c r="BT1057" s="304"/>
      <c r="CD1057" s="304"/>
      <c r="CN1057" s="304"/>
      <c r="CX1057" s="304"/>
      <c r="DH1057" s="304"/>
    </row>
    <row r="1058" spans="3:112" s="37" customFormat="1" hidden="1" x14ac:dyDescent="0.25">
      <c r="C1058" s="35"/>
      <c r="L1058" s="848"/>
      <c r="V1058" s="304"/>
      <c r="AF1058" s="304"/>
      <c r="AP1058" s="304"/>
      <c r="AZ1058" s="304"/>
      <c r="BJ1058" s="304"/>
      <c r="BT1058" s="304"/>
      <c r="CD1058" s="304"/>
      <c r="CN1058" s="304"/>
      <c r="CX1058" s="304"/>
      <c r="DH1058" s="304"/>
    </row>
    <row r="1059" spans="3:112" s="37" customFormat="1" hidden="1" x14ac:dyDescent="0.25">
      <c r="C1059" s="35"/>
      <c r="L1059" s="848"/>
      <c r="V1059" s="304"/>
      <c r="AF1059" s="304"/>
      <c r="AP1059" s="304"/>
      <c r="AZ1059" s="304"/>
      <c r="BJ1059" s="304"/>
      <c r="BT1059" s="304"/>
      <c r="CD1059" s="304"/>
      <c r="CN1059" s="304"/>
      <c r="CX1059" s="304"/>
      <c r="DH1059" s="304"/>
    </row>
    <row r="1060" spans="3:112" s="37" customFormat="1" hidden="1" x14ac:dyDescent="0.25">
      <c r="C1060" s="35"/>
      <c r="L1060" s="848"/>
      <c r="V1060" s="304"/>
      <c r="AF1060" s="304"/>
      <c r="AP1060" s="304"/>
      <c r="AZ1060" s="304"/>
      <c r="BJ1060" s="304"/>
      <c r="BT1060" s="304"/>
      <c r="CD1060" s="304"/>
      <c r="CN1060" s="304"/>
      <c r="CX1060" s="304"/>
      <c r="DH1060" s="304"/>
    </row>
    <row r="1061" spans="3:112" s="37" customFormat="1" hidden="1" x14ac:dyDescent="0.25">
      <c r="C1061" s="35"/>
      <c r="L1061" s="848"/>
      <c r="V1061" s="304"/>
      <c r="AF1061" s="304"/>
      <c r="AP1061" s="304"/>
      <c r="AZ1061" s="304"/>
      <c r="BJ1061" s="304"/>
      <c r="BT1061" s="304"/>
      <c r="CD1061" s="304"/>
      <c r="CN1061" s="304"/>
      <c r="CX1061" s="304"/>
      <c r="DH1061" s="304"/>
    </row>
    <row r="1062" spans="3:112" s="37" customFormat="1" hidden="1" x14ac:dyDescent="0.25">
      <c r="C1062" s="35"/>
      <c r="L1062" s="848"/>
      <c r="V1062" s="304"/>
      <c r="AF1062" s="304"/>
      <c r="AP1062" s="304"/>
      <c r="AZ1062" s="304"/>
      <c r="BJ1062" s="304"/>
      <c r="BT1062" s="304"/>
      <c r="CD1062" s="304"/>
      <c r="CN1062" s="304"/>
      <c r="CX1062" s="304"/>
      <c r="DH1062" s="304"/>
    </row>
    <row r="1063" spans="3:112" s="37" customFormat="1" hidden="1" x14ac:dyDescent="0.25">
      <c r="C1063" s="35"/>
      <c r="L1063" s="848"/>
      <c r="V1063" s="304"/>
      <c r="AF1063" s="304"/>
      <c r="AP1063" s="304"/>
      <c r="AZ1063" s="304"/>
      <c r="BJ1063" s="304"/>
      <c r="BT1063" s="304"/>
      <c r="CD1063" s="304"/>
      <c r="CN1063" s="304"/>
      <c r="CX1063" s="304"/>
      <c r="DH1063" s="304"/>
    </row>
    <row r="1064" spans="3:112" s="37" customFormat="1" hidden="1" x14ac:dyDescent="0.25">
      <c r="C1064" s="35"/>
      <c r="L1064" s="848"/>
      <c r="V1064" s="304"/>
      <c r="AF1064" s="304"/>
      <c r="AP1064" s="304"/>
      <c r="AZ1064" s="304"/>
      <c r="BJ1064" s="304"/>
      <c r="BT1064" s="304"/>
      <c r="CD1064" s="304"/>
      <c r="CN1064" s="304"/>
      <c r="CX1064" s="304"/>
      <c r="DH1064" s="304"/>
    </row>
    <row r="1065" spans="3:112" s="37" customFormat="1" hidden="1" x14ac:dyDescent="0.25">
      <c r="C1065" s="35"/>
      <c r="L1065" s="848"/>
      <c r="V1065" s="304"/>
      <c r="AF1065" s="304"/>
      <c r="AP1065" s="304"/>
      <c r="AZ1065" s="304"/>
      <c r="BJ1065" s="304"/>
      <c r="BT1065" s="304"/>
      <c r="CD1065" s="304"/>
      <c r="CN1065" s="304"/>
      <c r="CX1065" s="304"/>
      <c r="DH1065" s="304"/>
    </row>
    <row r="1066" spans="3:112" s="37" customFormat="1" hidden="1" x14ac:dyDescent="0.25">
      <c r="C1066" s="35"/>
      <c r="L1066" s="848"/>
      <c r="V1066" s="304"/>
      <c r="AF1066" s="304"/>
      <c r="AP1066" s="304"/>
      <c r="AZ1066" s="304"/>
      <c r="BJ1066" s="304"/>
      <c r="BT1066" s="304"/>
      <c r="CD1066" s="304"/>
      <c r="CN1066" s="304"/>
      <c r="CX1066" s="304"/>
      <c r="DH1066" s="304"/>
    </row>
    <row r="1067" spans="3:112" s="37" customFormat="1" hidden="1" x14ac:dyDescent="0.25">
      <c r="C1067" s="35"/>
      <c r="L1067" s="848"/>
      <c r="V1067" s="304"/>
      <c r="AF1067" s="304"/>
      <c r="AP1067" s="304"/>
      <c r="AZ1067" s="304"/>
      <c r="BJ1067" s="304"/>
      <c r="BT1067" s="304"/>
      <c r="CD1067" s="304"/>
      <c r="CN1067" s="304"/>
      <c r="CX1067" s="304"/>
      <c r="DH1067" s="304"/>
    </row>
    <row r="1068" spans="3:112" s="37" customFormat="1" hidden="1" x14ac:dyDescent="0.25">
      <c r="C1068" s="35"/>
      <c r="L1068" s="848"/>
      <c r="V1068" s="304"/>
      <c r="AF1068" s="304"/>
      <c r="AP1068" s="304"/>
      <c r="AZ1068" s="304"/>
      <c r="BJ1068" s="304"/>
      <c r="BT1068" s="304"/>
      <c r="CD1068" s="304"/>
      <c r="CN1068" s="304"/>
      <c r="CX1068" s="304"/>
      <c r="DH1068" s="304"/>
    </row>
    <row r="1069" spans="3:112" s="37" customFormat="1" hidden="1" x14ac:dyDescent="0.25">
      <c r="C1069" s="35"/>
      <c r="L1069" s="848"/>
      <c r="V1069" s="304"/>
      <c r="AF1069" s="304"/>
      <c r="AP1069" s="304"/>
      <c r="AZ1069" s="304"/>
      <c r="BJ1069" s="304"/>
      <c r="BT1069" s="304"/>
      <c r="CD1069" s="304"/>
      <c r="CN1069" s="304"/>
      <c r="CX1069" s="304"/>
      <c r="DH1069" s="304"/>
    </row>
    <row r="1070" spans="3:112" s="37" customFormat="1" hidden="1" x14ac:dyDescent="0.25">
      <c r="C1070" s="35"/>
      <c r="L1070" s="848"/>
      <c r="V1070" s="304"/>
      <c r="AF1070" s="304"/>
      <c r="AP1070" s="304"/>
      <c r="AZ1070" s="304"/>
      <c r="BJ1070" s="304"/>
      <c r="BT1070" s="304"/>
      <c r="CD1070" s="304"/>
      <c r="CN1070" s="304"/>
      <c r="CX1070" s="304"/>
      <c r="DH1070" s="304"/>
    </row>
    <row r="1071" spans="3:112" s="37" customFormat="1" hidden="1" x14ac:dyDescent="0.25">
      <c r="C1071" s="35"/>
      <c r="L1071" s="848"/>
      <c r="V1071" s="304"/>
      <c r="AF1071" s="304"/>
      <c r="AP1071" s="304"/>
      <c r="AZ1071" s="304"/>
      <c r="BJ1071" s="304"/>
      <c r="BT1071" s="304"/>
      <c r="CD1071" s="304"/>
      <c r="CN1071" s="304"/>
      <c r="CX1071" s="304"/>
      <c r="DH1071" s="304"/>
    </row>
    <row r="1072" spans="3:112" s="37" customFormat="1" hidden="1" x14ac:dyDescent="0.25">
      <c r="C1072" s="35"/>
      <c r="L1072" s="848"/>
      <c r="V1072" s="304"/>
      <c r="AF1072" s="304"/>
      <c r="AP1072" s="304"/>
      <c r="AZ1072" s="304"/>
      <c r="BJ1072" s="304"/>
      <c r="BT1072" s="304"/>
      <c r="CD1072" s="304"/>
      <c r="CN1072" s="304"/>
      <c r="CX1072" s="304"/>
      <c r="DH1072" s="304"/>
    </row>
    <row r="1073" spans="3:112" s="37" customFormat="1" hidden="1" x14ac:dyDescent="0.25">
      <c r="C1073" s="35"/>
      <c r="L1073" s="848"/>
      <c r="V1073" s="304"/>
      <c r="AF1073" s="304"/>
      <c r="AP1073" s="304"/>
      <c r="AZ1073" s="304"/>
      <c r="BJ1073" s="304"/>
      <c r="BT1073" s="304"/>
      <c r="CD1073" s="304"/>
      <c r="CN1073" s="304"/>
      <c r="CX1073" s="304"/>
      <c r="DH1073" s="304"/>
    </row>
    <row r="1074" spans="3:112" s="37" customFormat="1" hidden="1" x14ac:dyDescent="0.25">
      <c r="C1074" s="35"/>
      <c r="L1074" s="848"/>
      <c r="V1074" s="304"/>
      <c r="AF1074" s="304"/>
      <c r="AP1074" s="304"/>
      <c r="AZ1074" s="304"/>
      <c r="BJ1074" s="304"/>
      <c r="BT1074" s="304"/>
      <c r="CD1074" s="304"/>
      <c r="CN1074" s="304"/>
      <c r="CX1074" s="304"/>
      <c r="DH1074" s="304"/>
    </row>
    <row r="1075" spans="3:112" s="37" customFormat="1" hidden="1" x14ac:dyDescent="0.25">
      <c r="C1075" s="35"/>
      <c r="L1075" s="848"/>
      <c r="V1075" s="304"/>
      <c r="AF1075" s="304"/>
      <c r="AP1075" s="304"/>
      <c r="AZ1075" s="304"/>
      <c r="BJ1075" s="304"/>
      <c r="BT1075" s="304"/>
      <c r="CD1075" s="304"/>
      <c r="CN1075" s="304"/>
      <c r="CX1075" s="304"/>
      <c r="DH1075" s="304"/>
    </row>
    <row r="1076" spans="3:112" s="37" customFormat="1" hidden="1" x14ac:dyDescent="0.25">
      <c r="C1076" s="35"/>
      <c r="L1076" s="848"/>
      <c r="V1076" s="304"/>
      <c r="AF1076" s="304"/>
      <c r="AP1076" s="304"/>
      <c r="AZ1076" s="304"/>
      <c r="BJ1076" s="304"/>
      <c r="BT1076" s="304"/>
      <c r="CD1076" s="304"/>
      <c r="CN1076" s="304"/>
      <c r="CX1076" s="304"/>
      <c r="DH1076" s="304"/>
    </row>
    <row r="1077" spans="3:112" s="37" customFormat="1" hidden="1" x14ac:dyDescent="0.25">
      <c r="C1077" s="35"/>
      <c r="L1077" s="848"/>
      <c r="V1077" s="304"/>
      <c r="AF1077" s="304"/>
      <c r="AP1077" s="304"/>
      <c r="AZ1077" s="304"/>
      <c r="BJ1077" s="304"/>
      <c r="BT1077" s="304"/>
      <c r="CD1077" s="304"/>
      <c r="CN1077" s="304"/>
      <c r="CX1077" s="304"/>
      <c r="DH1077" s="304"/>
    </row>
    <row r="1078" spans="3:112" s="37" customFormat="1" hidden="1" x14ac:dyDescent="0.25">
      <c r="C1078" s="35"/>
      <c r="L1078" s="848"/>
      <c r="V1078" s="304"/>
      <c r="AF1078" s="304"/>
      <c r="AP1078" s="304"/>
      <c r="AZ1078" s="304"/>
      <c r="BJ1078" s="304"/>
      <c r="BT1078" s="304"/>
      <c r="CD1078" s="304"/>
      <c r="CN1078" s="304"/>
      <c r="CX1078" s="304"/>
      <c r="DH1078" s="304"/>
    </row>
    <row r="1079" spans="3:112" s="37" customFormat="1" hidden="1" x14ac:dyDescent="0.25">
      <c r="C1079" s="35"/>
      <c r="L1079" s="848"/>
      <c r="V1079" s="304"/>
      <c r="AF1079" s="304"/>
      <c r="AP1079" s="304"/>
      <c r="AZ1079" s="304"/>
      <c r="BJ1079" s="304"/>
      <c r="BT1079" s="304"/>
      <c r="CD1079" s="304"/>
      <c r="CN1079" s="304"/>
      <c r="CX1079" s="304"/>
      <c r="DH1079" s="304"/>
    </row>
    <row r="1080" spans="3:112" s="37" customFormat="1" hidden="1" x14ac:dyDescent="0.25">
      <c r="C1080" s="35"/>
      <c r="L1080" s="848"/>
      <c r="V1080" s="304"/>
      <c r="AF1080" s="304"/>
      <c r="AP1080" s="304"/>
      <c r="AZ1080" s="304"/>
      <c r="BJ1080" s="304"/>
      <c r="BT1080" s="304"/>
      <c r="CD1080" s="304"/>
      <c r="CN1080" s="304"/>
      <c r="CX1080" s="304"/>
      <c r="DH1080" s="304"/>
    </row>
    <row r="1081" spans="3:112" s="37" customFormat="1" hidden="1" x14ac:dyDescent="0.25">
      <c r="C1081" s="35"/>
      <c r="L1081" s="848"/>
      <c r="V1081" s="304"/>
      <c r="AF1081" s="304"/>
      <c r="AP1081" s="304"/>
      <c r="AZ1081" s="304"/>
      <c r="BJ1081" s="304"/>
      <c r="BT1081" s="304"/>
      <c r="CD1081" s="304"/>
      <c r="CN1081" s="304"/>
      <c r="CX1081" s="304"/>
      <c r="DH1081" s="304"/>
    </row>
    <row r="1082" spans="3:112" s="37" customFormat="1" hidden="1" x14ac:dyDescent="0.25">
      <c r="C1082" s="35"/>
      <c r="L1082" s="848"/>
      <c r="V1082" s="304"/>
      <c r="AF1082" s="304"/>
      <c r="AP1082" s="304"/>
      <c r="AZ1082" s="304"/>
      <c r="BJ1082" s="304"/>
      <c r="BT1082" s="304"/>
      <c r="CD1082" s="304"/>
      <c r="CN1082" s="304"/>
      <c r="CX1082" s="304"/>
      <c r="DH1082" s="304"/>
    </row>
    <row r="1083" spans="3:112" s="37" customFormat="1" hidden="1" x14ac:dyDescent="0.25">
      <c r="C1083" s="35"/>
      <c r="L1083" s="848"/>
      <c r="V1083" s="304"/>
      <c r="AF1083" s="304"/>
      <c r="AP1083" s="304"/>
      <c r="AZ1083" s="304"/>
      <c r="BJ1083" s="304"/>
      <c r="BT1083" s="304"/>
      <c r="CD1083" s="304"/>
      <c r="CN1083" s="304"/>
      <c r="CX1083" s="304"/>
      <c r="DH1083" s="304"/>
    </row>
    <row r="1084" spans="3:112" s="37" customFormat="1" hidden="1" x14ac:dyDescent="0.25">
      <c r="C1084" s="35"/>
      <c r="L1084" s="848"/>
      <c r="V1084" s="304"/>
      <c r="AF1084" s="304"/>
      <c r="AP1084" s="304"/>
      <c r="AZ1084" s="304"/>
      <c r="BJ1084" s="304"/>
      <c r="BT1084" s="304"/>
      <c r="CD1084" s="304"/>
      <c r="CN1084" s="304"/>
      <c r="CX1084" s="304"/>
      <c r="DH1084" s="304"/>
    </row>
    <row r="1085" spans="3:112" s="37" customFormat="1" hidden="1" x14ac:dyDescent="0.25">
      <c r="C1085" s="35"/>
      <c r="L1085" s="848"/>
      <c r="V1085" s="304"/>
      <c r="AF1085" s="304"/>
      <c r="AP1085" s="304"/>
      <c r="AZ1085" s="304"/>
      <c r="BJ1085" s="304"/>
      <c r="BT1085" s="304"/>
      <c r="CD1085" s="304"/>
      <c r="CN1085" s="304"/>
      <c r="CX1085" s="304"/>
      <c r="DH1085" s="304"/>
    </row>
    <row r="1086" spans="3:112" s="37" customFormat="1" hidden="1" x14ac:dyDescent="0.25">
      <c r="C1086" s="35"/>
      <c r="L1086" s="848"/>
      <c r="V1086" s="304"/>
      <c r="AF1086" s="304"/>
      <c r="AP1086" s="304"/>
      <c r="AZ1086" s="304"/>
      <c r="BJ1086" s="304"/>
      <c r="BT1086" s="304"/>
      <c r="CD1086" s="304"/>
      <c r="CN1086" s="304"/>
      <c r="CX1086" s="304"/>
      <c r="DH1086" s="304"/>
    </row>
    <row r="1087" spans="3:112" s="37" customFormat="1" hidden="1" x14ac:dyDescent="0.25">
      <c r="C1087" s="35"/>
      <c r="L1087" s="848"/>
      <c r="V1087" s="304"/>
      <c r="AF1087" s="304"/>
      <c r="AP1087" s="304"/>
      <c r="AZ1087" s="304"/>
      <c r="BJ1087" s="304"/>
      <c r="BT1087" s="304"/>
      <c r="CD1087" s="304"/>
      <c r="CN1087" s="304"/>
      <c r="CX1087" s="304"/>
      <c r="DH1087" s="304"/>
    </row>
    <row r="1088" spans="3:112" s="37" customFormat="1" hidden="1" x14ac:dyDescent="0.25">
      <c r="C1088" s="35"/>
      <c r="L1088" s="848"/>
      <c r="V1088" s="304"/>
      <c r="AF1088" s="304"/>
      <c r="AP1088" s="304"/>
      <c r="AZ1088" s="304"/>
      <c r="BJ1088" s="304"/>
      <c r="BT1088" s="304"/>
      <c r="CD1088" s="304"/>
      <c r="CN1088" s="304"/>
      <c r="CX1088" s="304"/>
      <c r="DH1088" s="304"/>
    </row>
    <row r="1089" spans="3:112" s="37" customFormat="1" hidden="1" x14ac:dyDescent="0.25">
      <c r="C1089" s="35"/>
      <c r="L1089" s="848"/>
      <c r="V1089" s="304"/>
      <c r="AF1089" s="304"/>
      <c r="AP1089" s="304"/>
      <c r="AZ1089" s="304"/>
      <c r="BJ1089" s="304"/>
      <c r="BT1089" s="304"/>
      <c r="CD1089" s="304"/>
      <c r="CN1089" s="304"/>
      <c r="CX1089" s="304"/>
      <c r="DH1089" s="304"/>
    </row>
    <row r="1090" spans="3:112" s="37" customFormat="1" hidden="1" x14ac:dyDescent="0.25">
      <c r="C1090" s="35"/>
      <c r="L1090" s="848"/>
      <c r="V1090" s="304"/>
      <c r="AF1090" s="304"/>
      <c r="AP1090" s="304"/>
      <c r="AZ1090" s="304"/>
      <c r="BJ1090" s="304"/>
      <c r="BT1090" s="304"/>
      <c r="CD1090" s="304"/>
      <c r="CN1090" s="304"/>
      <c r="CX1090" s="304"/>
      <c r="DH1090" s="304"/>
    </row>
    <row r="1091" spans="3:112" s="37" customFormat="1" hidden="1" x14ac:dyDescent="0.25">
      <c r="C1091" s="35"/>
      <c r="L1091" s="848"/>
      <c r="V1091" s="304"/>
      <c r="AF1091" s="304"/>
      <c r="AP1091" s="304"/>
      <c r="AZ1091" s="304"/>
      <c r="BJ1091" s="304"/>
      <c r="BT1091" s="304"/>
      <c r="CD1091" s="304"/>
      <c r="CN1091" s="304"/>
      <c r="CX1091" s="304"/>
      <c r="DH1091" s="304"/>
    </row>
    <row r="1092" spans="3:112" s="37" customFormat="1" hidden="1" x14ac:dyDescent="0.25">
      <c r="C1092" s="35"/>
      <c r="L1092" s="848"/>
      <c r="V1092" s="304"/>
      <c r="AF1092" s="304"/>
      <c r="AP1092" s="304"/>
      <c r="AZ1092" s="304"/>
      <c r="BJ1092" s="304"/>
      <c r="BT1092" s="304"/>
      <c r="CD1092" s="304"/>
      <c r="CN1092" s="304"/>
      <c r="CX1092" s="304"/>
      <c r="DH1092" s="304"/>
    </row>
    <row r="1093" spans="3:112" s="37" customFormat="1" hidden="1" x14ac:dyDescent="0.25">
      <c r="C1093" s="35"/>
      <c r="L1093" s="848"/>
      <c r="V1093" s="304"/>
      <c r="AF1093" s="304"/>
      <c r="AP1093" s="304"/>
      <c r="AZ1093" s="304"/>
      <c r="BJ1093" s="304"/>
      <c r="BT1093" s="304"/>
      <c r="CD1093" s="304"/>
      <c r="CN1093" s="304"/>
      <c r="CX1093" s="304"/>
      <c r="DH1093" s="304"/>
    </row>
    <row r="1094" spans="3:112" s="37" customFormat="1" hidden="1" x14ac:dyDescent="0.25">
      <c r="C1094" s="35"/>
      <c r="L1094" s="848"/>
      <c r="V1094" s="304"/>
      <c r="AF1094" s="304"/>
      <c r="AP1094" s="304"/>
      <c r="AZ1094" s="304"/>
      <c r="BJ1094" s="304"/>
      <c r="BT1094" s="304"/>
      <c r="CD1094" s="304"/>
      <c r="CN1094" s="304"/>
      <c r="CX1094" s="304"/>
      <c r="DH1094" s="304"/>
    </row>
    <row r="1095" spans="3:112" s="37" customFormat="1" hidden="1" x14ac:dyDescent="0.25">
      <c r="C1095" s="35"/>
      <c r="L1095" s="848"/>
      <c r="V1095" s="304"/>
      <c r="AF1095" s="304"/>
      <c r="AP1095" s="304"/>
      <c r="AZ1095" s="304"/>
      <c r="BJ1095" s="304"/>
      <c r="BT1095" s="304"/>
      <c r="CD1095" s="304"/>
      <c r="CN1095" s="304"/>
      <c r="CX1095" s="304"/>
      <c r="DH1095" s="304"/>
    </row>
    <row r="1096" spans="3:112" s="37" customFormat="1" hidden="1" x14ac:dyDescent="0.25">
      <c r="C1096" s="35"/>
      <c r="L1096" s="848"/>
      <c r="V1096" s="304"/>
      <c r="AF1096" s="304"/>
      <c r="AP1096" s="304"/>
      <c r="AZ1096" s="304"/>
      <c r="BJ1096" s="304"/>
      <c r="BT1096" s="304"/>
      <c r="CD1096" s="304"/>
      <c r="CN1096" s="304"/>
      <c r="CX1096" s="304"/>
      <c r="DH1096" s="304"/>
    </row>
    <row r="1097" spans="3:112" s="37" customFormat="1" hidden="1" x14ac:dyDescent="0.25">
      <c r="C1097" s="35"/>
      <c r="L1097" s="848"/>
      <c r="V1097" s="304"/>
      <c r="AF1097" s="304"/>
      <c r="AP1097" s="304"/>
      <c r="AZ1097" s="304"/>
      <c r="BJ1097" s="304"/>
      <c r="BT1097" s="304"/>
      <c r="CD1097" s="304"/>
      <c r="CN1097" s="304"/>
      <c r="CX1097" s="304"/>
      <c r="DH1097" s="304"/>
    </row>
    <row r="1098" spans="3:112" s="37" customFormat="1" hidden="1" x14ac:dyDescent="0.25">
      <c r="C1098" s="35"/>
      <c r="L1098" s="848"/>
      <c r="V1098" s="304"/>
      <c r="AF1098" s="304"/>
      <c r="AP1098" s="304"/>
      <c r="AZ1098" s="304"/>
      <c r="BJ1098" s="304"/>
      <c r="BT1098" s="304"/>
      <c r="CD1098" s="304"/>
      <c r="CN1098" s="304"/>
      <c r="CX1098" s="304"/>
      <c r="DH1098" s="304"/>
    </row>
    <row r="1099" spans="3:112" s="37" customFormat="1" hidden="1" x14ac:dyDescent="0.25">
      <c r="C1099" s="35"/>
      <c r="L1099" s="848"/>
      <c r="V1099" s="304"/>
      <c r="AF1099" s="304"/>
      <c r="AP1099" s="304"/>
      <c r="AZ1099" s="304"/>
      <c r="BJ1099" s="304"/>
      <c r="BT1099" s="304"/>
      <c r="CD1099" s="304"/>
      <c r="CN1099" s="304"/>
      <c r="CX1099" s="304"/>
      <c r="DH1099" s="304"/>
    </row>
    <row r="1100" spans="3:112" s="37" customFormat="1" hidden="1" x14ac:dyDescent="0.25">
      <c r="C1100" s="35"/>
      <c r="L1100" s="848"/>
      <c r="V1100" s="304"/>
      <c r="AF1100" s="304"/>
      <c r="AP1100" s="304"/>
      <c r="AZ1100" s="304"/>
      <c r="BJ1100" s="304"/>
      <c r="BT1100" s="304"/>
      <c r="CD1100" s="304"/>
      <c r="CN1100" s="304"/>
      <c r="CX1100" s="304"/>
      <c r="DH1100" s="304"/>
    </row>
    <row r="1101" spans="3:112" s="37" customFormat="1" hidden="1" x14ac:dyDescent="0.25">
      <c r="C1101" s="35"/>
      <c r="L1101" s="848"/>
      <c r="V1101" s="304"/>
      <c r="AF1101" s="304"/>
      <c r="AP1101" s="304"/>
      <c r="AZ1101" s="304"/>
      <c r="BJ1101" s="304"/>
      <c r="BT1101" s="304"/>
      <c r="CD1101" s="304"/>
      <c r="CN1101" s="304"/>
      <c r="CX1101" s="304"/>
      <c r="DH1101" s="304"/>
    </row>
    <row r="1102" spans="3:112" s="37" customFormat="1" hidden="1" x14ac:dyDescent="0.25">
      <c r="C1102" s="35"/>
      <c r="L1102" s="848"/>
      <c r="V1102" s="304"/>
      <c r="AF1102" s="304"/>
      <c r="AP1102" s="304"/>
      <c r="AZ1102" s="304"/>
      <c r="BJ1102" s="304"/>
      <c r="BT1102" s="304"/>
      <c r="CD1102" s="304"/>
      <c r="CN1102" s="304"/>
      <c r="CX1102" s="304"/>
      <c r="DH1102" s="304"/>
    </row>
    <row r="1103" spans="3:112" s="37" customFormat="1" hidden="1" x14ac:dyDescent="0.25">
      <c r="C1103" s="35"/>
      <c r="L1103" s="848"/>
      <c r="V1103" s="304"/>
      <c r="AF1103" s="304"/>
      <c r="AP1103" s="304"/>
      <c r="AZ1103" s="304"/>
      <c r="BJ1103" s="304"/>
      <c r="BT1103" s="304"/>
      <c r="CD1103" s="304"/>
      <c r="CN1103" s="304"/>
      <c r="CX1103" s="304"/>
      <c r="DH1103" s="304"/>
    </row>
    <row r="1104" spans="3:112" s="37" customFormat="1" hidden="1" x14ac:dyDescent="0.25">
      <c r="C1104" s="35"/>
      <c r="L1104" s="848"/>
      <c r="V1104" s="304"/>
      <c r="AF1104" s="304"/>
      <c r="AP1104" s="304"/>
      <c r="AZ1104" s="304"/>
      <c r="BJ1104" s="304"/>
      <c r="BT1104" s="304"/>
      <c r="CD1104" s="304"/>
      <c r="CN1104" s="304"/>
      <c r="CX1104" s="304"/>
      <c r="DH1104" s="304"/>
    </row>
    <row r="1105" spans="3:112" s="37" customFormat="1" hidden="1" x14ac:dyDescent="0.25">
      <c r="C1105" s="35"/>
      <c r="L1105" s="848"/>
      <c r="V1105" s="304"/>
      <c r="AF1105" s="304"/>
      <c r="AP1105" s="304"/>
      <c r="AZ1105" s="304"/>
      <c r="BJ1105" s="304"/>
      <c r="BT1105" s="304"/>
      <c r="CD1105" s="304"/>
      <c r="CN1105" s="304"/>
      <c r="CX1105" s="304"/>
      <c r="DH1105" s="304"/>
    </row>
    <row r="1106" spans="3:112" s="37" customFormat="1" hidden="1" x14ac:dyDescent="0.25">
      <c r="C1106" s="35"/>
      <c r="L1106" s="848"/>
      <c r="V1106" s="304"/>
      <c r="AF1106" s="304"/>
      <c r="AP1106" s="304"/>
      <c r="AZ1106" s="304"/>
      <c r="BJ1106" s="304"/>
      <c r="BT1106" s="304"/>
      <c r="CD1106" s="304"/>
      <c r="CN1106" s="304"/>
      <c r="CX1106" s="304"/>
      <c r="DH1106" s="304"/>
    </row>
    <row r="1107" spans="3:112" s="37" customFormat="1" hidden="1" x14ac:dyDescent="0.25">
      <c r="C1107" s="35"/>
      <c r="L1107" s="848"/>
      <c r="V1107" s="304"/>
      <c r="AF1107" s="304"/>
      <c r="AP1107" s="304"/>
      <c r="AZ1107" s="304"/>
      <c r="BJ1107" s="304"/>
      <c r="BT1107" s="304"/>
      <c r="CD1107" s="304"/>
      <c r="CN1107" s="304"/>
      <c r="CX1107" s="304"/>
      <c r="DH1107" s="304"/>
    </row>
    <row r="1108" spans="3:112" s="37" customFormat="1" hidden="1" x14ac:dyDescent="0.25">
      <c r="C1108" s="35"/>
      <c r="L1108" s="848"/>
      <c r="V1108" s="304"/>
      <c r="AF1108" s="304"/>
      <c r="AP1108" s="304"/>
      <c r="AZ1108" s="304"/>
      <c r="BJ1108" s="304"/>
      <c r="BT1108" s="304"/>
      <c r="CD1108" s="304"/>
      <c r="CN1108" s="304"/>
      <c r="CX1108" s="304"/>
      <c r="DH1108" s="304"/>
    </row>
    <row r="1109" spans="3:112" s="37" customFormat="1" hidden="1" x14ac:dyDescent="0.25">
      <c r="C1109" s="35"/>
      <c r="L1109" s="848"/>
      <c r="V1109" s="304"/>
      <c r="AF1109" s="304"/>
      <c r="AP1109" s="304"/>
      <c r="AZ1109" s="304"/>
      <c r="BJ1109" s="304"/>
      <c r="BT1109" s="304"/>
      <c r="CD1109" s="304"/>
      <c r="CN1109" s="304"/>
      <c r="CX1109" s="304"/>
      <c r="DH1109" s="304"/>
    </row>
    <row r="1110" spans="3:112" s="37" customFormat="1" hidden="1" x14ac:dyDescent="0.25">
      <c r="C1110" s="35"/>
      <c r="L1110" s="848"/>
      <c r="V1110" s="304"/>
      <c r="AF1110" s="304"/>
      <c r="AP1110" s="304"/>
      <c r="AZ1110" s="304"/>
      <c r="BJ1110" s="304"/>
      <c r="BT1110" s="304"/>
      <c r="CD1110" s="304"/>
      <c r="CN1110" s="304"/>
      <c r="CX1110" s="304"/>
      <c r="DH1110" s="304"/>
    </row>
    <row r="1111" spans="3:112" s="37" customFormat="1" hidden="1" x14ac:dyDescent="0.25">
      <c r="C1111" s="35"/>
      <c r="L1111" s="848"/>
      <c r="V1111" s="304"/>
      <c r="AF1111" s="304"/>
      <c r="AP1111" s="304"/>
      <c r="AZ1111" s="304"/>
      <c r="BJ1111" s="304"/>
      <c r="BT1111" s="304"/>
      <c r="CD1111" s="304"/>
      <c r="CN1111" s="304"/>
      <c r="CX1111" s="304"/>
      <c r="DH1111" s="304"/>
    </row>
    <row r="1112" spans="3:112" s="37" customFormat="1" hidden="1" x14ac:dyDescent="0.25">
      <c r="C1112" s="35"/>
      <c r="L1112" s="848"/>
      <c r="V1112" s="304"/>
      <c r="AF1112" s="304"/>
      <c r="AP1112" s="304"/>
      <c r="AZ1112" s="304"/>
      <c r="BJ1112" s="304"/>
      <c r="BT1112" s="304"/>
      <c r="CD1112" s="304"/>
      <c r="CN1112" s="304"/>
      <c r="CX1112" s="304"/>
      <c r="DH1112" s="304"/>
    </row>
    <row r="1113" spans="3:112" s="37" customFormat="1" hidden="1" x14ac:dyDescent="0.25">
      <c r="C1113" s="35"/>
      <c r="L1113" s="848"/>
      <c r="V1113" s="304"/>
      <c r="AF1113" s="304"/>
      <c r="AP1113" s="304"/>
      <c r="AZ1113" s="304"/>
      <c r="BJ1113" s="304"/>
      <c r="BT1113" s="304"/>
      <c r="CD1113" s="304"/>
      <c r="CN1113" s="304"/>
      <c r="CX1113" s="304"/>
      <c r="DH1113" s="304"/>
    </row>
    <row r="1114" spans="3:112" s="37" customFormat="1" hidden="1" x14ac:dyDescent="0.25">
      <c r="C1114" s="35"/>
      <c r="L1114" s="848"/>
      <c r="V1114" s="304"/>
      <c r="AF1114" s="304"/>
      <c r="AP1114" s="304"/>
      <c r="AZ1114" s="304"/>
      <c r="BJ1114" s="304"/>
      <c r="BT1114" s="304"/>
      <c r="CD1114" s="304"/>
      <c r="CN1114" s="304"/>
      <c r="CX1114" s="304"/>
      <c r="DH1114" s="304"/>
    </row>
    <row r="1115" spans="3:112" s="37" customFormat="1" hidden="1" x14ac:dyDescent="0.25">
      <c r="C1115" s="35"/>
      <c r="L1115" s="848"/>
      <c r="V1115" s="304"/>
      <c r="AF1115" s="304"/>
      <c r="AP1115" s="304"/>
      <c r="AZ1115" s="304"/>
      <c r="BJ1115" s="304"/>
      <c r="BT1115" s="304"/>
      <c r="CD1115" s="304"/>
      <c r="CN1115" s="304"/>
      <c r="CX1115" s="304"/>
      <c r="DH1115" s="304"/>
    </row>
    <row r="1116" spans="3:112" s="37" customFormat="1" hidden="1" x14ac:dyDescent="0.25">
      <c r="C1116" s="35"/>
      <c r="L1116" s="848"/>
      <c r="V1116" s="304"/>
      <c r="AF1116" s="304"/>
      <c r="AP1116" s="304"/>
      <c r="AZ1116" s="304"/>
      <c r="BJ1116" s="304"/>
      <c r="BT1116" s="304"/>
      <c r="CD1116" s="304"/>
      <c r="CN1116" s="304"/>
      <c r="CX1116" s="304"/>
      <c r="DH1116" s="304"/>
    </row>
    <row r="1117" spans="3:112" s="37" customFormat="1" hidden="1" x14ac:dyDescent="0.25">
      <c r="C1117" s="35"/>
      <c r="L1117" s="848"/>
      <c r="V1117" s="304"/>
      <c r="AF1117" s="304"/>
      <c r="AP1117" s="304"/>
      <c r="AZ1117" s="304"/>
      <c r="BJ1117" s="304"/>
      <c r="BT1117" s="304"/>
      <c r="CD1117" s="304"/>
      <c r="CN1117" s="304"/>
      <c r="CX1117" s="304"/>
      <c r="DH1117" s="304"/>
    </row>
    <row r="1118" spans="3:112" s="37" customFormat="1" hidden="1" x14ac:dyDescent="0.25">
      <c r="C1118" s="35"/>
      <c r="L1118" s="848"/>
      <c r="V1118" s="304"/>
      <c r="AF1118" s="304"/>
      <c r="AP1118" s="304"/>
      <c r="AZ1118" s="304"/>
      <c r="BJ1118" s="304"/>
      <c r="BT1118" s="304"/>
      <c r="CD1118" s="304"/>
      <c r="CN1118" s="304"/>
      <c r="CX1118" s="304"/>
      <c r="DH1118" s="304"/>
    </row>
    <row r="1119" spans="3:112" s="37" customFormat="1" hidden="1" x14ac:dyDescent="0.25">
      <c r="C1119" s="35"/>
      <c r="L1119" s="848"/>
      <c r="V1119" s="304"/>
      <c r="AF1119" s="304"/>
      <c r="AP1119" s="304"/>
      <c r="AZ1119" s="304"/>
      <c r="BJ1119" s="304"/>
      <c r="BT1119" s="304"/>
      <c r="CD1119" s="304"/>
      <c r="CN1119" s="304"/>
      <c r="CX1119" s="304"/>
      <c r="DH1119" s="304"/>
    </row>
    <row r="1120" spans="3:112" s="37" customFormat="1" hidden="1" x14ac:dyDescent="0.25">
      <c r="C1120" s="35"/>
      <c r="L1120" s="848"/>
      <c r="V1120" s="304"/>
      <c r="AF1120" s="304"/>
      <c r="AP1120" s="304"/>
      <c r="AZ1120" s="304"/>
      <c r="BJ1120" s="304"/>
      <c r="BT1120" s="304"/>
      <c r="CD1120" s="304"/>
      <c r="CN1120" s="304"/>
      <c r="CX1120" s="304"/>
      <c r="DH1120" s="304"/>
    </row>
    <row r="1121" spans="3:112" s="37" customFormat="1" hidden="1" x14ac:dyDescent="0.25">
      <c r="C1121" s="35"/>
      <c r="L1121" s="848"/>
      <c r="V1121" s="304"/>
      <c r="AF1121" s="304"/>
      <c r="AP1121" s="304"/>
      <c r="AZ1121" s="304"/>
      <c r="BJ1121" s="304"/>
      <c r="BT1121" s="304"/>
      <c r="CD1121" s="304"/>
      <c r="CN1121" s="304"/>
      <c r="CX1121" s="304"/>
      <c r="DH1121" s="304"/>
    </row>
    <row r="1122" spans="3:112" s="37" customFormat="1" hidden="1" x14ac:dyDescent="0.25">
      <c r="C1122" s="35"/>
      <c r="L1122" s="848"/>
      <c r="V1122" s="304"/>
      <c r="AF1122" s="304"/>
      <c r="AP1122" s="304"/>
      <c r="AZ1122" s="304"/>
      <c r="BJ1122" s="304"/>
      <c r="BT1122" s="304"/>
      <c r="CD1122" s="304"/>
      <c r="CN1122" s="304"/>
      <c r="CX1122" s="304"/>
      <c r="DH1122" s="304"/>
    </row>
    <row r="1123" spans="3:112" s="37" customFormat="1" hidden="1" x14ac:dyDescent="0.25">
      <c r="C1123" s="35"/>
      <c r="L1123" s="848"/>
      <c r="V1123" s="304"/>
      <c r="AF1123" s="304"/>
      <c r="AP1123" s="304"/>
      <c r="AZ1123" s="304"/>
      <c r="BJ1123" s="304"/>
      <c r="BT1123" s="304"/>
      <c r="CD1123" s="304"/>
      <c r="CN1123" s="304"/>
      <c r="CX1123" s="304"/>
      <c r="DH1123" s="304"/>
    </row>
    <row r="1124" spans="3:112" s="37" customFormat="1" hidden="1" x14ac:dyDescent="0.25">
      <c r="C1124" s="35"/>
      <c r="L1124" s="848"/>
      <c r="V1124" s="304"/>
      <c r="AF1124" s="304"/>
      <c r="AP1124" s="304"/>
      <c r="AZ1124" s="304"/>
      <c r="BJ1124" s="304"/>
      <c r="BT1124" s="304"/>
      <c r="CD1124" s="304"/>
      <c r="CN1124" s="304"/>
      <c r="CX1124" s="304"/>
      <c r="DH1124" s="304"/>
    </row>
    <row r="1125" spans="3:112" s="37" customFormat="1" hidden="1" x14ac:dyDescent="0.25">
      <c r="C1125" s="35"/>
      <c r="L1125" s="848"/>
      <c r="V1125" s="304"/>
      <c r="AF1125" s="304"/>
      <c r="AP1125" s="304"/>
      <c r="AZ1125" s="304"/>
      <c r="BJ1125" s="304"/>
      <c r="BT1125" s="304"/>
      <c r="CD1125" s="304"/>
      <c r="CN1125" s="304"/>
      <c r="CX1125" s="304"/>
      <c r="DH1125" s="304"/>
    </row>
    <row r="1126" spans="3:112" s="37" customFormat="1" hidden="1" x14ac:dyDescent="0.25">
      <c r="C1126" s="35"/>
      <c r="L1126" s="848"/>
      <c r="V1126" s="304"/>
      <c r="AF1126" s="304"/>
      <c r="AP1126" s="304"/>
      <c r="AZ1126" s="304"/>
      <c r="BJ1126" s="304"/>
      <c r="BT1126" s="304"/>
      <c r="CD1126" s="304"/>
      <c r="CN1126" s="304"/>
      <c r="CX1126" s="304"/>
      <c r="DH1126" s="304"/>
    </row>
    <row r="1127" spans="3:112" s="37" customFormat="1" hidden="1" x14ac:dyDescent="0.25">
      <c r="C1127" s="35"/>
      <c r="L1127" s="848"/>
      <c r="V1127" s="304"/>
      <c r="AF1127" s="304"/>
      <c r="AP1127" s="304"/>
      <c r="AZ1127" s="304"/>
      <c r="BJ1127" s="304"/>
      <c r="BT1127" s="304"/>
      <c r="CD1127" s="304"/>
      <c r="CN1127" s="304"/>
      <c r="CX1127" s="304"/>
      <c r="DH1127" s="304"/>
    </row>
    <row r="1128" spans="3:112" s="37" customFormat="1" hidden="1" x14ac:dyDescent="0.25">
      <c r="C1128" s="35"/>
      <c r="L1128" s="848"/>
      <c r="V1128" s="304"/>
      <c r="AF1128" s="304"/>
      <c r="AP1128" s="304"/>
      <c r="AZ1128" s="304"/>
      <c r="BJ1128" s="304"/>
      <c r="BT1128" s="304"/>
      <c r="CD1128" s="304"/>
      <c r="CN1128" s="304"/>
      <c r="CX1128" s="304"/>
      <c r="DH1128" s="304"/>
    </row>
    <row r="1129" spans="3:112" s="37" customFormat="1" hidden="1" x14ac:dyDescent="0.25">
      <c r="C1129" s="35"/>
      <c r="L1129" s="848"/>
      <c r="V1129" s="304"/>
      <c r="AF1129" s="304"/>
      <c r="AP1129" s="304"/>
      <c r="AZ1129" s="304"/>
      <c r="BJ1129" s="304"/>
      <c r="BT1129" s="304"/>
      <c r="CD1129" s="304"/>
      <c r="CN1129" s="304"/>
      <c r="CX1129" s="304"/>
      <c r="DH1129" s="304"/>
    </row>
    <row r="1130" spans="3:112" s="37" customFormat="1" hidden="1" x14ac:dyDescent="0.25">
      <c r="C1130" s="35"/>
      <c r="L1130" s="848"/>
      <c r="V1130" s="304"/>
      <c r="AF1130" s="304"/>
      <c r="AP1130" s="304"/>
      <c r="AZ1130" s="304"/>
      <c r="BJ1130" s="304"/>
      <c r="BT1130" s="304"/>
      <c r="CD1130" s="304"/>
      <c r="CN1130" s="304"/>
      <c r="CX1130" s="304"/>
      <c r="DH1130" s="304"/>
    </row>
    <row r="1131" spans="3:112" s="37" customFormat="1" hidden="1" x14ac:dyDescent="0.25">
      <c r="C1131" s="35"/>
      <c r="L1131" s="848"/>
      <c r="V1131" s="304"/>
      <c r="AF1131" s="304"/>
      <c r="AP1131" s="304"/>
      <c r="AZ1131" s="304"/>
      <c r="BJ1131" s="304"/>
      <c r="BT1131" s="304"/>
      <c r="CD1131" s="304"/>
      <c r="CN1131" s="304"/>
      <c r="CX1131" s="304"/>
      <c r="DH1131" s="304"/>
    </row>
    <row r="1132" spans="3:112" s="37" customFormat="1" hidden="1" x14ac:dyDescent="0.25">
      <c r="C1132" s="35"/>
      <c r="L1132" s="848"/>
      <c r="V1132" s="304"/>
      <c r="AF1132" s="304"/>
      <c r="AP1132" s="304"/>
      <c r="AZ1132" s="304"/>
      <c r="BJ1132" s="304"/>
      <c r="BT1132" s="304"/>
      <c r="CD1132" s="304"/>
      <c r="CN1132" s="304"/>
      <c r="CX1132" s="304"/>
      <c r="DH1132" s="304"/>
    </row>
    <row r="1133" spans="3:112" s="37" customFormat="1" hidden="1" x14ac:dyDescent="0.25">
      <c r="C1133" s="35"/>
      <c r="L1133" s="848"/>
      <c r="V1133" s="304"/>
      <c r="AF1133" s="304"/>
      <c r="AP1133" s="304"/>
      <c r="AZ1133" s="304"/>
      <c r="BJ1133" s="304"/>
      <c r="BT1133" s="304"/>
      <c r="CD1133" s="304"/>
      <c r="CN1133" s="304"/>
      <c r="CX1133" s="304"/>
      <c r="DH1133" s="304"/>
    </row>
    <row r="1134" spans="3:112" s="37" customFormat="1" hidden="1" x14ac:dyDescent="0.25">
      <c r="C1134" s="35"/>
      <c r="L1134" s="848"/>
      <c r="V1134" s="304"/>
      <c r="AF1134" s="304"/>
      <c r="AP1134" s="304"/>
      <c r="AZ1134" s="304"/>
      <c r="BJ1134" s="304"/>
      <c r="BT1134" s="304"/>
      <c r="CD1134" s="304"/>
      <c r="CN1134" s="304"/>
      <c r="CX1134" s="304"/>
      <c r="DH1134" s="304"/>
    </row>
    <row r="1135" spans="3:112" s="37" customFormat="1" hidden="1" x14ac:dyDescent="0.25">
      <c r="C1135" s="35"/>
      <c r="L1135" s="848"/>
      <c r="V1135" s="304"/>
      <c r="AF1135" s="304"/>
      <c r="AP1135" s="304"/>
      <c r="AZ1135" s="304"/>
      <c r="BJ1135" s="304"/>
      <c r="BT1135" s="304"/>
      <c r="CD1135" s="304"/>
      <c r="CN1135" s="304"/>
      <c r="CX1135" s="304"/>
      <c r="DH1135" s="304"/>
    </row>
    <row r="1136" spans="3:112" s="37" customFormat="1" hidden="1" x14ac:dyDescent="0.25">
      <c r="C1136" s="35"/>
      <c r="L1136" s="848"/>
      <c r="V1136" s="304"/>
      <c r="AF1136" s="304"/>
      <c r="AP1136" s="304"/>
      <c r="AZ1136" s="304"/>
      <c r="BJ1136" s="304"/>
      <c r="BT1136" s="304"/>
      <c r="CD1136" s="304"/>
      <c r="CN1136" s="304"/>
      <c r="CX1136" s="304"/>
      <c r="DH1136" s="304"/>
    </row>
    <row r="1137" spans="3:112" s="37" customFormat="1" hidden="1" x14ac:dyDescent="0.25">
      <c r="C1137" s="35"/>
      <c r="L1137" s="848"/>
      <c r="V1137" s="304"/>
      <c r="AF1137" s="304"/>
      <c r="AP1137" s="304"/>
      <c r="AZ1137" s="304"/>
      <c r="BJ1137" s="304"/>
      <c r="BT1137" s="304"/>
      <c r="CD1137" s="304"/>
      <c r="CN1137" s="304"/>
      <c r="CX1137" s="304"/>
      <c r="DH1137" s="304"/>
    </row>
    <row r="1138" spans="3:112" s="37" customFormat="1" hidden="1" x14ac:dyDescent="0.25">
      <c r="C1138" s="35"/>
      <c r="L1138" s="848"/>
      <c r="V1138" s="304"/>
      <c r="AF1138" s="304"/>
      <c r="AP1138" s="304"/>
      <c r="AZ1138" s="304"/>
      <c r="BJ1138" s="304"/>
      <c r="BT1138" s="304"/>
      <c r="CD1138" s="304"/>
      <c r="CN1138" s="304"/>
      <c r="CX1138" s="304"/>
      <c r="DH1138" s="304"/>
    </row>
    <row r="1139" spans="3:112" s="37" customFormat="1" hidden="1" x14ac:dyDescent="0.25">
      <c r="C1139" s="35"/>
      <c r="L1139" s="848"/>
      <c r="V1139" s="304"/>
      <c r="AF1139" s="304"/>
      <c r="AP1139" s="304"/>
      <c r="AZ1139" s="304"/>
      <c r="BJ1139" s="304"/>
      <c r="BT1139" s="304"/>
      <c r="CD1139" s="304"/>
      <c r="CN1139" s="304"/>
      <c r="CX1139" s="304"/>
      <c r="DH1139" s="304"/>
    </row>
    <row r="1140" spans="3:112" s="37" customFormat="1" hidden="1" x14ac:dyDescent="0.25">
      <c r="C1140" s="35"/>
      <c r="L1140" s="848"/>
      <c r="V1140" s="304"/>
      <c r="AF1140" s="304"/>
      <c r="AP1140" s="304"/>
      <c r="AZ1140" s="304"/>
      <c r="BJ1140" s="304"/>
      <c r="BT1140" s="304"/>
      <c r="CD1140" s="304"/>
      <c r="CN1140" s="304"/>
      <c r="CX1140" s="304"/>
      <c r="DH1140" s="304"/>
    </row>
    <row r="1141" spans="3:112" s="37" customFormat="1" hidden="1" x14ac:dyDescent="0.25">
      <c r="C1141" s="35"/>
      <c r="L1141" s="848"/>
      <c r="V1141" s="304"/>
      <c r="AF1141" s="304"/>
      <c r="AP1141" s="304"/>
      <c r="AZ1141" s="304"/>
      <c r="BJ1141" s="304"/>
      <c r="BT1141" s="304"/>
      <c r="CD1141" s="304"/>
      <c r="CN1141" s="304"/>
      <c r="CX1141" s="304"/>
      <c r="DH1141" s="304"/>
    </row>
    <row r="1142" spans="3:112" s="37" customFormat="1" hidden="1" x14ac:dyDescent="0.25">
      <c r="C1142" s="35"/>
      <c r="L1142" s="848"/>
      <c r="V1142" s="304"/>
      <c r="AF1142" s="304"/>
      <c r="AP1142" s="304"/>
      <c r="AZ1142" s="304"/>
      <c r="BJ1142" s="304"/>
      <c r="BT1142" s="304"/>
      <c r="CD1142" s="304"/>
      <c r="CN1142" s="304"/>
      <c r="CX1142" s="304"/>
      <c r="DH1142" s="304"/>
    </row>
    <row r="1143" spans="3:112" s="37" customFormat="1" hidden="1" x14ac:dyDescent="0.25">
      <c r="C1143" s="35"/>
      <c r="L1143" s="848"/>
      <c r="V1143" s="304"/>
      <c r="AF1143" s="304"/>
      <c r="AP1143" s="304"/>
      <c r="AZ1143" s="304"/>
      <c r="BJ1143" s="304"/>
      <c r="BT1143" s="304"/>
      <c r="CD1143" s="304"/>
      <c r="CN1143" s="304"/>
      <c r="CX1143" s="304"/>
      <c r="DH1143" s="304"/>
    </row>
    <row r="1144" spans="3:112" s="37" customFormat="1" hidden="1" x14ac:dyDescent="0.25">
      <c r="C1144" s="35"/>
      <c r="L1144" s="848"/>
      <c r="V1144" s="304"/>
      <c r="AF1144" s="304"/>
      <c r="AP1144" s="304"/>
      <c r="AZ1144" s="304"/>
      <c r="BJ1144" s="304"/>
      <c r="BT1144" s="304"/>
      <c r="CD1144" s="304"/>
      <c r="CN1144" s="304"/>
      <c r="CX1144" s="304"/>
      <c r="DH1144" s="304"/>
    </row>
    <row r="1145" spans="3:112" s="37" customFormat="1" hidden="1" x14ac:dyDescent="0.25">
      <c r="C1145" s="35"/>
      <c r="L1145" s="848"/>
      <c r="V1145" s="304"/>
      <c r="AF1145" s="304"/>
      <c r="AP1145" s="304"/>
      <c r="AZ1145" s="304"/>
      <c r="BJ1145" s="304"/>
      <c r="BT1145" s="304"/>
      <c r="CD1145" s="304"/>
      <c r="CN1145" s="304"/>
      <c r="CX1145" s="304"/>
      <c r="DH1145" s="304"/>
    </row>
    <row r="1146" spans="3:112" s="37" customFormat="1" hidden="1" x14ac:dyDescent="0.25">
      <c r="C1146" s="35"/>
      <c r="L1146" s="848"/>
      <c r="V1146" s="304"/>
      <c r="AF1146" s="304"/>
      <c r="AP1146" s="304"/>
      <c r="AZ1146" s="304"/>
      <c r="BJ1146" s="304"/>
      <c r="BT1146" s="304"/>
      <c r="CD1146" s="304"/>
      <c r="CN1146" s="304"/>
      <c r="CX1146" s="304"/>
      <c r="DH1146" s="304"/>
    </row>
    <row r="1147" spans="3:112" s="37" customFormat="1" hidden="1" x14ac:dyDescent="0.25">
      <c r="C1147" s="35"/>
      <c r="L1147" s="848"/>
      <c r="V1147" s="304"/>
      <c r="AF1147" s="304"/>
      <c r="AP1147" s="304"/>
      <c r="AZ1147" s="304"/>
      <c r="BJ1147" s="304"/>
      <c r="BT1147" s="304"/>
      <c r="CD1147" s="304"/>
      <c r="CN1147" s="304"/>
      <c r="CX1147" s="304"/>
      <c r="DH1147" s="304"/>
    </row>
    <row r="1148" spans="3:112" s="37" customFormat="1" hidden="1" x14ac:dyDescent="0.25">
      <c r="C1148" s="35"/>
      <c r="L1148" s="848"/>
      <c r="V1148" s="304"/>
      <c r="AF1148" s="304"/>
      <c r="AP1148" s="304"/>
      <c r="AZ1148" s="304"/>
      <c r="BJ1148" s="304"/>
      <c r="BT1148" s="304"/>
      <c r="CD1148" s="304"/>
      <c r="CN1148" s="304"/>
      <c r="CX1148" s="304"/>
      <c r="DH1148" s="304"/>
    </row>
    <row r="1149" spans="3:112" s="37" customFormat="1" hidden="1" x14ac:dyDescent="0.25">
      <c r="C1149" s="35"/>
      <c r="L1149" s="848"/>
      <c r="V1149" s="304"/>
      <c r="AF1149" s="304"/>
      <c r="AP1149" s="304"/>
      <c r="AZ1149" s="304"/>
      <c r="BJ1149" s="304"/>
      <c r="BT1149" s="304"/>
      <c r="CD1149" s="304"/>
      <c r="CN1149" s="304"/>
      <c r="CX1149" s="304"/>
      <c r="DH1149" s="304"/>
    </row>
    <row r="1150" spans="3:112" s="37" customFormat="1" hidden="1" x14ac:dyDescent="0.25">
      <c r="C1150" s="35"/>
      <c r="L1150" s="848"/>
      <c r="V1150" s="304"/>
      <c r="AF1150" s="304"/>
      <c r="AP1150" s="304"/>
      <c r="AZ1150" s="304"/>
      <c r="BJ1150" s="304"/>
      <c r="BT1150" s="304"/>
      <c r="CD1150" s="304"/>
      <c r="CN1150" s="304"/>
      <c r="CX1150" s="304"/>
      <c r="DH1150" s="304"/>
    </row>
    <row r="1151" spans="3:112" s="37" customFormat="1" hidden="1" x14ac:dyDescent="0.25">
      <c r="C1151" s="35"/>
      <c r="L1151" s="848"/>
      <c r="V1151" s="304"/>
      <c r="AF1151" s="304"/>
      <c r="AP1151" s="304"/>
      <c r="AZ1151" s="304"/>
      <c r="BJ1151" s="304"/>
      <c r="BT1151" s="304"/>
      <c r="CD1151" s="304"/>
      <c r="CN1151" s="304"/>
      <c r="CX1151" s="304"/>
      <c r="DH1151" s="304"/>
    </row>
    <row r="1152" spans="3:112" s="37" customFormat="1" hidden="1" x14ac:dyDescent="0.25">
      <c r="C1152" s="35"/>
      <c r="L1152" s="848"/>
      <c r="V1152" s="304"/>
      <c r="AF1152" s="304"/>
      <c r="AP1152" s="304"/>
      <c r="AZ1152" s="304"/>
      <c r="BJ1152" s="304"/>
      <c r="BT1152" s="304"/>
      <c r="CD1152" s="304"/>
      <c r="CN1152" s="304"/>
      <c r="CX1152" s="304"/>
      <c r="DH1152" s="304"/>
    </row>
    <row r="1153" spans="3:112" s="37" customFormat="1" hidden="1" x14ac:dyDescent="0.25">
      <c r="C1153" s="35"/>
      <c r="L1153" s="848"/>
      <c r="V1153" s="304"/>
      <c r="AF1153" s="304"/>
      <c r="AP1153" s="304"/>
      <c r="AZ1153" s="304"/>
      <c r="BJ1153" s="304"/>
      <c r="BT1153" s="304"/>
      <c r="CD1153" s="304"/>
      <c r="CN1153" s="304"/>
      <c r="CX1153" s="304"/>
      <c r="DH1153" s="304"/>
    </row>
    <row r="1154" spans="3:112" s="37" customFormat="1" hidden="1" x14ac:dyDescent="0.25">
      <c r="C1154" s="35"/>
      <c r="L1154" s="848"/>
      <c r="V1154" s="304"/>
      <c r="AF1154" s="304"/>
      <c r="AP1154" s="304"/>
      <c r="AZ1154" s="304"/>
      <c r="BJ1154" s="304"/>
      <c r="BT1154" s="304"/>
      <c r="CD1154" s="304"/>
      <c r="CN1154" s="304"/>
      <c r="CX1154" s="304"/>
      <c r="DH1154" s="304"/>
    </row>
    <row r="1155" spans="3:112" s="37" customFormat="1" hidden="1" x14ac:dyDescent="0.25">
      <c r="C1155" s="35"/>
      <c r="L1155" s="848"/>
      <c r="V1155" s="304"/>
      <c r="AF1155" s="304"/>
      <c r="AP1155" s="304"/>
      <c r="AZ1155" s="304"/>
      <c r="BJ1155" s="304"/>
      <c r="BT1155" s="304"/>
      <c r="CD1155" s="304"/>
      <c r="CN1155" s="304"/>
      <c r="CX1155" s="304"/>
      <c r="DH1155" s="304"/>
    </row>
    <row r="1156" spans="3:112" s="37" customFormat="1" hidden="1" x14ac:dyDescent="0.25">
      <c r="C1156" s="35"/>
      <c r="L1156" s="848"/>
      <c r="V1156" s="304"/>
      <c r="AF1156" s="304"/>
      <c r="AP1156" s="304"/>
      <c r="AZ1156" s="304"/>
      <c r="BJ1156" s="304"/>
      <c r="BT1156" s="304"/>
      <c r="CD1156" s="304"/>
      <c r="CN1156" s="304"/>
      <c r="CX1156" s="304"/>
      <c r="DH1156" s="304"/>
    </row>
    <row r="1157" spans="3:112" s="37" customFormat="1" hidden="1" x14ac:dyDescent="0.25">
      <c r="C1157" s="35"/>
      <c r="L1157" s="848"/>
      <c r="V1157" s="304"/>
      <c r="AF1157" s="304"/>
      <c r="AP1157" s="304"/>
      <c r="AZ1157" s="304"/>
      <c r="BJ1157" s="304"/>
      <c r="BT1157" s="304"/>
      <c r="CD1157" s="304"/>
      <c r="CN1157" s="304"/>
      <c r="CX1157" s="304"/>
      <c r="DH1157" s="304"/>
    </row>
    <row r="1158" spans="3:112" s="37" customFormat="1" hidden="1" x14ac:dyDescent="0.25">
      <c r="C1158" s="35"/>
      <c r="L1158" s="848"/>
      <c r="V1158" s="304"/>
      <c r="AF1158" s="304"/>
      <c r="AP1158" s="304"/>
      <c r="AZ1158" s="304"/>
      <c r="BJ1158" s="304"/>
      <c r="BT1158" s="304"/>
      <c r="CD1158" s="304"/>
      <c r="CN1158" s="304"/>
      <c r="CX1158" s="304"/>
      <c r="DH1158" s="304"/>
    </row>
    <row r="1159" spans="3:112" s="37" customFormat="1" hidden="1" x14ac:dyDescent="0.25">
      <c r="C1159" s="35"/>
      <c r="L1159" s="848"/>
      <c r="V1159" s="304"/>
      <c r="AF1159" s="304"/>
      <c r="AP1159" s="304"/>
      <c r="AZ1159" s="304"/>
      <c r="BJ1159" s="304"/>
      <c r="BT1159" s="304"/>
      <c r="CD1159" s="304"/>
      <c r="CN1159" s="304"/>
      <c r="CX1159" s="304"/>
      <c r="DH1159" s="304"/>
    </row>
    <row r="1160" spans="3:112" s="37" customFormat="1" hidden="1" x14ac:dyDescent="0.25">
      <c r="C1160" s="35"/>
      <c r="L1160" s="848"/>
      <c r="V1160" s="304"/>
      <c r="AF1160" s="304"/>
      <c r="AP1160" s="304"/>
      <c r="AZ1160" s="304"/>
      <c r="BJ1160" s="304"/>
      <c r="BT1160" s="304"/>
      <c r="CD1160" s="304"/>
      <c r="CN1160" s="304"/>
      <c r="CX1160" s="304"/>
      <c r="DH1160" s="304"/>
    </row>
    <row r="1161" spans="3:112" s="37" customFormat="1" hidden="1" x14ac:dyDescent="0.25">
      <c r="C1161" s="35"/>
      <c r="L1161" s="848"/>
      <c r="V1161" s="304"/>
      <c r="AF1161" s="304"/>
      <c r="AP1161" s="304"/>
      <c r="AZ1161" s="304"/>
      <c r="BJ1161" s="304"/>
      <c r="BT1161" s="304"/>
      <c r="CD1161" s="304"/>
      <c r="CN1161" s="304"/>
      <c r="CX1161" s="304"/>
      <c r="DH1161" s="304"/>
    </row>
    <row r="1162" spans="3:112" s="37" customFormat="1" hidden="1" x14ac:dyDescent="0.25">
      <c r="C1162" s="35"/>
      <c r="L1162" s="848"/>
      <c r="V1162" s="304"/>
      <c r="AF1162" s="304"/>
      <c r="AP1162" s="304"/>
      <c r="AZ1162" s="304"/>
      <c r="BJ1162" s="304"/>
      <c r="BT1162" s="304"/>
      <c r="CD1162" s="304"/>
      <c r="CN1162" s="304"/>
      <c r="CX1162" s="304"/>
      <c r="DH1162" s="304"/>
    </row>
    <row r="1163" spans="3:112" s="37" customFormat="1" hidden="1" x14ac:dyDescent="0.25">
      <c r="C1163" s="35"/>
      <c r="L1163" s="848"/>
      <c r="V1163" s="304"/>
      <c r="AF1163" s="304"/>
      <c r="AP1163" s="304"/>
      <c r="AZ1163" s="304"/>
      <c r="BJ1163" s="304"/>
      <c r="BT1163" s="304"/>
      <c r="CD1163" s="304"/>
      <c r="CN1163" s="304"/>
      <c r="CX1163" s="304"/>
      <c r="DH1163" s="304"/>
    </row>
    <row r="1164" spans="3:112" s="37" customFormat="1" hidden="1" x14ac:dyDescent="0.25">
      <c r="C1164" s="35"/>
      <c r="L1164" s="848"/>
      <c r="V1164" s="304"/>
      <c r="AF1164" s="304"/>
      <c r="AP1164" s="304"/>
      <c r="AZ1164" s="304"/>
      <c r="BJ1164" s="304"/>
      <c r="BT1164" s="304"/>
      <c r="CD1164" s="304"/>
      <c r="CN1164" s="304"/>
      <c r="CX1164" s="304"/>
      <c r="DH1164" s="304"/>
    </row>
    <row r="1165" spans="3:112" s="37" customFormat="1" hidden="1" x14ac:dyDescent="0.25">
      <c r="C1165" s="35"/>
      <c r="L1165" s="848"/>
      <c r="V1165" s="304"/>
      <c r="AF1165" s="304"/>
      <c r="AP1165" s="304"/>
      <c r="AZ1165" s="304"/>
      <c r="BJ1165" s="304"/>
      <c r="BT1165" s="304"/>
      <c r="CD1165" s="304"/>
      <c r="CN1165" s="304"/>
      <c r="CX1165" s="304"/>
      <c r="DH1165" s="304"/>
    </row>
    <row r="1166" spans="3:112" s="37" customFormat="1" hidden="1" x14ac:dyDescent="0.25">
      <c r="C1166" s="35"/>
      <c r="L1166" s="848"/>
      <c r="V1166" s="304"/>
      <c r="AF1166" s="304"/>
      <c r="AP1166" s="304"/>
      <c r="AZ1166" s="304"/>
      <c r="BJ1166" s="304"/>
      <c r="BT1166" s="304"/>
      <c r="CD1166" s="304"/>
      <c r="CN1166" s="304"/>
      <c r="CX1166" s="304"/>
      <c r="DH1166" s="304"/>
    </row>
    <row r="1167" spans="3:112" s="37" customFormat="1" hidden="1" x14ac:dyDescent="0.25">
      <c r="C1167" s="35"/>
      <c r="L1167" s="848"/>
      <c r="V1167" s="304"/>
      <c r="AF1167" s="304"/>
      <c r="AP1167" s="304"/>
      <c r="AZ1167" s="304"/>
      <c r="BJ1167" s="304"/>
      <c r="BT1167" s="304"/>
      <c r="CD1167" s="304"/>
      <c r="CN1167" s="304"/>
      <c r="CX1167" s="304"/>
      <c r="DH1167" s="304"/>
    </row>
    <row r="1168" spans="3:112" s="37" customFormat="1" hidden="1" x14ac:dyDescent="0.25">
      <c r="C1168" s="35"/>
      <c r="L1168" s="848"/>
      <c r="V1168" s="304"/>
      <c r="AF1168" s="304"/>
      <c r="AP1168" s="304"/>
      <c r="AZ1168" s="304"/>
      <c r="BJ1168" s="304"/>
      <c r="BT1168" s="304"/>
      <c r="CD1168" s="304"/>
      <c r="CN1168" s="304"/>
      <c r="CX1168" s="304"/>
      <c r="DH1168" s="304"/>
    </row>
    <row r="1169" spans="3:112" s="37" customFormat="1" hidden="1" x14ac:dyDescent="0.25">
      <c r="C1169" s="35"/>
      <c r="L1169" s="848"/>
      <c r="V1169" s="304"/>
      <c r="AF1169" s="304"/>
      <c r="AP1169" s="304"/>
      <c r="AZ1169" s="304"/>
      <c r="BJ1169" s="304"/>
      <c r="BT1169" s="304"/>
      <c r="CD1169" s="304"/>
      <c r="CN1169" s="304"/>
      <c r="CX1169" s="304"/>
      <c r="DH1169" s="304"/>
    </row>
    <row r="1170" spans="3:112" s="37" customFormat="1" hidden="1" x14ac:dyDescent="0.25">
      <c r="C1170" s="35"/>
      <c r="L1170" s="848"/>
      <c r="V1170" s="304"/>
      <c r="AF1170" s="304"/>
      <c r="AP1170" s="304"/>
      <c r="AZ1170" s="304"/>
      <c r="BJ1170" s="304"/>
      <c r="BT1170" s="304"/>
      <c r="CD1170" s="304"/>
      <c r="CN1170" s="304"/>
      <c r="CX1170" s="304"/>
      <c r="DH1170" s="304"/>
    </row>
    <row r="1171" spans="3:112" s="37" customFormat="1" hidden="1" x14ac:dyDescent="0.25">
      <c r="C1171" s="35"/>
      <c r="L1171" s="848"/>
      <c r="V1171" s="304"/>
      <c r="AF1171" s="304"/>
      <c r="AP1171" s="304"/>
      <c r="AZ1171" s="304"/>
      <c r="BJ1171" s="304"/>
      <c r="BT1171" s="304"/>
      <c r="CD1171" s="304"/>
      <c r="CN1171" s="304"/>
      <c r="CX1171" s="304"/>
      <c r="DH1171" s="304"/>
    </row>
    <row r="1172" spans="3:112" s="37" customFormat="1" hidden="1" x14ac:dyDescent="0.25">
      <c r="C1172" s="35"/>
      <c r="L1172" s="848"/>
      <c r="V1172" s="304"/>
      <c r="AF1172" s="304"/>
      <c r="AP1172" s="304"/>
      <c r="AZ1172" s="304"/>
      <c r="BJ1172" s="304"/>
      <c r="BT1172" s="304"/>
      <c r="CD1172" s="304"/>
      <c r="CN1172" s="304"/>
      <c r="CX1172" s="304"/>
      <c r="DH1172" s="304"/>
    </row>
    <row r="1173" spans="3:112" s="37" customFormat="1" hidden="1" x14ac:dyDescent="0.25">
      <c r="C1173" s="35"/>
      <c r="L1173" s="848"/>
      <c r="V1173" s="304"/>
      <c r="AF1173" s="304"/>
      <c r="AP1173" s="304"/>
      <c r="AZ1173" s="304"/>
      <c r="BJ1173" s="304"/>
      <c r="BT1173" s="304"/>
      <c r="CD1173" s="304"/>
      <c r="CN1173" s="304"/>
      <c r="CX1173" s="304"/>
      <c r="DH1173" s="304"/>
    </row>
    <row r="1174" spans="3:112" s="37" customFormat="1" hidden="1" x14ac:dyDescent="0.25">
      <c r="C1174" s="35"/>
      <c r="L1174" s="848"/>
      <c r="V1174" s="304"/>
      <c r="AF1174" s="304"/>
      <c r="AP1174" s="304"/>
      <c r="AZ1174" s="304"/>
      <c r="BJ1174" s="304"/>
      <c r="BT1174" s="304"/>
      <c r="CD1174" s="304"/>
      <c r="CN1174" s="304"/>
      <c r="CX1174" s="304"/>
      <c r="DH1174" s="304"/>
    </row>
    <row r="1175" spans="3:112" s="37" customFormat="1" hidden="1" x14ac:dyDescent="0.25">
      <c r="C1175" s="35"/>
      <c r="L1175" s="848"/>
      <c r="V1175" s="304"/>
      <c r="AF1175" s="304"/>
      <c r="AP1175" s="304"/>
      <c r="AZ1175" s="304"/>
      <c r="BJ1175" s="304"/>
      <c r="BT1175" s="304"/>
      <c r="CD1175" s="304"/>
      <c r="CN1175" s="304"/>
      <c r="CX1175" s="304"/>
      <c r="DH1175" s="304"/>
    </row>
    <row r="1176" spans="3:112" s="37" customFormat="1" hidden="1" x14ac:dyDescent="0.25">
      <c r="C1176" s="35"/>
      <c r="L1176" s="848"/>
      <c r="V1176" s="304"/>
      <c r="AF1176" s="304"/>
      <c r="AP1176" s="304"/>
      <c r="AZ1176" s="304"/>
      <c r="BJ1176" s="304"/>
      <c r="BT1176" s="304"/>
      <c r="CD1176" s="304"/>
      <c r="CN1176" s="304"/>
      <c r="CX1176" s="304"/>
      <c r="DH1176" s="304"/>
    </row>
    <row r="1177" spans="3:112" s="37" customFormat="1" hidden="1" x14ac:dyDescent="0.25">
      <c r="C1177" s="35"/>
      <c r="L1177" s="848"/>
      <c r="V1177" s="304"/>
      <c r="AF1177" s="304"/>
      <c r="AP1177" s="304"/>
      <c r="AZ1177" s="304"/>
      <c r="BJ1177" s="304"/>
      <c r="BT1177" s="304"/>
      <c r="CD1177" s="304"/>
      <c r="CN1177" s="304"/>
      <c r="CX1177" s="304"/>
      <c r="DH1177" s="304"/>
    </row>
    <row r="1178" spans="3:112" s="37" customFormat="1" hidden="1" x14ac:dyDescent="0.25">
      <c r="C1178" s="35"/>
      <c r="L1178" s="848"/>
      <c r="V1178" s="304"/>
      <c r="AF1178" s="304"/>
      <c r="AP1178" s="304"/>
      <c r="AZ1178" s="304"/>
      <c r="BJ1178" s="304"/>
      <c r="BT1178" s="304"/>
      <c r="CD1178" s="304"/>
      <c r="CN1178" s="304"/>
      <c r="CX1178" s="304"/>
      <c r="DH1178" s="304"/>
    </row>
    <row r="1179" spans="3:112" s="37" customFormat="1" hidden="1" x14ac:dyDescent="0.25">
      <c r="C1179" s="35"/>
      <c r="L1179" s="848"/>
      <c r="V1179" s="304"/>
      <c r="AF1179" s="304"/>
      <c r="AP1179" s="304"/>
      <c r="AZ1179" s="304"/>
      <c r="BJ1179" s="304"/>
      <c r="BT1179" s="304"/>
      <c r="CD1179" s="304"/>
      <c r="CN1179" s="304"/>
      <c r="CX1179" s="304"/>
      <c r="DH1179" s="304"/>
    </row>
    <row r="1180" spans="3:112" s="37" customFormat="1" hidden="1" x14ac:dyDescent="0.25">
      <c r="C1180" s="35"/>
      <c r="L1180" s="848"/>
      <c r="V1180" s="304"/>
      <c r="AF1180" s="304"/>
      <c r="AP1180" s="304"/>
      <c r="AZ1180" s="304"/>
      <c r="BJ1180" s="304"/>
      <c r="BT1180" s="304"/>
      <c r="CD1180" s="304"/>
      <c r="CN1180" s="304"/>
      <c r="CX1180" s="304"/>
      <c r="DH1180" s="304"/>
    </row>
    <row r="1181" spans="3:112" s="37" customFormat="1" hidden="1" x14ac:dyDescent="0.25">
      <c r="C1181" s="35"/>
      <c r="L1181" s="848"/>
      <c r="V1181" s="304"/>
      <c r="AF1181" s="304"/>
      <c r="AP1181" s="304"/>
      <c r="AZ1181" s="304"/>
      <c r="BJ1181" s="304"/>
      <c r="BT1181" s="304"/>
      <c r="CD1181" s="304"/>
      <c r="CN1181" s="304"/>
      <c r="CX1181" s="304"/>
      <c r="DH1181" s="304"/>
    </row>
    <row r="1182" spans="3:112" s="37" customFormat="1" hidden="1" x14ac:dyDescent="0.25">
      <c r="C1182" s="35"/>
      <c r="L1182" s="848"/>
      <c r="V1182" s="304"/>
      <c r="AF1182" s="304"/>
      <c r="AP1182" s="304"/>
      <c r="AZ1182" s="304"/>
      <c r="BJ1182" s="304"/>
      <c r="BT1182" s="304"/>
      <c r="CD1182" s="304"/>
      <c r="CN1182" s="304"/>
      <c r="CX1182" s="304"/>
      <c r="DH1182" s="304"/>
    </row>
    <row r="1183" spans="3:112" s="37" customFormat="1" hidden="1" x14ac:dyDescent="0.25">
      <c r="C1183" s="35"/>
      <c r="L1183" s="848"/>
      <c r="V1183" s="304"/>
      <c r="AF1183" s="304"/>
      <c r="AP1183" s="304"/>
      <c r="AZ1183" s="304"/>
      <c r="BJ1183" s="304"/>
      <c r="BT1183" s="304"/>
      <c r="CD1183" s="304"/>
      <c r="CN1183" s="304"/>
      <c r="CX1183" s="304"/>
      <c r="DH1183" s="304"/>
    </row>
    <row r="1184" spans="3:112" s="37" customFormat="1" hidden="1" x14ac:dyDescent="0.25">
      <c r="C1184" s="35"/>
      <c r="L1184" s="848"/>
      <c r="V1184" s="304"/>
      <c r="AF1184" s="304"/>
      <c r="AP1184" s="304"/>
      <c r="AZ1184" s="304"/>
      <c r="BJ1184" s="304"/>
      <c r="BT1184" s="304"/>
      <c r="CD1184" s="304"/>
      <c r="CN1184" s="304"/>
      <c r="CX1184" s="304"/>
      <c r="DH1184" s="304"/>
    </row>
    <row r="1185" spans="3:112" s="37" customFormat="1" hidden="1" x14ac:dyDescent="0.25">
      <c r="C1185" s="35"/>
      <c r="L1185" s="848"/>
      <c r="V1185" s="304"/>
      <c r="AF1185" s="304"/>
      <c r="AP1185" s="304"/>
      <c r="AZ1185" s="304"/>
      <c r="BJ1185" s="304"/>
      <c r="BT1185" s="304"/>
      <c r="CD1185" s="304"/>
      <c r="CN1185" s="304"/>
      <c r="CX1185" s="304"/>
      <c r="DH1185" s="304"/>
    </row>
    <row r="1186" spans="3:112" s="37" customFormat="1" hidden="1" x14ac:dyDescent="0.25">
      <c r="C1186" s="35"/>
      <c r="L1186" s="848"/>
      <c r="V1186" s="304"/>
      <c r="AF1186" s="304"/>
      <c r="AP1186" s="304"/>
      <c r="AZ1186" s="304"/>
      <c r="BJ1186" s="304"/>
      <c r="BT1186" s="304"/>
      <c r="CD1186" s="304"/>
      <c r="CN1186" s="304"/>
      <c r="CX1186" s="304"/>
      <c r="DH1186" s="304"/>
    </row>
    <row r="1187" spans="3:112" s="37" customFormat="1" hidden="1" x14ac:dyDescent="0.25">
      <c r="C1187" s="35"/>
      <c r="L1187" s="848"/>
      <c r="V1187" s="304"/>
      <c r="AF1187" s="304"/>
      <c r="AP1187" s="304"/>
      <c r="AZ1187" s="304"/>
      <c r="BJ1187" s="304"/>
      <c r="BT1187" s="304"/>
      <c r="CD1187" s="304"/>
      <c r="CN1187" s="304"/>
      <c r="CX1187" s="304"/>
      <c r="DH1187" s="304"/>
    </row>
    <row r="1188" spans="3:112" s="37" customFormat="1" hidden="1" x14ac:dyDescent="0.25">
      <c r="C1188" s="35"/>
      <c r="L1188" s="848"/>
      <c r="V1188" s="304"/>
      <c r="AF1188" s="304"/>
      <c r="AP1188" s="304"/>
      <c r="AZ1188" s="304"/>
      <c r="BJ1188" s="304"/>
      <c r="BT1188" s="304"/>
      <c r="CD1188" s="304"/>
      <c r="CN1188" s="304"/>
      <c r="CX1188" s="304"/>
      <c r="DH1188" s="304"/>
    </row>
    <row r="1189" spans="3:112" s="37" customFormat="1" hidden="1" x14ac:dyDescent="0.25">
      <c r="C1189" s="35"/>
      <c r="L1189" s="848"/>
      <c r="V1189" s="304"/>
      <c r="AF1189" s="304"/>
      <c r="AP1189" s="304"/>
      <c r="AZ1189" s="304"/>
      <c r="BJ1189" s="304"/>
      <c r="BT1189" s="304"/>
      <c r="CD1189" s="304"/>
      <c r="CN1189" s="304"/>
      <c r="CX1189" s="304"/>
      <c r="DH1189" s="304"/>
    </row>
    <row r="1190" spans="3:112" s="37" customFormat="1" hidden="1" x14ac:dyDescent="0.25">
      <c r="C1190" s="35"/>
      <c r="L1190" s="848"/>
      <c r="V1190" s="304"/>
      <c r="AF1190" s="304"/>
      <c r="AP1190" s="304"/>
      <c r="AZ1190" s="304"/>
      <c r="BJ1190" s="304"/>
      <c r="BT1190" s="304"/>
      <c r="CD1190" s="304"/>
      <c r="CN1190" s="304"/>
      <c r="CX1190" s="304"/>
      <c r="DH1190" s="304"/>
    </row>
    <row r="1191" spans="3:112" s="37" customFormat="1" hidden="1" x14ac:dyDescent="0.25">
      <c r="C1191" s="35"/>
      <c r="L1191" s="848"/>
      <c r="V1191" s="304"/>
      <c r="AF1191" s="304"/>
      <c r="AP1191" s="304"/>
      <c r="AZ1191" s="304"/>
      <c r="BJ1191" s="304"/>
      <c r="BT1191" s="304"/>
      <c r="CD1191" s="304"/>
      <c r="CN1191" s="304"/>
      <c r="CX1191" s="304"/>
      <c r="DH1191" s="304"/>
    </row>
    <row r="1192" spans="3:112" s="37" customFormat="1" hidden="1" x14ac:dyDescent="0.25">
      <c r="C1192" s="35"/>
      <c r="L1192" s="848"/>
      <c r="V1192" s="304"/>
      <c r="AF1192" s="304"/>
      <c r="AP1192" s="304"/>
      <c r="AZ1192" s="304"/>
      <c r="BJ1192" s="304"/>
      <c r="BT1192" s="304"/>
      <c r="CD1192" s="304"/>
      <c r="CN1192" s="304"/>
      <c r="CX1192" s="304"/>
      <c r="DH1192" s="304"/>
    </row>
    <row r="1193" spans="3:112" s="37" customFormat="1" hidden="1" x14ac:dyDescent="0.25">
      <c r="C1193" s="35"/>
      <c r="L1193" s="848"/>
      <c r="V1193" s="304"/>
      <c r="AF1193" s="304"/>
      <c r="AP1193" s="304"/>
      <c r="AZ1193" s="304"/>
      <c r="BJ1193" s="304"/>
      <c r="BT1193" s="304"/>
      <c r="CD1193" s="304"/>
      <c r="CN1193" s="304"/>
      <c r="CX1193" s="304"/>
      <c r="DH1193" s="304"/>
    </row>
    <row r="1194" spans="3:112" s="37" customFormat="1" hidden="1" x14ac:dyDescent="0.25">
      <c r="C1194" s="35"/>
      <c r="L1194" s="848"/>
      <c r="V1194" s="304"/>
      <c r="AF1194" s="304"/>
      <c r="AP1194" s="304"/>
      <c r="AZ1194" s="304"/>
      <c r="BJ1194" s="304"/>
      <c r="BT1194" s="304"/>
      <c r="CD1194" s="304"/>
      <c r="CN1194" s="304"/>
      <c r="CX1194" s="304"/>
      <c r="DH1194" s="304"/>
    </row>
    <row r="1195" spans="3:112" s="37" customFormat="1" hidden="1" x14ac:dyDescent="0.25">
      <c r="C1195" s="35"/>
      <c r="L1195" s="848"/>
      <c r="V1195" s="304"/>
      <c r="AF1195" s="304"/>
      <c r="AP1195" s="304"/>
      <c r="AZ1195" s="304"/>
      <c r="BJ1195" s="304"/>
      <c r="BT1195" s="304"/>
      <c r="CD1195" s="304"/>
      <c r="CN1195" s="304"/>
      <c r="CX1195" s="304"/>
      <c r="DH1195" s="304"/>
    </row>
    <row r="1196" spans="3:112" s="37" customFormat="1" hidden="1" x14ac:dyDescent="0.25">
      <c r="C1196" s="35"/>
      <c r="L1196" s="848"/>
      <c r="V1196" s="304"/>
      <c r="AF1196" s="304"/>
      <c r="AP1196" s="304"/>
      <c r="AZ1196" s="304"/>
      <c r="BJ1196" s="304"/>
      <c r="BT1196" s="304"/>
      <c r="CD1196" s="304"/>
      <c r="CN1196" s="304"/>
      <c r="CX1196" s="304"/>
      <c r="DH1196" s="304"/>
    </row>
    <row r="1197" spans="3:112" s="37" customFormat="1" hidden="1" x14ac:dyDescent="0.25">
      <c r="C1197" s="35"/>
      <c r="L1197" s="848"/>
      <c r="V1197" s="304"/>
      <c r="AF1197" s="304"/>
      <c r="AP1197" s="304"/>
      <c r="AZ1197" s="304"/>
      <c r="BJ1197" s="304"/>
      <c r="BT1197" s="304"/>
      <c r="CD1197" s="304"/>
      <c r="CN1197" s="304"/>
      <c r="CX1197" s="304"/>
      <c r="DH1197" s="304"/>
    </row>
    <row r="1198" spans="3:112" s="37" customFormat="1" hidden="1" x14ac:dyDescent="0.25">
      <c r="C1198" s="35"/>
      <c r="L1198" s="848"/>
      <c r="V1198" s="304"/>
      <c r="AF1198" s="304"/>
      <c r="AP1198" s="304"/>
      <c r="AZ1198" s="304"/>
      <c r="BJ1198" s="304"/>
      <c r="BT1198" s="304"/>
      <c r="CD1198" s="304"/>
      <c r="CN1198" s="304"/>
      <c r="CX1198" s="304"/>
      <c r="DH1198" s="304"/>
    </row>
    <row r="1199" spans="3:112" s="37" customFormat="1" hidden="1" x14ac:dyDescent="0.25">
      <c r="C1199" s="35"/>
      <c r="L1199" s="848"/>
      <c r="V1199" s="304"/>
      <c r="AF1199" s="304"/>
      <c r="AP1199" s="304"/>
      <c r="AZ1199" s="304"/>
      <c r="BJ1199" s="304"/>
      <c r="BT1199" s="304"/>
      <c r="CD1199" s="304"/>
      <c r="CN1199" s="304"/>
      <c r="CX1199" s="304"/>
      <c r="DH1199" s="304"/>
    </row>
    <row r="1200" spans="3:112" s="37" customFormat="1" hidden="1" x14ac:dyDescent="0.25">
      <c r="C1200" s="35"/>
      <c r="L1200" s="848"/>
      <c r="V1200" s="304"/>
      <c r="AF1200" s="304"/>
      <c r="AP1200" s="304"/>
      <c r="AZ1200" s="304"/>
      <c r="BJ1200" s="304"/>
      <c r="BT1200" s="304"/>
      <c r="CD1200" s="304"/>
      <c r="CN1200" s="304"/>
      <c r="CX1200" s="304"/>
      <c r="DH1200" s="304"/>
    </row>
    <row r="1201" spans="3:112" s="37" customFormat="1" hidden="1" x14ac:dyDescent="0.25">
      <c r="C1201" s="35"/>
      <c r="L1201" s="848"/>
      <c r="V1201" s="304"/>
      <c r="AF1201" s="304"/>
      <c r="AP1201" s="304"/>
      <c r="AZ1201" s="304"/>
      <c r="BJ1201" s="304"/>
      <c r="BT1201" s="304"/>
      <c r="CD1201" s="304"/>
      <c r="CN1201" s="304"/>
      <c r="CX1201" s="304"/>
      <c r="DH1201" s="304"/>
    </row>
    <row r="1202" spans="3:112" s="37" customFormat="1" hidden="1" x14ac:dyDescent="0.25">
      <c r="C1202" s="35"/>
      <c r="L1202" s="848"/>
      <c r="V1202" s="304"/>
      <c r="AF1202" s="304"/>
      <c r="AP1202" s="304"/>
      <c r="AZ1202" s="304"/>
      <c r="BJ1202" s="304"/>
      <c r="BT1202" s="304"/>
      <c r="CD1202" s="304"/>
      <c r="CN1202" s="304"/>
      <c r="CX1202" s="304"/>
      <c r="DH1202" s="304"/>
    </row>
    <row r="1203" spans="3:112" s="37" customFormat="1" hidden="1" x14ac:dyDescent="0.25">
      <c r="C1203" s="35"/>
      <c r="L1203" s="848"/>
      <c r="V1203" s="304"/>
      <c r="AF1203" s="304"/>
      <c r="AP1203" s="304"/>
      <c r="AZ1203" s="304"/>
      <c r="BJ1203" s="304"/>
      <c r="BT1203" s="304"/>
      <c r="CD1203" s="304"/>
      <c r="CN1203" s="304"/>
      <c r="CX1203" s="304"/>
      <c r="DH1203" s="304"/>
    </row>
    <row r="1204" spans="3:112" s="37" customFormat="1" hidden="1" x14ac:dyDescent="0.25">
      <c r="C1204" s="35"/>
      <c r="L1204" s="848"/>
      <c r="V1204" s="304"/>
      <c r="AF1204" s="304"/>
      <c r="AP1204" s="304"/>
      <c r="AZ1204" s="304"/>
      <c r="BJ1204" s="304"/>
      <c r="BT1204" s="304"/>
      <c r="CD1204" s="304"/>
      <c r="CN1204" s="304"/>
      <c r="CX1204" s="304"/>
      <c r="DH1204" s="304"/>
    </row>
    <row r="1205" spans="3:112" s="37" customFormat="1" hidden="1" x14ac:dyDescent="0.25">
      <c r="C1205" s="35"/>
      <c r="L1205" s="848"/>
      <c r="V1205" s="304"/>
      <c r="AF1205" s="304"/>
      <c r="AP1205" s="304"/>
      <c r="AZ1205" s="304"/>
      <c r="BJ1205" s="304"/>
      <c r="BT1205" s="304"/>
      <c r="CD1205" s="304"/>
      <c r="CN1205" s="304"/>
      <c r="CX1205" s="304"/>
      <c r="DH1205" s="304"/>
    </row>
    <row r="1206" spans="3:112" s="37" customFormat="1" hidden="1" x14ac:dyDescent="0.25">
      <c r="C1206" s="35"/>
      <c r="L1206" s="848"/>
      <c r="V1206" s="304"/>
      <c r="AF1206" s="304"/>
      <c r="AP1206" s="304"/>
      <c r="AZ1206" s="304"/>
      <c r="BJ1206" s="304"/>
      <c r="BT1206" s="304"/>
      <c r="CD1206" s="304"/>
      <c r="CN1206" s="304"/>
      <c r="CX1206" s="304"/>
      <c r="DH1206" s="304"/>
    </row>
    <row r="1207" spans="3:112" s="37" customFormat="1" hidden="1" x14ac:dyDescent="0.25">
      <c r="C1207" s="35"/>
      <c r="L1207" s="848"/>
      <c r="V1207" s="304"/>
      <c r="AF1207" s="304"/>
      <c r="AP1207" s="304"/>
      <c r="AZ1207" s="304"/>
      <c r="BJ1207" s="304"/>
      <c r="BT1207" s="304"/>
      <c r="CD1207" s="304"/>
      <c r="CN1207" s="304"/>
      <c r="CX1207" s="304"/>
      <c r="DH1207" s="304"/>
    </row>
    <row r="1208" spans="3:112" s="37" customFormat="1" hidden="1" x14ac:dyDescent="0.25">
      <c r="C1208" s="35"/>
      <c r="L1208" s="848"/>
      <c r="V1208" s="304"/>
      <c r="AF1208" s="304"/>
      <c r="AP1208" s="304"/>
      <c r="AZ1208" s="304"/>
      <c r="BJ1208" s="304"/>
      <c r="BT1208" s="304"/>
      <c r="CD1208" s="304"/>
      <c r="CN1208" s="304"/>
      <c r="CX1208" s="304"/>
      <c r="DH1208" s="304"/>
    </row>
    <row r="1209" spans="3:112" s="37" customFormat="1" hidden="1" x14ac:dyDescent="0.25">
      <c r="C1209" s="35"/>
      <c r="L1209" s="848"/>
      <c r="V1209" s="304"/>
      <c r="AF1209" s="304"/>
      <c r="AP1209" s="304"/>
      <c r="AZ1209" s="304"/>
      <c r="BJ1209" s="304"/>
      <c r="BT1209" s="304"/>
      <c r="CD1209" s="304"/>
      <c r="CN1209" s="304"/>
      <c r="CX1209" s="304"/>
      <c r="DH1209" s="304"/>
    </row>
    <row r="1210" spans="3:112" s="37" customFormat="1" hidden="1" x14ac:dyDescent="0.25">
      <c r="C1210" s="35"/>
      <c r="L1210" s="848"/>
      <c r="V1210" s="304"/>
      <c r="AF1210" s="304"/>
      <c r="AP1210" s="304"/>
      <c r="AZ1210" s="304"/>
      <c r="BJ1210" s="304"/>
      <c r="BT1210" s="304"/>
      <c r="CD1210" s="304"/>
      <c r="CN1210" s="304"/>
      <c r="CX1210" s="304"/>
      <c r="DH1210" s="304"/>
    </row>
    <row r="1211" spans="3:112" s="37" customFormat="1" hidden="1" x14ac:dyDescent="0.25">
      <c r="C1211" s="35"/>
      <c r="L1211" s="848"/>
      <c r="V1211" s="304"/>
      <c r="AF1211" s="304"/>
      <c r="AP1211" s="304"/>
      <c r="AZ1211" s="304"/>
      <c r="BJ1211" s="304"/>
      <c r="BT1211" s="304"/>
      <c r="CD1211" s="304"/>
      <c r="CN1211" s="304"/>
      <c r="CX1211" s="304"/>
      <c r="DH1211" s="304"/>
    </row>
    <row r="1212" spans="3:112" s="37" customFormat="1" hidden="1" x14ac:dyDescent="0.25">
      <c r="C1212" s="35"/>
      <c r="L1212" s="848"/>
      <c r="V1212" s="304"/>
      <c r="AF1212" s="304"/>
      <c r="AP1212" s="304"/>
      <c r="AZ1212" s="304"/>
      <c r="BJ1212" s="304"/>
      <c r="BT1212" s="304"/>
      <c r="CD1212" s="304"/>
      <c r="CN1212" s="304"/>
      <c r="CX1212" s="304"/>
      <c r="DH1212" s="304"/>
    </row>
    <row r="1213" spans="3:112" s="37" customFormat="1" hidden="1" x14ac:dyDescent="0.25">
      <c r="C1213" s="35"/>
      <c r="L1213" s="848"/>
      <c r="V1213" s="304"/>
      <c r="AF1213" s="304"/>
      <c r="AP1213" s="304"/>
      <c r="AZ1213" s="304"/>
      <c r="BJ1213" s="304"/>
      <c r="BT1213" s="304"/>
      <c r="CD1213" s="304"/>
      <c r="CN1213" s="304"/>
      <c r="CX1213" s="304"/>
      <c r="DH1213" s="304"/>
    </row>
    <row r="1214" spans="3:112" s="37" customFormat="1" hidden="1" x14ac:dyDescent="0.25">
      <c r="C1214" s="35"/>
      <c r="L1214" s="848"/>
      <c r="V1214" s="304"/>
      <c r="AF1214" s="304"/>
      <c r="AP1214" s="304"/>
      <c r="AZ1214" s="304"/>
      <c r="BJ1214" s="304"/>
      <c r="BT1214" s="304"/>
      <c r="CD1214" s="304"/>
      <c r="CN1214" s="304"/>
      <c r="CX1214" s="304"/>
      <c r="DH1214" s="304"/>
    </row>
    <row r="1215" spans="3:112" s="37" customFormat="1" hidden="1" x14ac:dyDescent="0.25">
      <c r="C1215" s="35"/>
      <c r="L1215" s="848"/>
      <c r="V1215" s="304"/>
      <c r="AF1215" s="304"/>
      <c r="AP1215" s="304"/>
      <c r="AZ1215" s="304"/>
      <c r="BJ1215" s="304"/>
      <c r="BT1215" s="304"/>
      <c r="CD1215" s="304"/>
      <c r="CN1215" s="304"/>
      <c r="CX1215" s="304"/>
      <c r="DH1215" s="304"/>
    </row>
    <row r="1216" spans="3:112" s="37" customFormat="1" hidden="1" x14ac:dyDescent="0.25">
      <c r="C1216" s="35"/>
      <c r="L1216" s="848"/>
      <c r="V1216" s="304"/>
      <c r="AF1216" s="304"/>
      <c r="AP1216" s="304"/>
      <c r="AZ1216" s="304"/>
      <c r="BJ1216" s="304"/>
      <c r="BT1216" s="304"/>
      <c r="CD1216" s="304"/>
      <c r="CN1216" s="304"/>
      <c r="CX1216" s="304"/>
      <c r="DH1216" s="304"/>
    </row>
    <row r="1217" spans="3:112" s="37" customFormat="1" hidden="1" x14ac:dyDescent="0.25">
      <c r="C1217" s="35"/>
      <c r="L1217" s="848"/>
      <c r="V1217" s="304"/>
      <c r="AF1217" s="304"/>
      <c r="AP1217" s="304"/>
      <c r="AZ1217" s="304"/>
      <c r="BJ1217" s="304"/>
      <c r="BT1217" s="304"/>
      <c r="CD1217" s="304"/>
      <c r="CN1217" s="304"/>
      <c r="CX1217" s="304"/>
      <c r="DH1217" s="304"/>
    </row>
    <row r="1218" spans="3:112" s="37" customFormat="1" hidden="1" x14ac:dyDescent="0.25">
      <c r="C1218" s="35"/>
      <c r="L1218" s="848"/>
      <c r="V1218" s="304"/>
      <c r="AF1218" s="304"/>
      <c r="AP1218" s="304"/>
      <c r="AZ1218" s="304"/>
      <c r="BJ1218" s="304"/>
      <c r="BT1218" s="304"/>
      <c r="CD1218" s="304"/>
      <c r="CN1218" s="304"/>
      <c r="CX1218" s="304"/>
      <c r="DH1218" s="304"/>
    </row>
    <row r="1219" spans="3:112" s="37" customFormat="1" hidden="1" x14ac:dyDescent="0.25">
      <c r="C1219" s="35"/>
      <c r="L1219" s="848"/>
      <c r="V1219" s="304"/>
      <c r="AF1219" s="304"/>
      <c r="AP1219" s="304"/>
      <c r="AZ1219" s="304"/>
      <c r="BJ1219" s="304"/>
      <c r="BT1219" s="304"/>
      <c r="CD1219" s="304"/>
      <c r="CN1219" s="304"/>
      <c r="CX1219" s="304"/>
      <c r="DH1219" s="304"/>
    </row>
    <row r="1220" spans="3:112" s="37" customFormat="1" hidden="1" x14ac:dyDescent="0.25">
      <c r="C1220" s="35"/>
      <c r="L1220" s="848"/>
      <c r="V1220" s="304"/>
      <c r="AF1220" s="304"/>
      <c r="AP1220" s="304"/>
      <c r="AZ1220" s="304"/>
      <c r="BJ1220" s="304"/>
      <c r="BT1220" s="304"/>
      <c r="CD1220" s="304"/>
      <c r="CN1220" s="304"/>
      <c r="CX1220" s="304"/>
      <c r="DH1220" s="304"/>
    </row>
    <row r="1221" spans="3:112" s="37" customFormat="1" hidden="1" x14ac:dyDescent="0.25">
      <c r="C1221" s="35"/>
      <c r="L1221" s="848"/>
      <c r="V1221" s="304"/>
      <c r="AF1221" s="304"/>
      <c r="AP1221" s="304"/>
      <c r="AZ1221" s="304"/>
      <c r="BJ1221" s="304"/>
      <c r="BT1221" s="304"/>
      <c r="CD1221" s="304"/>
      <c r="CN1221" s="304"/>
      <c r="CX1221" s="304"/>
      <c r="DH1221" s="304"/>
    </row>
    <row r="1222" spans="3:112" s="37" customFormat="1" hidden="1" x14ac:dyDescent="0.25">
      <c r="C1222" s="35"/>
      <c r="L1222" s="848"/>
      <c r="V1222" s="304"/>
      <c r="AF1222" s="304"/>
      <c r="AP1222" s="304"/>
      <c r="AZ1222" s="304"/>
      <c r="BJ1222" s="304"/>
      <c r="BT1222" s="304"/>
      <c r="CD1222" s="304"/>
      <c r="CN1222" s="304"/>
      <c r="CX1222" s="304"/>
      <c r="DH1222" s="304"/>
    </row>
    <row r="1223" spans="3:112" s="37" customFormat="1" hidden="1" x14ac:dyDescent="0.25">
      <c r="C1223" s="35"/>
      <c r="L1223" s="848"/>
      <c r="V1223" s="304"/>
      <c r="AF1223" s="304"/>
      <c r="AP1223" s="304"/>
      <c r="AZ1223" s="304"/>
      <c r="BJ1223" s="304"/>
      <c r="BT1223" s="304"/>
      <c r="CD1223" s="304"/>
      <c r="CN1223" s="304"/>
      <c r="CX1223" s="304"/>
      <c r="DH1223" s="304"/>
    </row>
    <row r="1224" spans="3:112" s="37" customFormat="1" hidden="1" x14ac:dyDescent="0.25">
      <c r="C1224" s="35"/>
      <c r="L1224" s="848"/>
      <c r="V1224" s="304"/>
      <c r="AF1224" s="304"/>
      <c r="AP1224" s="304"/>
      <c r="AZ1224" s="304"/>
      <c r="BJ1224" s="304"/>
      <c r="BT1224" s="304"/>
      <c r="CD1224" s="304"/>
      <c r="CN1224" s="304"/>
      <c r="CX1224" s="304"/>
      <c r="DH1224" s="304"/>
    </row>
    <row r="1225" spans="3:112" s="37" customFormat="1" hidden="1" x14ac:dyDescent="0.25">
      <c r="C1225" s="35"/>
      <c r="L1225" s="848"/>
      <c r="V1225" s="304"/>
      <c r="AF1225" s="304"/>
      <c r="AP1225" s="304"/>
      <c r="AZ1225" s="304"/>
      <c r="BJ1225" s="304"/>
      <c r="BT1225" s="304"/>
      <c r="CD1225" s="304"/>
      <c r="CN1225" s="304"/>
      <c r="CX1225" s="304"/>
      <c r="DH1225" s="304"/>
    </row>
    <row r="1226" spans="3:112" s="37" customFormat="1" hidden="1" x14ac:dyDescent="0.25">
      <c r="C1226" s="35"/>
      <c r="L1226" s="848"/>
      <c r="V1226" s="304"/>
      <c r="AF1226" s="304"/>
      <c r="AP1226" s="304"/>
      <c r="AZ1226" s="304"/>
      <c r="BJ1226" s="304"/>
      <c r="BT1226" s="304"/>
      <c r="CD1226" s="304"/>
      <c r="CN1226" s="304"/>
      <c r="CX1226" s="304"/>
      <c r="DH1226" s="304"/>
    </row>
    <row r="1227" spans="3:112" s="37" customFormat="1" hidden="1" x14ac:dyDescent="0.25">
      <c r="C1227" s="35"/>
      <c r="L1227" s="848"/>
      <c r="V1227" s="304"/>
      <c r="AF1227" s="304"/>
      <c r="AP1227" s="304"/>
      <c r="AZ1227" s="304"/>
      <c r="BJ1227" s="304"/>
      <c r="BT1227" s="304"/>
      <c r="CD1227" s="304"/>
      <c r="CN1227" s="304"/>
      <c r="CX1227" s="304"/>
      <c r="DH1227" s="304"/>
    </row>
    <row r="1228" spans="3:112" s="37" customFormat="1" hidden="1" x14ac:dyDescent="0.25">
      <c r="C1228" s="35"/>
      <c r="L1228" s="848"/>
      <c r="V1228" s="304"/>
      <c r="AF1228" s="304"/>
      <c r="AP1228" s="304"/>
      <c r="AZ1228" s="304"/>
      <c r="BJ1228" s="304"/>
      <c r="BT1228" s="304"/>
      <c r="CD1228" s="304"/>
      <c r="CN1228" s="304"/>
      <c r="CX1228" s="304"/>
      <c r="DH1228" s="304"/>
    </row>
    <row r="1229" spans="3:112" s="37" customFormat="1" hidden="1" x14ac:dyDescent="0.25">
      <c r="C1229" s="35"/>
      <c r="L1229" s="848"/>
      <c r="V1229" s="304"/>
      <c r="AF1229" s="304"/>
      <c r="AP1229" s="304"/>
      <c r="AZ1229" s="304"/>
      <c r="BJ1229" s="304"/>
      <c r="BT1229" s="304"/>
      <c r="CD1229" s="304"/>
      <c r="CN1229" s="304"/>
      <c r="CX1229" s="304"/>
      <c r="DH1229" s="304"/>
    </row>
    <row r="1230" spans="3:112" s="37" customFormat="1" hidden="1" x14ac:dyDescent="0.25">
      <c r="C1230" s="35"/>
      <c r="L1230" s="848"/>
      <c r="V1230" s="304"/>
      <c r="AF1230" s="304"/>
      <c r="AP1230" s="304"/>
      <c r="AZ1230" s="304"/>
      <c r="BJ1230" s="304"/>
      <c r="BT1230" s="304"/>
      <c r="CD1230" s="304"/>
      <c r="CN1230" s="304"/>
      <c r="CX1230" s="304"/>
      <c r="DH1230" s="304"/>
    </row>
    <row r="1231" spans="3:112" s="37" customFormat="1" hidden="1" x14ac:dyDescent="0.25">
      <c r="C1231" s="35"/>
      <c r="L1231" s="848"/>
      <c r="V1231" s="304"/>
      <c r="AF1231" s="304"/>
      <c r="AP1231" s="304"/>
      <c r="AZ1231" s="304"/>
      <c r="BJ1231" s="304"/>
      <c r="BT1231" s="304"/>
      <c r="CD1231" s="304"/>
      <c r="CN1231" s="304"/>
      <c r="CX1231" s="304"/>
      <c r="DH1231" s="304"/>
    </row>
    <row r="1232" spans="3:112" s="37" customFormat="1" hidden="1" x14ac:dyDescent="0.25">
      <c r="C1232" s="35"/>
      <c r="L1232" s="848"/>
      <c r="V1232" s="304"/>
      <c r="AF1232" s="304"/>
      <c r="AP1232" s="304"/>
      <c r="AZ1232" s="304"/>
      <c r="BJ1232" s="304"/>
      <c r="BT1232" s="304"/>
      <c r="CD1232" s="304"/>
      <c r="CN1232" s="304"/>
      <c r="CX1232" s="304"/>
      <c r="DH1232" s="304"/>
    </row>
    <row r="1233" spans="3:112" s="37" customFormat="1" hidden="1" x14ac:dyDescent="0.25">
      <c r="C1233" s="35"/>
      <c r="L1233" s="848"/>
      <c r="V1233" s="304"/>
      <c r="AF1233" s="304"/>
      <c r="AP1233" s="304"/>
      <c r="AZ1233" s="304"/>
      <c r="BJ1233" s="304"/>
      <c r="BT1233" s="304"/>
      <c r="CD1233" s="304"/>
      <c r="CN1233" s="304"/>
      <c r="CX1233" s="304"/>
      <c r="DH1233" s="304"/>
    </row>
    <row r="1234" spans="3:112" s="37" customFormat="1" hidden="1" x14ac:dyDescent="0.25">
      <c r="C1234" s="35"/>
      <c r="L1234" s="848"/>
      <c r="V1234" s="304"/>
      <c r="AF1234" s="304"/>
      <c r="AP1234" s="304"/>
      <c r="AZ1234" s="304"/>
      <c r="BJ1234" s="304"/>
      <c r="BT1234" s="304"/>
      <c r="CD1234" s="304"/>
      <c r="CN1234" s="304"/>
      <c r="CX1234" s="304"/>
      <c r="DH1234" s="304"/>
    </row>
    <row r="1235" spans="3:112" s="37" customFormat="1" hidden="1" x14ac:dyDescent="0.25">
      <c r="C1235" s="35"/>
      <c r="L1235" s="848"/>
      <c r="V1235" s="304"/>
      <c r="AF1235" s="304"/>
      <c r="AP1235" s="304"/>
      <c r="AZ1235" s="304"/>
      <c r="BJ1235" s="304"/>
      <c r="BT1235" s="304"/>
      <c r="CD1235" s="304"/>
      <c r="CN1235" s="304"/>
      <c r="CX1235" s="304"/>
      <c r="DH1235" s="304"/>
    </row>
    <row r="1236" spans="3:112" s="37" customFormat="1" hidden="1" x14ac:dyDescent="0.25">
      <c r="C1236" s="35"/>
      <c r="L1236" s="848"/>
      <c r="V1236" s="304"/>
      <c r="AF1236" s="304"/>
      <c r="AP1236" s="304"/>
      <c r="AZ1236" s="304"/>
      <c r="BJ1236" s="304"/>
      <c r="BT1236" s="304"/>
      <c r="CD1236" s="304"/>
      <c r="CN1236" s="304"/>
      <c r="CX1236" s="304"/>
      <c r="DH1236" s="304"/>
    </row>
    <row r="1237" spans="3:112" s="37" customFormat="1" hidden="1" x14ac:dyDescent="0.25">
      <c r="C1237" s="35"/>
      <c r="L1237" s="848"/>
      <c r="V1237" s="304"/>
      <c r="AF1237" s="304"/>
      <c r="AP1237" s="304"/>
      <c r="AZ1237" s="304"/>
      <c r="BJ1237" s="304"/>
      <c r="BT1237" s="304"/>
      <c r="CD1237" s="304"/>
      <c r="CN1237" s="304"/>
      <c r="CX1237" s="304"/>
      <c r="DH1237" s="304"/>
    </row>
    <row r="1238" spans="3:112" s="37" customFormat="1" hidden="1" x14ac:dyDescent="0.25">
      <c r="C1238" s="35"/>
      <c r="L1238" s="848"/>
      <c r="V1238" s="304"/>
      <c r="AF1238" s="304"/>
      <c r="AP1238" s="304"/>
      <c r="AZ1238" s="304"/>
      <c r="BJ1238" s="304"/>
      <c r="BT1238" s="304"/>
      <c r="CD1238" s="304"/>
      <c r="CN1238" s="304"/>
      <c r="CX1238" s="304"/>
      <c r="DH1238" s="304"/>
    </row>
    <row r="1239" spans="3:112" s="37" customFormat="1" hidden="1" x14ac:dyDescent="0.25">
      <c r="C1239" s="35"/>
      <c r="L1239" s="848"/>
      <c r="V1239" s="304"/>
      <c r="AF1239" s="304"/>
      <c r="AP1239" s="304"/>
      <c r="AZ1239" s="304"/>
      <c r="BJ1239" s="304"/>
      <c r="BT1239" s="304"/>
      <c r="CD1239" s="304"/>
      <c r="CN1239" s="304"/>
      <c r="CX1239" s="304"/>
      <c r="DH1239" s="304"/>
    </row>
    <row r="1240" spans="3:112" s="37" customFormat="1" hidden="1" x14ac:dyDescent="0.25">
      <c r="C1240" s="35"/>
      <c r="L1240" s="848"/>
      <c r="V1240" s="304"/>
      <c r="AF1240" s="304"/>
      <c r="AP1240" s="304"/>
      <c r="AZ1240" s="304"/>
      <c r="BJ1240" s="304"/>
      <c r="BT1240" s="304"/>
      <c r="CD1240" s="304"/>
      <c r="CN1240" s="304"/>
      <c r="CX1240" s="304"/>
      <c r="DH1240" s="304"/>
    </row>
    <row r="1241" spans="3:112" s="37" customFormat="1" hidden="1" x14ac:dyDescent="0.25">
      <c r="C1241" s="35"/>
      <c r="L1241" s="848"/>
      <c r="V1241" s="304"/>
      <c r="AF1241" s="304"/>
      <c r="AP1241" s="304"/>
      <c r="AZ1241" s="304"/>
      <c r="BJ1241" s="304"/>
      <c r="BT1241" s="304"/>
      <c r="CD1241" s="304"/>
      <c r="CN1241" s="304"/>
      <c r="CX1241" s="304"/>
      <c r="DH1241" s="304"/>
    </row>
    <row r="1242" spans="3:112" s="37" customFormat="1" hidden="1" x14ac:dyDescent="0.25">
      <c r="C1242" s="35"/>
      <c r="L1242" s="848"/>
      <c r="V1242" s="304"/>
      <c r="AF1242" s="304"/>
      <c r="AP1242" s="304"/>
      <c r="AZ1242" s="304"/>
      <c r="BJ1242" s="304"/>
      <c r="BT1242" s="304"/>
      <c r="CD1242" s="304"/>
      <c r="CN1242" s="304"/>
      <c r="CX1242" s="304"/>
      <c r="DH1242" s="304"/>
    </row>
    <row r="1243" spans="3:112" s="37" customFormat="1" hidden="1" x14ac:dyDescent="0.25">
      <c r="C1243" s="35"/>
      <c r="L1243" s="848"/>
      <c r="V1243" s="304"/>
      <c r="AF1243" s="304"/>
      <c r="AP1243" s="304"/>
      <c r="AZ1243" s="304"/>
      <c r="BJ1243" s="304"/>
      <c r="BT1243" s="304"/>
      <c r="CD1243" s="304"/>
      <c r="CN1243" s="304"/>
      <c r="CX1243" s="304"/>
      <c r="DH1243" s="304"/>
    </row>
    <row r="1244" spans="3:112" s="37" customFormat="1" hidden="1" x14ac:dyDescent="0.25">
      <c r="C1244" s="35"/>
      <c r="L1244" s="848"/>
      <c r="V1244" s="304"/>
      <c r="AF1244" s="304"/>
      <c r="AP1244" s="304"/>
      <c r="AZ1244" s="304"/>
      <c r="BJ1244" s="304"/>
      <c r="BT1244" s="304"/>
      <c r="CD1244" s="304"/>
      <c r="CN1244" s="304"/>
      <c r="CX1244" s="304"/>
      <c r="DH1244" s="304"/>
    </row>
    <row r="1245" spans="3:112" s="37" customFormat="1" hidden="1" x14ac:dyDescent="0.25">
      <c r="C1245" s="35"/>
      <c r="L1245" s="848"/>
      <c r="V1245" s="304"/>
      <c r="AF1245" s="304"/>
      <c r="AP1245" s="304"/>
      <c r="AZ1245" s="304"/>
      <c r="BJ1245" s="304"/>
      <c r="BT1245" s="304"/>
      <c r="CD1245" s="304"/>
      <c r="CN1245" s="304"/>
      <c r="CX1245" s="304"/>
      <c r="DH1245" s="304"/>
    </row>
    <row r="1246" spans="3:112" s="37" customFormat="1" hidden="1" x14ac:dyDescent="0.25">
      <c r="C1246" s="35"/>
      <c r="L1246" s="848"/>
      <c r="V1246" s="304"/>
      <c r="AF1246" s="304"/>
      <c r="AP1246" s="304"/>
      <c r="AZ1246" s="304"/>
      <c r="BJ1246" s="304"/>
      <c r="BT1246" s="304"/>
      <c r="CD1246" s="304"/>
      <c r="CN1246" s="304"/>
      <c r="CX1246" s="304"/>
      <c r="DH1246" s="304"/>
    </row>
    <row r="1247" spans="3:112" s="37" customFormat="1" hidden="1" x14ac:dyDescent="0.25">
      <c r="C1247" s="35"/>
      <c r="L1247" s="848"/>
      <c r="V1247" s="304"/>
      <c r="AF1247" s="304"/>
      <c r="AP1247" s="304"/>
      <c r="AZ1247" s="304"/>
      <c r="BJ1247" s="304"/>
      <c r="BT1247" s="304"/>
      <c r="CD1247" s="304"/>
      <c r="CN1247" s="304"/>
      <c r="CX1247" s="304"/>
      <c r="DH1247" s="304"/>
    </row>
    <row r="1248" spans="3:112" s="37" customFormat="1" hidden="1" x14ac:dyDescent="0.25">
      <c r="C1248" s="35"/>
      <c r="L1248" s="848"/>
      <c r="V1248" s="304"/>
      <c r="AF1248" s="304"/>
      <c r="AP1248" s="304"/>
      <c r="AZ1248" s="304"/>
      <c r="BJ1248" s="304"/>
      <c r="BT1248" s="304"/>
      <c r="CD1248" s="304"/>
      <c r="CN1248" s="304"/>
      <c r="CX1248" s="304"/>
      <c r="DH1248" s="304"/>
    </row>
    <row r="1249" spans="3:112" s="37" customFormat="1" hidden="1" x14ac:dyDescent="0.25">
      <c r="C1249" s="35"/>
      <c r="L1249" s="848"/>
      <c r="V1249" s="304"/>
      <c r="AF1249" s="304"/>
      <c r="AP1249" s="304"/>
      <c r="AZ1249" s="304"/>
      <c r="BJ1249" s="304"/>
      <c r="BT1249" s="304"/>
      <c r="CD1249" s="304"/>
      <c r="CN1249" s="304"/>
      <c r="CX1249" s="304"/>
      <c r="DH1249" s="304"/>
    </row>
    <row r="1250" spans="3:112" s="37" customFormat="1" hidden="1" x14ac:dyDescent="0.25">
      <c r="C1250" s="35"/>
      <c r="L1250" s="848"/>
      <c r="V1250" s="304"/>
      <c r="AF1250" s="304"/>
      <c r="AP1250" s="304"/>
      <c r="AZ1250" s="304"/>
      <c r="BJ1250" s="304"/>
      <c r="BT1250" s="304"/>
      <c r="CD1250" s="304"/>
      <c r="CN1250" s="304"/>
      <c r="CX1250" s="304"/>
      <c r="DH1250" s="304"/>
    </row>
    <row r="1251" spans="3:112" s="37" customFormat="1" hidden="1" x14ac:dyDescent="0.25">
      <c r="C1251" s="35"/>
      <c r="L1251" s="848"/>
      <c r="V1251" s="304"/>
      <c r="AF1251" s="304"/>
      <c r="AP1251" s="304"/>
      <c r="AZ1251" s="304"/>
      <c r="BJ1251" s="304"/>
      <c r="BT1251" s="304"/>
      <c r="CD1251" s="304"/>
      <c r="CN1251" s="304"/>
      <c r="CX1251" s="304"/>
      <c r="DH1251" s="304"/>
    </row>
    <row r="1252" spans="3:112" s="37" customFormat="1" hidden="1" x14ac:dyDescent="0.25">
      <c r="C1252" s="35"/>
      <c r="L1252" s="848"/>
      <c r="V1252" s="304"/>
      <c r="AF1252" s="304"/>
      <c r="AP1252" s="304"/>
      <c r="AZ1252" s="304"/>
      <c r="BJ1252" s="304"/>
      <c r="BT1252" s="304"/>
      <c r="CD1252" s="304"/>
      <c r="CN1252" s="304"/>
      <c r="CX1252" s="304"/>
      <c r="DH1252" s="304"/>
    </row>
    <row r="1253" spans="3:112" s="37" customFormat="1" hidden="1" x14ac:dyDescent="0.25">
      <c r="C1253" s="35"/>
      <c r="L1253" s="848"/>
      <c r="V1253" s="304"/>
      <c r="AF1253" s="304"/>
      <c r="AP1253" s="304"/>
      <c r="AZ1253" s="304"/>
      <c r="BJ1253" s="304"/>
      <c r="BT1253" s="304"/>
      <c r="CD1253" s="304"/>
      <c r="CN1253" s="304"/>
      <c r="CX1253" s="304"/>
      <c r="DH1253" s="304"/>
    </row>
    <row r="1254" spans="3:112" s="37" customFormat="1" hidden="1" x14ac:dyDescent="0.25">
      <c r="C1254" s="35"/>
      <c r="L1254" s="848"/>
      <c r="V1254" s="304"/>
      <c r="AF1254" s="304"/>
      <c r="AP1254" s="304"/>
      <c r="AZ1254" s="304"/>
      <c r="BJ1254" s="304"/>
      <c r="BT1254" s="304"/>
      <c r="CD1254" s="304"/>
      <c r="CN1254" s="304"/>
      <c r="CX1254" s="304"/>
      <c r="DH1254" s="304"/>
    </row>
    <row r="1255" spans="3:112" s="37" customFormat="1" hidden="1" x14ac:dyDescent="0.25">
      <c r="C1255" s="35"/>
      <c r="L1255" s="848"/>
      <c r="V1255" s="304"/>
      <c r="AF1255" s="304"/>
      <c r="AP1255" s="304"/>
      <c r="AZ1255" s="304"/>
      <c r="BJ1255" s="304"/>
      <c r="BT1255" s="304"/>
      <c r="CD1255" s="304"/>
      <c r="CN1255" s="304"/>
      <c r="CX1255" s="304"/>
      <c r="DH1255" s="304"/>
    </row>
    <row r="1256" spans="3:112" s="37" customFormat="1" hidden="1" x14ac:dyDescent="0.25">
      <c r="C1256" s="35"/>
      <c r="L1256" s="848"/>
      <c r="V1256" s="304"/>
      <c r="AF1256" s="304"/>
      <c r="AP1256" s="304"/>
      <c r="AZ1256" s="304"/>
      <c r="BJ1256" s="304"/>
      <c r="BT1256" s="304"/>
      <c r="CD1256" s="304"/>
      <c r="CN1256" s="304"/>
      <c r="CX1256" s="304"/>
      <c r="DH1256" s="304"/>
    </row>
    <row r="1257" spans="3:112" s="37" customFormat="1" hidden="1" x14ac:dyDescent="0.25">
      <c r="C1257" s="35"/>
      <c r="L1257" s="848"/>
      <c r="V1257" s="304"/>
      <c r="AF1257" s="304"/>
      <c r="AP1257" s="304"/>
      <c r="AZ1257" s="304"/>
      <c r="BJ1257" s="304"/>
      <c r="BT1257" s="304"/>
      <c r="CD1257" s="304"/>
      <c r="CN1257" s="304"/>
      <c r="CX1257" s="304"/>
      <c r="DH1257" s="304"/>
    </row>
    <row r="1258" spans="3:112" s="37" customFormat="1" hidden="1" x14ac:dyDescent="0.25">
      <c r="C1258" s="35"/>
      <c r="L1258" s="848"/>
      <c r="V1258" s="304"/>
      <c r="AF1258" s="304"/>
      <c r="AP1258" s="304"/>
      <c r="AZ1258" s="304"/>
      <c r="BJ1258" s="304"/>
      <c r="BT1258" s="304"/>
      <c r="CD1258" s="304"/>
      <c r="CN1258" s="304"/>
      <c r="CX1258" s="304"/>
      <c r="DH1258" s="304"/>
    </row>
    <row r="1259" spans="3:112" s="37" customFormat="1" hidden="1" x14ac:dyDescent="0.25">
      <c r="C1259" s="35"/>
      <c r="L1259" s="848"/>
      <c r="V1259" s="304"/>
      <c r="AF1259" s="304"/>
      <c r="AP1259" s="304"/>
      <c r="AZ1259" s="304"/>
      <c r="BJ1259" s="304"/>
      <c r="BT1259" s="304"/>
      <c r="CD1259" s="304"/>
      <c r="CN1259" s="304"/>
      <c r="CX1259" s="304"/>
      <c r="DH1259" s="304"/>
    </row>
    <row r="1260" spans="3:112" s="37" customFormat="1" hidden="1" x14ac:dyDescent="0.25">
      <c r="C1260" s="35"/>
      <c r="L1260" s="848"/>
      <c r="V1260" s="304"/>
      <c r="AF1260" s="304"/>
      <c r="AP1260" s="304"/>
      <c r="AZ1260" s="304"/>
      <c r="BJ1260" s="304"/>
      <c r="BT1260" s="304"/>
      <c r="CD1260" s="304"/>
      <c r="CN1260" s="304"/>
      <c r="CX1260" s="304"/>
      <c r="DH1260" s="304"/>
    </row>
    <row r="1261" spans="3:112" s="37" customFormat="1" hidden="1" x14ac:dyDescent="0.25">
      <c r="C1261" s="35"/>
      <c r="L1261" s="848"/>
      <c r="V1261" s="304"/>
      <c r="AF1261" s="304"/>
      <c r="AP1261" s="304"/>
      <c r="AZ1261" s="304"/>
      <c r="BJ1261" s="304"/>
      <c r="BT1261" s="304"/>
      <c r="CD1261" s="304"/>
      <c r="CN1261" s="304"/>
      <c r="CX1261" s="304"/>
      <c r="DH1261" s="304"/>
    </row>
    <row r="1262" spans="3:112" s="37" customFormat="1" hidden="1" x14ac:dyDescent="0.25">
      <c r="C1262" s="35"/>
      <c r="L1262" s="848"/>
      <c r="V1262" s="304"/>
      <c r="AF1262" s="304"/>
      <c r="AP1262" s="304"/>
      <c r="AZ1262" s="304"/>
      <c r="BJ1262" s="304"/>
      <c r="BT1262" s="304"/>
      <c r="CD1262" s="304"/>
      <c r="CN1262" s="304"/>
      <c r="CX1262" s="304"/>
      <c r="DH1262" s="304"/>
    </row>
    <row r="1263" spans="3:112" s="37" customFormat="1" hidden="1" x14ac:dyDescent="0.25">
      <c r="C1263" s="35"/>
      <c r="L1263" s="848"/>
      <c r="V1263" s="304"/>
      <c r="AF1263" s="304"/>
      <c r="AP1263" s="304"/>
      <c r="AZ1263" s="304"/>
      <c r="BJ1263" s="304"/>
      <c r="BT1263" s="304"/>
      <c r="CD1263" s="304"/>
      <c r="CN1263" s="304"/>
      <c r="CX1263" s="304"/>
      <c r="DH1263" s="304"/>
    </row>
    <row r="1264" spans="3:112" s="37" customFormat="1" hidden="1" x14ac:dyDescent="0.25">
      <c r="C1264" s="35"/>
      <c r="L1264" s="848"/>
      <c r="V1264" s="304"/>
      <c r="AF1264" s="304"/>
      <c r="AP1264" s="304"/>
      <c r="AZ1264" s="304"/>
      <c r="BJ1264" s="304"/>
      <c r="BT1264" s="304"/>
      <c r="CD1264" s="304"/>
      <c r="CN1264" s="304"/>
      <c r="CX1264" s="304"/>
      <c r="DH1264" s="304"/>
    </row>
    <row r="1265" spans="3:112" s="37" customFormat="1" hidden="1" x14ac:dyDescent="0.25">
      <c r="C1265" s="35"/>
      <c r="L1265" s="848"/>
      <c r="V1265" s="304"/>
      <c r="AF1265" s="304"/>
      <c r="AP1265" s="304"/>
      <c r="AZ1265" s="304"/>
      <c r="BJ1265" s="304"/>
      <c r="BT1265" s="304"/>
      <c r="CD1265" s="304"/>
      <c r="CN1265" s="304"/>
      <c r="CX1265" s="304"/>
      <c r="DH1265" s="304"/>
    </row>
    <row r="1266" spans="3:112" s="37" customFormat="1" hidden="1" x14ac:dyDescent="0.25">
      <c r="C1266" s="35"/>
      <c r="L1266" s="848"/>
      <c r="V1266" s="304"/>
      <c r="AF1266" s="304"/>
      <c r="AP1266" s="304"/>
      <c r="AZ1266" s="304"/>
      <c r="BJ1266" s="304"/>
      <c r="BT1266" s="304"/>
      <c r="CD1266" s="304"/>
      <c r="CN1266" s="304"/>
      <c r="CX1266" s="304"/>
      <c r="DH1266" s="304"/>
    </row>
    <row r="1267" spans="3:112" s="37" customFormat="1" hidden="1" x14ac:dyDescent="0.25">
      <c r="C1267" s="35"/>
      <c r="L1267" s="848"/>
      <c r="V1267" s="304"/>
      <c r="AF1267" s="304"/>
      <c r="AP1267" s="304"/>
      <c r="AZ1267" s="304"/>
      <c r="BJ1267" s="304"/>
      <c r="BT1267" s="304"/>
      <c r="CD1267" s="304"/>
      <c r="CN1267" s="304"/>
      <c r="CX1267" s="304"/>
      <c r="DH1267" s="304"/>
    </row>
    <row r="1268" spans="3:112" s="37" customFormat="1" hidden="1" x14ac:dyDescent="0.25">
      <c r="C1268" s="35"/>
      <c r="L1268" s="848"/>
      <c r="V1268" s="304"/>
      <c r="AF1268" s="304"/>
      <c r="AP1268" s="304"/>
      <c r="AZ1268" s="304"/>
      <c r="BJ1268" s="304"/>
      <c r="BT1268" s="304"/>
      <c r="CD1268" s="304"/>
      <c r="CN1268" s="304"/>
      <c r="CX1268" s="304"/>
      <c r="DH1268" s="304"/>
    </row>
    <row r="1269" spans="3:112" s="37" customFormat="1" hidden="1" x14ac:dyDescent="0.25">
      <c r="C1269" s="35"/>
      <c r="L1269" s="848"/>
      <c r="V1269" s="304"/>
      <c r="AF1269" s="304"/>
      <c r="AP1269" s="304"/>
      <c r="AZ1269" s="304"/>
      <c r="BJ1269" s="304"/>
      <c r="BT1269" s="304"/>
      <c r="CD1269" s="304"/>
      <c r="CN1269" s="304"/>
      <c r="CX1269" s="304"/>
      <c r="DH1269" s="304"/>
    </row>
    <row r="1270" spans="3:112" s="37" customFormat="1" hidden="1" x14ac:dyDescent="0.25">
      <c r="C1270" s="35"/>
      <c r="L1270" s="848"/>
      <c r="V1270" s="304"/>
      <c r="AF1270" s="304"/>
      <c r="AP1270" s="304"/>
      <c r="AZ1270" s="304"/>
      <c r="BJ1270" s="304"/>
      <c r="BT1270" s="304"/>
      <c r="CD1270" s="304"/>
      <c r="CN1270" s="304"/>
      <c r="CX1270" s="304"/>
      <c r="DH1270" s="304"/>
    </row>
    <row r="1271" spans="3:112" s="37" customFormat="1" hidden="1" x14ac:dyDescent="0.25">
      <c r="C1271" s="35"/>
      <c r="L1271" s="848"/>
      <c r="V1271" s="304"/>
      <c r="AF1271" s="304"/>
      <c r="AP1271" s="304"/>
      <c r="AZ1271" s="304"/>
      <c r="BJ1271" s="304"/>
      <c r="BT1271" s="304"/>
      <c r="CD1271" s="304"/>
      <c r="CN1271" s="304"/>
      <c r="CX1271" s="304"/>
      <c r="DH1271" s="304"/>
    </row>
    <row r="1272" spans="3:112" s="37" customFormat="1" hidden="1" x14ac:dyDescent="0.25">
      <c r="C1272" s="35"/>
      <c r="L1272" s="848"/>
      <c r="V1272" s="304"/>
      <c r="AF1272" s="304"/>
      <c r="AP1272" s="304"/>
      <c r="AZ1272" s="304"/>
      <c r="BJ1272" s="304"/>
      <c r="BT1272" s="304"/>
      <c r="CD1272" s="304"/>
      <c r="CN1272" s="304"/>
      <c r="CX1272" s="304"/>
      <c r="DH1272" s="304"/>
    </row>
    <row r="1273" spans="3:112" s="37" customFormat="1" hidden="1" x14ac:dyDescent="0.25">
      <c r="C1273" s="35"/>
      <c r="L1273" s="848"/>
      <c r="V1273" s="304"/>
      <c r="AF1273" s="304"/>
      <c r="AP1273" s="304"/>
      <c r="AZ1273" s="304"/>
      <c r="BJ1273" s="304"/>
      <c r="BT1273" s="304"/>
      <c r="CD1273" s="304"/>
      <c r="CN1273" s="304"/>
      <c r="CX1273" s="304"/>
      <c r="DH1273" s="304"/>
    </row>
    <row r="1274" spans="3:112" s="37" customFormat="1" hidden="1" x14ac:dyDescent="0.25">
      <c r="C1274" s="35"/>
      <c r="L1274" s="848"/>
      <c r="V1274" s="304"/>
      <c r="AF1274" s="304"/>
      <c r="AP1274" s="304"/>
      <c r="AZ1274" s="304"/>
      <c r="BJ1274" s="304"/>
      <c r="BT1274" s="304"/>
      <c r="CD1274" s="304"/>
      <c r="CN1274" s="304"/>
      <c r="CX1274" s="304"/>
      <c r="DH1274" s="304"/>
    </row>
    <row r="1275" spans="3:112" s="37" customFormat="1" hidden="1" x14ac:dyDescent="0.25">
      <c r="C1275" s="35"/>
      <c r="L1275" s="848"/>
      <c r="V1275" s="304"/>
      <c r="AF1275" s="304"/>
      <c r="AP1275" s="304"/>
      <c r="AZ1275" s="304"/>
      <c r="BJ1275" s="304"/>
      <c r="BT1275" s="304"/>
      <c r="CD1275" s="304"/>
      <c r="CN1275" s="304"/>
      <c r="CX1275" s="304"/>
      <c r="DH1275" s="304"/>
    </row>
    <row r="1276" spans="3:112" s="37" customFormat="1" hidden="1" x14ac:dyDescent="0.25">
      <c r="C1276" s="35"/>
      <c r="L1276" s="848"/>
      <c r="V1276" s="304"/>
      <c r="AF1276" s="304"/>
      <c r="AP1276" s="304"/>
      <c r="AZ1276" s="304"/>
      <c r="BJ1276" s="304"/>
      <c r="BT1276" s="304"/>
      <c r="CD1276" s="304"/>
      <c r="CN1276" s="304"/>
      <c r="CX1276" s="304"/>
      <c r="DH1276" s="304"/>
    </row>
    <row r="1277" spans="3:112" s="37" customFormat="1" hidden="1" x14ac:dyDescent="0.25">
      <c r="C1277" s="35"/>
      <c r="L1277" s="848"/>
      <c r="V1277" s="304"/>
      <c r="AF1277" s="304"/>
      <c r="AP1277" s="304"/>
      <c r="AZ1277" s="304"/>
      <c r="BJ1277" s="304"/>
      <c r="BT1277" s="304"/>
      <c r="CD1277" s="304"/>
      <c r="CN1277" s="304"/>
      <c r="CX1277" s="304"/>
      <c r="DH1277" s="304"/>
    </row>
    <row r="1278" spans="3:112" s="37" customFormat="1" hidden="1" x14ac:dyDescent="0.25">
      <c r="C1278" s="35"/>
      <c r="L1278" s="848"/>
      <c r="V1278" s="304"/>
      <c r="AF1278" s="304"/>
      <c r="AP1278" s="304"/>
      <c r="AZ1278" s="304"/>
      <c r="BJ1278" s="304"/>
      <c r="BT1278" s="304"/>
      <c r="CD1278" s="304"/>
      <c r="CN1278" s="304"/>
      <c r="CX1278" s="304"/>
      <c r="DH1278" s="304"/>
    </row>
    <row r="1279" spans="3:112" s="37" customFormat="1" hidden="1" x14ac:dyDescent="0.25">
      <c r="C1279" s="35"/>
      <c r="L1279" s="848"/>
      <c r="V1279" s="304"/>
      <c r="AF1279" s="304"/>
      <c r="AP1279" s="304"/>
      <c r="AZ1279" s="304"/>
      <c r="BJ1279" s="304"/>
      <c r="BT1279" s="304"/>
      <c r="CD1279" s="304"/>
      <c r="CN1279" s="304"/>
      <c r="CX1279" s="304"/>
      <c r="DH1279" s="304"/>
    </row>
    <row r="1280" spans="3:112" s="37" customFormat="1" hidden="1" x14ac:dyDescent="0.25">
      <c r="C1280" s="35"/>
      <c r="L1280" s="848"/>
      <c r="V1280" s="304"/>
      <c r="AF1280" s="304"/>
      <c r="AP1280" s="304"/>
      <c r="AZ1280" s="304"/>
      <c r="BJ1280" s="304"/>
      <c r="BT1280" s="304"/>
      <c r="CD1280" s="304"/>
      <c r="CN1280" s="304"/>
      <c r="CX1280" s="304"/>
      <c r="DH1280" s="304"/>
    </row>
    <row r="1281" spans="3:112" s="37" customFormat="1" hidden="1" x14ac:dyDescent="0.25">
      <c r="C1281" s="35"/>
      <c r="L1281" s="848"/>
      <c r="V1281" s="304"/>
      <c r="AF1281" s="304"/>
      <c r="AP1281" s="304"/>
      <c r="AZ1281" s="304"/>
      <c r="BJ1281" s="304"/>
      <c r="BT1281" s="304"/>
      <c r="CD1281" s="304"/>
      <c r="CN1281" s="304"/>
      <c r="CX1281" s="304"/>
      <c r="DH1281" s="304"/>
    </row>
    <row r="1282" spans="3:112" s="37" customFormat="1" hidden="1" x14ac:dyDescent="0.25">
      <c r="C1282" s="35"/>
      <c r="L1282" s="848"/>
      <c r="V1282" s="304"/>
      <c r="AF1282" s="304"/>
      <c r="AP1282" s="304"/>
      <c r="AZ1282" s="304"/>
      <c r="BJ1282" s="304"/>
      <c r="BT1282" s="304"/>
      <c r="CD1282" s="304"/>
      <c r="CN1282" s="304"/>
      <c r="CX1282" s="304"/>
      <c r="DH1282" s="304"/>
    </row>
    <row r="1283" spans="3:112" s="37" customFormat="1" hidden="1" x14ac:dyDescent="0.25">
      <c r="C1283" s="35"/>
      <c r="L1283" s="848"/>
      <c r="V1283" s="304"/>
      <c r="AF1283" s="304"/>
      <c r="AP1283" s="304"/>
      <c r="AZ1283" s="304"/>
      <c r="BJ1283" s="304"/>
      <c r="BT1283" s="304"/>
      <c r="CD1283" s="304"/>
      <c r="CN1283" s="304"/>
      <c r="CX1283" s="304"/>
      <c r="DH1283" s="304"/>
    </row>
    <row r="1284" spans="3:112" s="37" customFormat="1" hidden="1" x14ac:dyDescent="0.25">
      <c r="C1284" s="35"/>
      <c r="L1284" s="848"/>
      <c r="V1284" s="304"/>
      <c r="AF1284" s="304"/>
      <c r="AP1284" s="304"/>
      <c r="AZ1284" s="304"/>
      <c r="BJ1284" s="304"/>
      <c r="BT1284" s="304"/>
      <c r="CD1284" s="304"/>
      <c r="CN1284" s="304"/>
      <c r="CX1284" s="304"/>
      <c r="DH1284" s="304"/>
    </row>
    <row r="1285" spans="3:112" s="37" customFormat="1" hidden="1" x14ac:dyDescent="0.25">
      <c r="C1285" s="35"/>
      <c r="L1285" s="848"/>
      <c r="V1285" s="304"/>
      <c r="AF1285" s="304"/>
      <c r="AP1285" s="304"/>
      <c r="AZ1285" s="304"/>
      <c r="BJ1285" s="304"/>
      <c r="BT1285" s="304"/>
      <c r="CD1285" s="304"/>
      <c r="CN1285" s="304"/>
      <c r="CX1285" s="304"/>
      <c r="DH1285" s="304"/>
    </row>
    <row r="1286" spans="3:112" s="37" customFormat="1" hidden="1" x14ac:dyDescent="0.25">
      <c r="C1286" s="35"/>
      <c r="L1286" s="848"/>
      <c r="V1286" s="304"/>
      <c r="AF1286" s="304"/>
      <c r="AP1286" s="304"/>
      <c r="AZ1286" s="304"/>
      <c r="BJ1286" s="304"/>
      <c r="BT1286" s="304"/>
      <c r="CD1286" s="304"/>
      <c r="CN1286" s="304"/>
      <c r="CX1286" s="304"/>
      <c r="DH1286" s="304"/>
    </row>
    <row r="1287" spans="3:112" s="37" customFormat="1" hidden="1" x14ac:dyDescent="0.25">
      <c r="C1287" s="35"/>
      <c r="L1287" s="848"/>
      <c r="V1287" s="304"/>
      <c r="AF1287" s="304"/>
      <c r="AP1287" s="304"/>
      <c r="AZ1287" s="304"/>
      <c r="BJ1287" s="304"/>
      <c r="BT1287" s="304"/>
      <c r="CD1287" s="304"/>
      <c r="CN1287" s="304"/>
      <c r="CX1287" s="304"/>
      <c r="DH1287" s="304"/>
    </row>
    <row r="1288" spans="3:112" s="37" customFormat="1" hidden="1" x14ac:dyDescent="0.25">
      <c r="C1288" s="35"/>
      <c r="L1288" s="848"/>
      <c r="V1288" s="304"/>
      <c r="AF1288" s="304"/>
      <c r="AP1288" s="304"/>
      <c r="AZ1288" s="304"/>
      <c r="BJ1288" s="304"/>
      <c r="BT1288" s="304"/>
      <c r="CD1288" s="304"/>
      <c r="CN1288" s="304"/>
      <c r="CX1288" s="304"/>
      <c r="DH1288" s="304"/>
    </row>
    <row r="1289" spans="3:112" s="37" customFormat="1" hidden="1" x14ac:dyDescent="0.25">
      <c r="C1289" s="35"/>
      <c r="L1289" s="848"/>
      <c r="V1289" s="304"/>
      <c r="AF1289" s="304"/>
      <c r="AP1289" s="304"/>
      <c r="AZ1289" s="304"/>
      <c r="BJ1289" s="304"/>
      <c r="BT1289" s="304"/>
      <c r="CD1289" s="304"/>
      <c r="CN1289" s="304"/>
      <c r="CX1289" s="304"/>
      <c r="DH1289" s="304"/>
    </row>
    <row r="1290" spans="3:112" s="37" customFormat="1" hidden="1" x14ac:dyDescent="0.25">
      <c r="C1290" s="35"/>
      <c r="L1290" s="848"/>
      <c r="V1290" s="304"/>
      <c r="AF1290" s="304"/>
      <c r="AP1290" s="304"/>
      <c r="AZ1290" s="304"/>
      <c r="BJ1290" s="304"/>
      <c r="BT1290" s="304"/>
      <c r="CD1290" s="304"/>
      <c r="CN1290" s="304"/>
      <c r="CX1290" s="304"/>
      <c r="DH1290" s="304"/>
    </row>
    <row r="1291" spans="3:112" s="37" customFormat="1" hidden="1" x14ac:dyDescent="0.25">
      <c r="C1291" s="35"/>
      <c r="L1291" s="848"/>
      <c r="V1291" s="304"/>
      <c r="AF1291" s="304"/>
      <c r="AP1291" s="304"/>
      <c r="AZ1291" s="304"/>
      <c r="BJ1291" s="304"/>
      <c r="BT1291" s="304"/>
      <c r="CD1291" s="304"/>
      <c r="CN1291" s="304"/>
      <c r="CX1291" s="304"/>
      <c r="DH1291" s="304"/>
    </row>
    <row r="1292" spans="3:112" s="37" customFormat="1" hidden="1" x14ac:dyDescent="0.25">
      <c r="C1292" s="35"/>
      <c r="L1292" s="848"/>
      <c r="V1292" s="304"/>
      <c r="AF1292" s="304"/>
      <c r="AP1292" s="304"/>
      <c r="AZ1292" s="304"/>
      <c r="BJ1292" s="304"/>
      <c r="BT1292" s="304"/>
      <c r="CD1292" s="304"/>
      <c r="CN1292" s="304"/>
      <c r="CX1292" s="304"/>
      <c r="DH1292" s="304"/>
    </row>
    <row r="1293" spans="3:112" s="37" customFormat="1" hidden="1" x14ac:dyDescent="0.25">
      <c r="C1293" s="35"/>
      <c r="L1293" s="848"/>
      <c r="V1293" s="304"/>
      <c r="AF1293" s="304"/>
      <c r="AP1293" s="304"/>
      <c r="AZ1293" s="304"/>
      <c r="BJ1293" s="304"/>
      <c r="BT1293" s="304"/>
      <c r="CD1293" s="304"/>
      <c r="CN1293" s="304"/>
      <c r="CX1293" s="304"/>
      <c r="DH1293" s="304"/>
    </row>
    <row r="1294" spans="3:112" s="37" customFormat="1" hidden="1" x14ac:dyDescent="0.25">
      <c r="C1294" s="35"/>
      <c r="L1294" s="848"/>
      <c r="V1294" s="304"/>
      <c r="AF1294" s="304"/>
      <c r="AP1294" s="304"/>
      <c r="AZ1294" s="304"/>
      <c r="BJ1294" s="304"/>
      <c r="BT1294" s="304"/>
      <c r="CD1294" s="304"/>
      <c r="CN1294" s="304"/>
      <c r="CX1294" s="304"/>
      <c r="DH1294" s="304"/>
    </row>
    <row r="1295" spans="3:112" s="37" customFormat="1" hidden="1" x14ac:dyDescent="0.25">
      <c r="C1295" s="35"/>
      <c r="L1295" s="848"/>
      <c r="V1295" s="304"/>
      <c r="AF1295" s="304"/>
      <c r="AP1295" s="304"/>
      <c r="AZ1295" s="304"/>
      <c r="BJ1295" s="304"/>
      <c r="BT1295" s="304"/>
      <c r="CD1295" s="304"/>
      <c r="CN1295" s="304"/>
      <c r="CX1295" s="304"/>
      <c r="DH1295" s="304"/>
    </row>
    <row r="1296" spans="3:112" s="37" customFormat="1" hidden="1" x14ac:dyDescent="0.25">
      <c r="C1296" s="35"/>
      <c r="L1296" s="848"/>
      <c r="V1296" s="304"/>
      <c r="AF1296" s="304"/>
      <c r="AP1296" s="304"/>
      <c r="AZ1296" s="304"/>
      <c r="BJ1296" s="304"/>
      <c r="BT1296" s="304"/>
      <c r="CD1296" s="304"/>
      <c r="CN1296" s="304"/>
      <c r="CX1296" s="304"/>
      <c r="DH1296" s="304"/>
    </row>
    <row r="1297" spans="3:112" s="37" customFormat="1" hidden="1" x14ac:dyDescent="0.25">
      <c r="C1297" s="35"/>
      <c r="L1297" s="848"/>
      <c r="V1297" s="304"/>
      <c r="AF1297" s="304"/>
      <c r="AP1297" s="304"/>
      <c r="AZ1297" s="304"/>
      <c r="BJ1297" s="304"/>
      <c r="BT1297" s="304"/>
      <c r="CD1297" s="304"/>
      <c r="CN1297" s="304"/>
      <c r="CX1297" s="304"/>
      <c r="DH1297" s="304"/>
    </row>
    <row r="1298" spans="3:112" s="37" customFormat="1" hidden="1" x14ac:dyDescent="0.25">
      <c r="C1298" s="35"/>
      <c r="L1298" s="848"/>
      <c r="V1298" s="304"/>
      <c r="AF1298" s="304"/>
      <c r="AP1298" s="304"/>
      <c r="AZ1298" s="304"/>
      <c r="BJ1298" s="304"/>
      <c r="BT1298" s="304"/>
      <c r="CD1298" s="304"/>
      <c r="CN1298" s="304"/>
      <c r="CX1298" s="304"/>
      <c r="DH1298" s="304"/>
    </row>
    <row r="1299" spans="3:112" s="37" customFormat="1" hidden="1" x14ac:dyDescent="0.25">
      <c r="C1299" s="35"/>
      <c r="L1299" s="848"/>
      <c r="V1299" s="304"/>
      <c r="AF1299" s="304"/>
      <c r="AP1299" s="304"/>
      <c r="AZ1299" s="304"/>
      <c r="BJ1299" s="304"/>
      <c r="BT1299" s="304"/>
      <c r="CD1299" s="304"/>
      <c r="CN1299" s="304"/>
      <c r="CX1299" s="304"/>
      <c r="DH1299" s="304"/>
    </row>
    <row r="1300" spans="3:112" s="37" customFormat="1" hidden="1" x14ac:dyDescent="0.25">
      <c r="C1300" s="35"/>
      <c r="L1300" s="848"/>
      <c r="V1300" s="304"/>
      <c r="AF1300" s="304"/>
      <c r="AP1300" s="304"/>
      <c r="AZ1300" s="304"/>
      <c r="BJ1300" s="304"/>
      <c r="BT1300" s="304"/>
      <c r="CD1300" s="304"/>
      <c r="CN1300" s="304"/>
      <c r="CX1300" s="304"/>
      <c r="DH1300" s="304"/>
    </row>
    <row r="1301" spans="3:112" s="37" customFormat="1" hidden="1" x14ac:dyDescent="0.25">
      <c r="C1301" s="35"/>
      <c r="L1301" s="848"/>
      <c r="V1301" s="304"/>
      <c r="AF1301" s="304"/>
      <c r="AP1301" s="304"/>
      <c r="AZ1301" s="304"/>
      <c r="BJ1301" s="304"/>
      <c r="BT1301" s="304"/>
      <c r="CD1301" s="304"/>
      <c r="CN1301" s="304"/>
      <c r="CX1301" s="304"/>
      <c r="DH1301" s="304"/>
    </row>
    <row r="1302" spans="3:112" s="37" customFormat="1" hidden="1" x14ac:dyDescent="0.25">
      <c r="C1302" s="35"/>
      <c r="L1302" s="848"/>
      <c r="V1302" s="304"/>
      <c r="AF1302" s="304"/>
      <c r="AP1302" s="304"/>
      <c r="AZ1302" s="304"/>
      <c r="BJ1302" s="304"/>
      <c r="BT1302" s="304"/>
      <c r="CD1302" s="304"/>
      <c r="CN1302" s="304"/>
      <c r="CX1302" s="304"/>
      <c r="DH1302" s="304"/>
    </row>
    <row r="1303" spans="3:112" s="37" customFormat="1" hidden="1" x14ac:dyDescent="0.25">
      <c r="C1303" s="35"/>
      <c r="L1303" s="848"/>
      <c r="V1303" s="304"/>
      <c r="AF1303" s="304"/>
      <c r="AP1303" s="304"/>
      <c r="AZ1303" s="304"/>
      <c r="BJ1303" s="304"/>
      <c r="BT1303" s="304"/>
      <c r="CD1303" s="304"/>
      <c r="CN1303" s="304"/>
      <c r="CX1303" s="304"/>
      <c r="DH1303" s="304"/>
    </row>
    <row r="1304" spans="3:112" s="37" customFormat="1" hidden="1" x14ac:dyDescent="0.25">
      <c r="C1304" s="35"/>
      <c r="L1304" s="848"/>
      <c r="V1304" s="304"/>
      <c r="AF1304" s="304"/>
      <c r="AP1304" s="304"/>
      <c r="AZ1304" s="304"/>
      <c r="BJ1304" s="304"/>
      <c r="BT1304" s="304"/>
      <c r="CD1304" s="304"/>
      <c r="CN1304" s="304"/>
      <c r="CX1304" s="304"/>
      <c r="DH1304" s="304"/>
    </row>
    <row r="1305" spans="3:112" s="37" customFormat="1" hidden="1" x14ac:dyDescent="0.25">
      <c r="C1305" s="35"/>
      <c r="L1305" s="848"/>
      <c r="V1305" s="304"/>
      <c r="AF1305" s="304"/>
      <c r="AP1305" s="304"/>
      <c r="AZ1305" s="304"/>
      <c r="BJ1305" s="304"/>
      <c r="BT1305" s="304"/>
      <c r="CD1305" s="304"/>
      <c r="CN1305" s="304"/>
      <c r="CX1305" s="304"/>
      <c r="DH1305" s="304"/>
    </row>
    <row r="1306" spans="3:112" s="37" customFormat="1" hidden="1" x14ac:dyDescent="0.25">
      <c r="C1306" s="35"/>
      <c r="L1306" s="848"/>
      <c r="V1306" s="304"/>
      <c r="AF1306" s="304"/>
      <c r="AP1306" s="304"/>
      <c r="AZ1306" s="304"/>
      <c r="BJ1306" s="304"/>
      <c r="BT1306" s="304"/>
      <c r="CD1306" s="304"/>
      <c r="CN1306" s="304"/>
      <c r="CX1306" s="304"/>
      <c r="DH1306" s="304"/>
    </row>
    <row r="1307" spans="3:112" s="37" customFormat="1" hidden="1" x14ac:dyDescent="0.25">
      <c r="C1307" s="35"/>
      <c r="L1307" s="848"/>
      <c r="V1307" s="304"/>
      <c r="AF1307" s="304"/>
      <c r="AP1307" s="304"/>
      <c r="AZ1307" s="304"/>
      <c r="BJ1307" s="304"/>
      <c r="BT1307" s="304"/>
      <c r="CD1307" s="304"/>
      <c r="CN1307" s="304"/>
      <c r="CX1307" s="304"/>
      <c r="DH1307" s="304"/>
    </row>
    <row r="1308" spans="3:112" s="37" customFormat="1" hidden="1" x14ac:dyDescent="0.25">
      <c r="C1308" s="35"/>
      <c r="L1308" s="848"/>
      <c r="V1308" s="304"/>
      <c r="AF1308" s="304"/>
      <c r="AP1308" s="304"/>
      <c r="AZ1308" s="304"/>
      <c r="BJ1308" s="304"/>
      <c r="BT1308" s="304"/>
      <c r="CD1308" s="304"/>
      <c r="CN1308" s="304"/>
      <c r="CX1308" s="304"/>
      <c r="DH1308" s="304"/>
    </row>
    <row r="1309" spans="3:112" s="37" customFormat="1" hidden="1" x14ac:dyDescent="0.25">
      <c r="C1309" s="35"/>
      <c r="L1309" s="848"/>
      <c r="V1309" s="304"/>
      <c r="AF1309" s="304"/>
      <c r="AP1309" s="304"/>
      <c r="AZ1309" s="304"/>
      <c r="BJ1309" s="304"/>
      <c r="BT1309" s="304"/>
      <c r="CD1309" s="304"/>
      <c r="CN1309" s="304"/>
      <c r="CX1309" s="304"/>
      <c r="DH1309" s="304"/>
    </row>
    <row r="1310" spans="3:112" s="37" customFormat="1" hidden="1" x14ac:dyDescent="0.25">
      <c r="C1310" s="35"/>
      <c r="L1310" s="848"/>
      <c r="V1310" s="304"/>
      <c r="AF1310" s="304"/>
      <c r="AP1310" s="304"/>
      <c r="AZ1310" s="304"/>
      <c r="BJ1310" s="304"/>
      <c r="BT1310" s="304"/>
      <c r="CD1310" s="304"/>
      <c r="CN1310" s="304"/>
      <c r="CX1310" s="304"/>
      <c r="DH1310" s="304"/>
    </row>
    <row r="1311" spans="3:112" s="37" customFormat="1" hidden="1" x14ac:dyDescent="0.25">
      <c r="C1311" s="35"/>
      <c r="L1311" s="848"/>
      <c r="V1311" s="304"/>
      <c r="AF1311" s="304"/>
      <c r="AP1311" s="304"/>
      <c r="AZ1311" s="304"/>
      <c r="BJ1311" s="304"/>
      <c r="BT1311" s="304"/>
      <c r="CD1311" s="304"/>
      <c r="CN1311" s="304"/>
      <c r="CX1311" s="304"/>
      <c r="DH1311" s="304"/>
    </row>
    <row r="1312" spans="3:112" s="37" customFormat="1" hidden="1" x14ac:dyDescent="0.25">
      <c r="C1312" s="35"/>
      <c r="L1312" s="848"/>
      <c r="V1312" s="304"/>
      <c r="AF1312" s="304"/>
      <c r="AP1312" s="304"/>
      <c r="AZ1312" s="304"/>
      <c r="BJ1312" s="304"/>
      <c r="BT1312" s="304"/>
      <c r="CD1312" s="304"/>
      <c r="CN1312" s="304"/>
      <c r="CX1312" s="304"/>
      <c r="DH1312" s="304"/>
    </row>
    <row r="1313" spans="3:112" s="37" customFormat="1" hidden="1" x14ac:dyDescent="0.25">
      <c r="C1313" s="35"/>
      <c r="L1313" s="848"/>
      <c r="V1313" s="304"/>
      <c r="AF1313" s="304"/>
      <c r="AP1313" s="304"/>
      <c r="AZ1313" s="304"/>
      <c r="BJ1313" s="304"/>
      <c r="BT1313" s="304"/>
      <c r="CD1313" s="304"/>
      <c r="CN1313" s="304"/>
      <c r="CX1313" s="304"/>
      <c r="DH1313" s="304"/>
    </row>
    <row r="1314" spans="3:112" s="37" customFormat="1" hidden="1" x14ac:dyDescent="0.25">
      <c r="C1314" s="35"/>
      <c r="L1314" s="848"/>
      <c r="V1314" s="304"/>
      <c r="AF1314" s="304"/>
      <c r="AP1314" s="304"/>
      <c r="AZ1314" s="304"/>
      <c r="BJ1314" s="304"/>
      <c r="BT1314" s="304"/>
      <c r="CD1314" s="304"/>
      <c r="CN1314" s="304"/>
      <c r="CX1314" s="304"/>
      <c r="DH1314" s="304"/>
    </row>
    <row r="1315" spans="3:112" s="37" customFormat="1" hidden="1" x14ac:dyDescent="0.25">
      <c r="C1315" s="35"/>
      <c r="L1315" s="848"/>
      <c r="V1315" s="304"/>
      <c r="AF1315" s="304"/>
      <c r="AP1315" s="304"/>
      <c r="AZ1315" s="304"/>
      <c r="BJ1315" s="304"/>
      <c r="BT1315" s="304"/>
      <c r="CD1315" s="304"/>
      <c r="CN1315" s="304"/>
      <c r="CX1315" s="304"/>
      <c r="DH1315" s="304"/>
    </row>
    <row r="1316" spans="3:112" s="37" customFormat="1" hidden="1" x14ac:dyDescent="0.25">
      <c r="C1316" s="35"/>
      <c r="L1316" s="848"/>
      <c r="V1316" s="304"/>
      <c r="AF1316" s="304"/>
      <c r="AP1316" s="304"/>
      <c r="AZ1316" s="304"/>
      <c r="BJ1316" s="304"/>
      <c r="BT1316" s="304"/>
      <c r="CD1316" s="304"/>
      <c r="CN1316" s="304"/>
      <c r="CX1316" s="304"/>
      <c r="DH1316" s="304"/>
    </row>
    <row r="1317" spans="3:112" s="37" customFormat="1" hidden="1" x14ac:dyDescent="0.25">
      <c r="C1317" s="35"/>
      <c r="L1317" s="848"/>
      <c r="V1317" s="304"/>
      <c r="AF1317" s="304"/>
      <c r="AP1317" s="304"/>
      <c r="AZ1317" s="304"/>
      <c r="BJ1317" s="304"/>
      <c r="BT1317" s="304"/>
      <c r="CD1317" s="304"/>
      <c r="CN1317" s="304"/>
      <c r="CX1317" s="304"/>
      <c r="DH1317" s="304"/>
    </row>
    <row r="1318" spans="3:112" s="37" customFormat="1" hidden="1" x14ac:dyDescent="0.25">
      <c r="C1318" s="35"/>
      <c r="L1318" s="848"/>
      <c r="V1318" s="304"/>
      <c r="AF1318" s="304"/>
      <c r="AP1318" s="304"/>
      <c r="AZ1318" s="304"/>
      <c r="BJ1318" s="304"/>
      <c r="BT1318" s="304"/>
      <c r="CD1318" s="304"/>
      <c r="CN1318" s="304"/>
      <c r="CX1318" s="304"/>
      <c r="DH1318" s="304"/>
    </row>
    <row r="1319" spans="3:112" s="37" customFormat="1" hidden="1" x14ac:dyDescent="0.25">
      <c r="C1319" s="35"/>
      <c r="L1319" s="848"/>
      <c r="V1319" s="304"/>
      <c r="AF1319" s="304"/>
      <c r="AP1319" s="304"/>
      <c r="AZ1319" s="304"/>
      <c r="BJ1319" s="304"/>
      <c r="BT1319" s="304"/>
      <c r="CD1319" s="304"/>
      <c r="CN1319" s="304"/>
      <c r="CX1319" s="304"/>
      <c r="DH1319" s="304"/>
    </row>
    <row r="1320" spans="3:112" s="37" customFormat="1" hidden="1" x14ac:dyDescent="0.25">
      <c r="C1320" s="35"/>
      <c r="L1320" s="848"/>
      <c r="V1320" s="304"/>
      <c r="AF1320" s="304"/>
      <c r="AP1320" s="304"/>
      <c r="AZ1320" s="304"/>
      <c r="BJ1320" s="304"/>
      <c r="BT1320" s="304"/>
      <c r="CD1320" s="304"/>
      <c r="CN1320" s="304"/>
      <c r="CX1320" s="304"/>
      <c r="DH1320" s="304"/>
    </row>
    <row r="1321" spans="3:112" s="37" customFormat="1" hidden="1" x14ac:dyDescent="0.25">
      <c r="C1321" s="35"/>
      <c r="L1321" s="848"/>
      <c r="V1321" s="304"/>
      <c r="AF1321" s="304"/>
      <c r="AP1321" s="304"/>
      <c r="AZ1321" s="304"/>
      <c r="BJ1321" s="304"/>
      <c r="BT1321" s="304"/>
      <c r="CD1321" s="304"/>
      <c r="CN1321" s="304"/>
      <c r="CX1321" s="304"/>
      <c r="DH1321" s="304"/>
    </row>
    <row r="1322" spans="3:112" s="37" customFormat="1" hidden="1" x14ac:dyDescent="0.25">
      <c r="C1322" s="35"/>
      <c r="L1322" s="848"/>
      <c r="V1322" s="304"/>
      <c r="AF1322" s="304"/>
      <c r="AP1322" s="304"/>
      <c r="AZ1322" s="304"/>
      <c r="BJ1322" s="304"/>
      <c r="BT1322" s="304"/>
      <c r="CD1322" s="304"/>
      <c r="CN1322" s="304"/>
      <c r="CX1322" s="304"/>
      <c r="DH1322" s="304"/>
    </row>
    <row r="1323" spans="3:112" s="37" customFormat="1" hidden="1" x14ac:dyDescent="0.25">
      <c r="C1323" s="35"/>
      <c r="L1323" s="848"/>
      <c r="V1323" s="304"/>
      <c r="AF1323" s="304"/>
      <c r="AP1323" s="304"/>
      <c r="AZ1323" s="304"/>
      <c r="BJ1323" s="304"/>
      <c r="BT1323" s="304"/>
      <c r="CD1323" s="304"/>
      <c r="CN1323" s="304"/>
      <c r="CX1323" s="304"/>
      <c r="DH1323" s="304"/>
    </row>
    <row r="1324" spans="3:112" s="37" customFormat="1" hidden="1" x14ac:dyDescent="0.25">
      <c r="C1324" s="35"/>
      <c r="L1324" s="848"/>
      <c r="V1324" s="304"/>
      <c r="AF1324" s="304"/>
      <c r="AP1324" s="304"/>
      <c r="AZ1324" s="304"/>
      <c r="BJ1324" s="304"/>
      <c r="BT1324" s="304"/>
      <c r="CD1324" s="304"/>
      <c r="CN1324" s="304"/>
      <c r="CX1324" s="304"/>
      <c r="DH1324" s="304"/>
    </row>
    <row r="1325" spans="3:112" s="37" customFormat="1" hidden="1" x14ac:dyDescent="0.25">
      <c r="C1325" s="35"/>
      <c r="L1325" s="848"/>
      <c r="V1325" s="304"/>
      <c r="AF1325" s="304"/>
      <c r="AP1325" s="304"/>
      <c r="AZ1325" s="304"/>
      <c r="BJ1325" s="304"/>
      <c r="BT1325" s="304"/>
      <c r="CD1325" s="304"/>
      <c r="CN1325" s="304"/>
      <c r="CX1325" s="304"/>
      <c r="DH1325" s="304"/>
    </row>
    <row r="1326" spans="3:112" s="37" customFormat="1" hidden="1" x14ac:dyDescent="0.25">
      <c r="C1326" s="35"/>
      <c r="L1326" s="848"/>
      <c r="V1326" s="304"/>
      <c r="AF1326" s="304"/>
      <c r="AP1326" s="304"/>
      <c r="AZ1326" s="304"/>
      <c r="BJ1326" s="304"/>
      <c r="BT1326" s="304"/>
      <c r="CD1326" s="304"/>
      <c r="CN1326" s="304"/>
      <c r="CX1326" s="304"/>
      <c r="DH1326" s="304"/>
    </row>
    <row r="1327" spans="3:112" s="37" customFormat="1" hidden="1" x14ac:dyDescent="0.25">
      <c r="C1327" s="35"/>
      <c r="L1327" s="848"/>
      <c r="V1327" s="304"/>
      <c r="AF1327" s="304"/>
      <c r="AP1327" s="304"/>
      <c r="AZ1327" s="304"/>
      <c r="BJ1327" s="304"/>
      <c r="BT1327" s="304"/>
      <c r="CD1327" s="304"/>
      <c r="CN1327" s="304"/>
      <c r="CX1327" s="304"/>
      <c r="DH1327" s="304"/>
    </row>
    <row r="1328" spans="3:112" s="37" customFormat="1" hidden="1" x14ac:dyDescent="0.25">
      <c r="C1328" s="35"/>
      <c r="L1328" s="848"/>
      <c r="V1328" s="304"/>
      <c r="AF1328" s="304"/>
      <c r="AP1328" s="304"/>
      <c r="AZ1328" s="304"/>
      <c r="BJ1328" s="304"/>
      <c r="BT1328" s="304"/>
      <c r="CD1328" s="304"/>
      <c r="CN1328" s="304"/>
      <c r="CX1328" s="304"/>
      <c r="DH1328" s="304"/>
    </row>
    <row r="1329" spans="3:112" s="37" customFormat="1" hidden="1" x14ac:dyDescent="0.25">
      <c r="C1329" s="35"/>
      <c r="L1329" s="848"/>
      <c r="V1329" s="304"/>
      <c r="AF1329" s="304"/>
      <c r="AP1329" s="304"/>
      <c r="AZ1329" s="304"/>
      <c r="BJ1329" s="304"/>
      <c r="BT1329" s="304"/>
      <c r="CD1329" s="304"/>
      <c r="CN1329" s="304"/>
      <c r="CX1329" s="304"/>
      <c r="DH1329" s="304"/>
    </row>
    <row r="1330" spans="3:112" s="37" customFormat="1" hidden="1" x14ac:dyDescent="0.25">
      <c r="C1330" s="35"/>
      <c r="L1330" s="848"/>
      <c r="V1330" s="304"/>
      <c r="AF1330" s="304"/>
      <c r="AP1330" s="304"/>
      <c r="AZ1330" s="304"/>
      <c r="BJ1330" s="304"/>
      <c r="BT1330" s="304"/>
      <c r="CD1330" s="304"/>
      <c r="CN1330" s="304"/>
      <c r="CX1330" s="304"/>
      <c r="DH1330" s="304"/>
    </row>
    <row r="1331" spans="3:112" s="37" customFormat="1" hidden="1" x14ac:dyDescent="0.25">
      <c r="C1331" s="35"/>
      <c r="L1331" s="848"/>
      <c r="V1331" s="304"/>
      <c r="AF1331" s="304"/>
      <c r="AP1331" s="304"/>
      <c r="AZ1331" s="304"/>
      <c r="BJ1331" s="304"/>
      <c r="BT1331" s="304"/>
      <c r="CD1331" s="304"/>
      <c r="CN1331" s="304"/>
      <c r="CX1331" s="304"/>
      <c r="DH1331" s="304"/>
    </row>
    <row r="1332" spans="3:112" s="37" customFormat="1" hidden="1" x14ac:dyDescent="0.25">
      <c r="C1332" s="35"/>
      <c r="L1332" s="848"/>
      <c r="V1332" s="304"/>
      <c r="AF1332" s="304"/>
      <c r="AP1332" s="304"/>
      <c r="AZ1332" s="304"/>
      <c r="BJ1332" s="304"/>
      <c r="BT1332" s="304"/>
      <c r="CD1332" s="304"/>
      <c r="CN1332" s="304"/>
      <c r="CX1332" s="304"/>
      <c r="DH1332" s="304"/>
    </row>
    <row r="1333" spans="3:112" s="37" customFormat="1" hidden="1" x14ac:dyDescent="0.25">
      <c r="C1333" s="35"/>
      <c r="L1333" s="848"/>
      <c r="V1333" s="304"/>
      <c r="AF1333" s="304"/>
      <c r="AP1333" s="304"/>
      <c r="AZ1333" s="304"/>
      <c r="BJ1333" s="304"/>
      <c r="BT1333" s="304"/>
      <c r="CD1333" s="304"/>
      <c r="CN1333" s="304"/>
      <c r="CX1333" s="304"/>
      <c r="DH1333" s="304"/>
    </row>
    <row r="1334" spans="3:112" s="37" customFormat="1" hidden="1" x14ac:dyDescent="0.25">
      <c r="C1334" s="35"/>
      <c r="L1334" s="848"/>
      <c r="V1334" s="304"/>
      <c r="AF1334" s="304"/>
      <c r="AP1334" s="304"/>
      <c r="AZ1334" s="304"/>
      <c r="BJ1334" s="304"/>
      <c r="BT1334" s="304"/>
      <c r="CD1334" s="304"/>
      <c r="CN1334" s="304"/>
      <c r="CX1334" s="304"/>
      <c r="DH1334" s="304"/>
    </row>
    <row r="1335" spans="3:112" s="37" customFormat="1" hidden="1" x14ac:dyDescent="0.25">
      <c r="C1335" s="35"/>
      <c r="L1335" s="848"/>
      <c r="V1335" s="304"/>
      <c r="AF1335" s="304"/>
      <c r="AP1335" s="304"/>
      <c r="AZ1335" s="304"/>
      <c r="BJ1335" s="304"/>
      <c r="BT1335" s="304"/>
      <c r="CD1335" s="304"/>
      <c r="CN1335" s="304"/>
      <c r="CX1335" s="304"/>
      <c r="DH1335" s="304"/>
    </row>
    <row r="1336" spans="3:112" s="37" customFormat="1" hidden="1" x14ac:dyDescent="0.25">
      <c r="C1336" s="35"/>
      <c r="L1336" s="848"/>
      <c r="V1336" s="304"/>
      <c r="AF1336" s="304"/>
      <c r="AP1336" s="304"/>
      <c r="AZ1336" s="304"/>
      <c r="BJ1336" s="304"/>
      <c r="BT1336" s="304"/>
      <c r="CD1336" s="304"/>
      <c r="CN1336" s="304"/>
      <c r="CX1336" s="304"/>
      <c r="DH1336" s="304"/>
    </row>
    <row r="1337" spans="3:112" s="37" customFormat="1" hidden="1" x14ac:dyDescent="0.25">
      <c r="C1337" s="35"/>
      <c r="L1337" s="848"/>
      <c r="V1337" s="304"/>
      <c r="AF1337" s="304"/>
      <c r="AP1337" s="304"/>
      <c r="AZ1337" s="304"/>
      <c r="BJ1337" s="304"/>
      <c r="BT1337" s="304"/>
      <c r="CD1337" s="304"/>
      <c r="CN1337" s="304"/>
      <c r="CX1337" s="304"/>
      <c r="DH1337" s="304"/>
    </row>
    <row r="1338" spans="3:112" s="37" customFormat="1" hidden="1" x14ac:dyDescent="0.25">
      <c r="C1338" s="35"/>
      <c r="L1338" s="848"/>
      <c r="V1338" s="304"/>
      <c r="AF1338" s="304"/>
      <c r="AP1338" s="304"/>
      <c r="AZ1338" s="304"/>
      <c r="BJ1338" s="304"/>
      <c r="BT1338" s="304"/>
      <c r="CD1338" s="304"/>
      <c r="CN1338" s="304"/>
      <c r="CX1338" s="304"/>
      <c r="DH1338" s="304"/>
    </row>
    <row r="1339" spans="3:112" s="37" customFormat="1" hidden="1" x14ac:dyDescent="0.25">
      <c r="C1339" s="35"/>
      <c r="L1339" s="848"/>
      <c r="V1339" s="304"/>
      <c r="AF1339" s="304"/>
      <c r="AP1339" s="304"/>
      <c r="AZ1339" s="304"/>
      <c r="BJ1339" s="304"/>
      <c r="BT1339" s="304"/>
      <c r="CD1339" s="304"/>
      <c r="CN1339" s="304"/>
      <c r="CX1339" s="304"/>
      <c r="DH1339" s="304"/>
    </row>
    <row r="1340" spans="3:112" s="37" customFormat="1" hidden="1" x14ac:dyDescent="0.25">
      <c r="C1340" s="35"/>
      <c r="L1340" s="848"/>
      <c r="V1340" s="304"/>
      <c r="AF1340" s="304"/>
      <c r="AP1340" s="304"/>
      <c r="AZ1340" s="304"/>
      <c r="BJ1340" s="304"/>
      <c r="BT1340" s="304"/>
      <c r="CD1340" s="304"/>
      <c r="CN1340" s="304"/>
      <c r="CX1340" s="304"/>
      <c r="DH1340" s="304"/>
    </row>
    <row r="1341" spans="3:112" s="37" customFormat="1" hidden="1" x14ac:dyDescent="0.25">
      <c r="C1341" s="35"/>
      <c r="L1341" s="848"/>
      <c r="V1341" s="304"/>
      <c r="AF1341" s="304"/>
      <c r="AP1341" s="304"/>
      <c r="AZ1341" s="304"/>
      <c r="BJ1341" s="304"/>
      <c r="BT1341" s="304"/>
      <c r="CD1341" s="304"/>
      <c r="CN1341" s="304"/>
      <c r="CX1341" s="304"/>
      <c r="DH1341" s="304"/>
    </row>
    <row r="1342" spans="3:112" s="37" customFormat="1" hidden="1" x14ac:dyDescent="0.25">
      <c r="C1342" s="35"/>
      <c r="L1342" s="848"/>
      <c r="V1342" s="304"/>
      <c r="AF1342" s="304"/>
      <c r="AP1342" s="304"/>
      <c r="AZ1342" s="304"/>
      <c r="BJ1342" s="304"/>
      <c r="BT1342" s="304"/>
      <c r="CD1342" s="304"/>
      <c r="CN1342" s="304"/>
      <c r="CX1342" s="304"/>
      <c r="DH1342" s="304"/>
    </row>
    <row r="1343" spans="3:112" s="37" customFormat="1" hidden="1" x14ac:dyDescent="0.25">
      <c r="C1343" s="35"/>
      <c r="L1343" s="848"/>
      <c r="V1343" s="304"/>
      <c r="AF1343" s="304"/>
      <c r="AP1343" s="304"/>
      <c r="AZ1343" s="304"/>
      <c r="BJ1343" s="304"/>
      <c r="BT1343" s="304"/>
      <c r="CD1343" s="304"/>
      <c r="CN1343" s="304"/>
      <c r="CX1343" s="304"/>
      <c r="DH1343" s="304"/>
    </row>
    <row r="1344" spans="3:112" s="37" customFormat="1" hidden="1" x14ac:dyDescent="0.25">
      <c r="C1344" s="35"/>
      <c r="L1344" s="848"/>
      <c r="V1344" s="304"/>
      <c r="AF1344" s="304"/>
      <c r="AP1344" s="304"/>
      <c r="AZ1344" s="304"/>
      <c r="BJ1344" s="304"/>
      <c r="BT1344" s="304"/>
      <c r="CD1344" s="304"/>
      <c r="CN1344" s="304"/>
      <c r="CX1344" s="304"/>
      <c r="DH1344" s="304"/>
    </row>
    <row r="1345" spans="3:112" s="37" customFormat="1" hidden="1" x14ac:dyDescent="0.25">
      <c r="C1345" s="35"/>
      <c r="L1345" s="848"/>
      <c r="V1345" s="304"/>
      <c r="AF1345" s="304"/>
      <c r="AP1345" s="304"/>
      <c r="AZ1345" s="304"/>
      <c r="BJ1345" s="304"/>
      <c r="BT1345" s="304"/>
      <c r="CD1345" s="304"/>
      <c r="CN1345" s="304"/>
      <c r="CX1345" s="304"/>
      <c r="DH1345" s="304"/>
    </row>
    <row r="1346" spans="3:112" s="37" customFormat="1" hidden="1" x14ac:dyDescent="0.25">
      <c r="C1346" s="35"/>
      <c r="L1346" s="848"/>
      <c r="V1346" s="304"/>
      <c r="AF1346" s="304"/>
      <c r="AP1346" s="304"/>
      <c r="AZ1346" s="304"/>
      <c r="BJ1346" s="304"/>
      <c r="BT1346" s="304"/>
      <c r="CD1346" s="304"/>
      <c r="CN1346" s="304"/>
      <c r="CX1346" s="304"/>
      <c r="DH1346" s="304"/>
    </row>
    <row r="1347" spans="3:112" s="37" customFormat="1" hidden="1" x14ac:dyDescent="0.25">
      <c r="C1347" s="35"/>
      <c r="L1347" s="848"/>
      <c r="V1347" s="304"/>
      <c r="AF1347" s="304"/>
      <c r="AP1347" s="304"/>
      <c r="AZ1347" s="304"/>
      <c r="BJ1347" s="304"/>
      <c r="BT1347" s="304"/>
      <c r="CD1347" s="304"/>
      <c r="CN1347" s="304"/>
      <c r="CX1347" s="304"/>
      <c r="DH1347" s="304"/>
    </row>
    <row r="1348" spans="3:112" s="37" customFormat="1" hidden="1" x14ac:dyDescent="0.25">
      <c r="C1348" s="35"/>
      <c r="L1348" s="848"/>
      <c r="V1348" s="304"/>
      <c r="AF1348" s="304"/>
      <c r="AP1348" s="304"/>
      <c r="AZ1348" s="304"/>
      <c r="BJ1348" s="304"/>
      <c r="BT1348" s="304"/>
      <c r="CD1348" s="304"/>
      <c r="CN1348" s="304"/>
      <c r="CX1348" s="304"/>
      <c r="DH1348" s="304"/>
    </row>
    <row r="1349" spans="3:112" s="37" customFormat="1" hidden="1" x14ac:dyDescent="0.25">
      <c r="C1349" s="35"/>
      <c r="L1349" s="848"/>
      <c r="V1349" s="304"/>
      <c r="AF1349" s="304"/>
      <c r="AP1349" s="304"/>
      <c r="AZ1349" s="304"/>
      <c r="BJ1349" s="304"/>
      <c r="BT1349" s="304"/>
      <c r="CD1349" s="304"/>
      <c r="CN1349" s="304"/>
      <c r="CX1349" s="304"/>
      <c r="DH1349" s="304"/>
    </row>
    <row r="1350" spans="3:112" s="37" customFormat="1" hidden="1" x14ac:dyDescent="0.25">
      <c r="C1350" s="35"/>
      <c r="L1350" s="848"/>
      <c r="V1350" s="304"/>
      <c r="AF1350" s="304"/>
      <c r="AP1350" s="304"/>
      <c r="AZ1350" s="304"/>
      <c r="BJ1350" s="304"/>
      <c r="BT1350" s="304"/>
      <c r="CD1350" s="304"/>
      <c r="CN1350" s="304"/>
      <c r="CX1350" s="304"/>
      <c r="DH1350" s="304"/>
    </row>
    <row r="1351" spans="3:112" s="37" customFormat="1" hidden="1" x14ac:dyDescent="0.25">
      <c r="C1351" s="35"/>
      <c r="L1351" s="848"/>
      <c r="V1351" s="304"/>
      <c r="AF1351" s="304"/>
      <c r="AP1351" s="304"/>
      <c r="AZ1351" s="304"/>
      <c r="BJ1351" s="304"/>
      <c r="BT1351" s="304"/>
      <c r="CD1351" s="304"/>
      <c r="CN1351" s="304"/>
      <c r="CX1351" s="304"/>
      <c r="DH1351" s="304"/>
    </row>
    <row r="1352" spans="3:112" s="37" customFormat="1" hidden="1" x14ac:dyDescent="0.25">
      <c r="C1352" s="35"/>
      <c r="L1352" s="848"/>
      <c r="V1352" s="304"/>
      <c r="AF1352" s="304"/>
      <c r="AP1352" s="304"/>
      <c r="AZ1352" s="304"/>
      <c r="BJ1352" s="304"/>
      <c r="BT1352" s="304"/>
      <c r="CD1352" s="304"/>
      <c r="CN1352" s="304"/>
      <c r="CX1352" s="304"/>
      <c r="DH1352" s="304"/>
    </row>
    <row r="1353" spans="3:112" s="37" customFormat="1" hidden="1" x14ac:dyDescent="0.25">
      <c r="C1353" s="35"/>
      <c r="L1353" s="848"/>
      <c r="V1353" s="304"/>
      <c r="AF1353" s="304"/>
      <c r="AP1353" s="304"/>
      <c r="AZ1353" s="304"/>
      <c r="BJ1353" s="304"/>
      <c r="BT1353" s="304"/>
      <c r="CD1353" s="304"/>
      <c r="CN1353" s="304"/>
      <c r="CX1353" s="304"/>
      <c r="DH1353" s="304"/>
    </row>
    <row r="1354" spans="3:112" s="37" customFormat="1" hidden="1" x14ac:dyDescent="0.25">
      <c r="C1354" s="35"/>
      <c r="L1354" s="848"/>
      <c r="V1354" s="304"/>
      <c r="AF1354" s="304"/>
      <c r="AP1354" s="304"/>
      <c r="AZ1354" s="304"/>
      <c r="BJ1354" s="304"/>
      <c r="BT1354" s="304"/>
      <c r="CD1354" s="304"/>
      <c r="CN1354" s="304"/>
      <c r="CX1354" s="304"/>
      <c r="DH1354" s="304"/>
    </row>
    <row r="1355" spans="3:112" s="37" customFormat="1" hidden="1" x14ac:dyDescent="0.25">
      <c r="C1355" s="35"/>
      <c r="L1355" s="848"/>
      <c r="V1355" s="304"/>
      <c r="AF1355" s="304"/>
      <c r="AP1355" s="304"/>
      <c r="AZ1355" s="304"/>
      <c r="BJ1355" s="304"/>
      <c r="BT1355" s="304"/>
      <c r="CD1355" s="304"/>
      <c r="CN1355" s="304"/>
      <c r="CX1355" s="304"/>
      <c r="DH1355" s="304"/>
    </row>
    <row r="1356" spans="3:112" s="37" customFormat="1" hidden="1" x14ac:dyDescent="0.25">
      <c r="C1356" s="35"/>
      <c r="L1356" s="848"/>
      <c r="V1356" s="304"/>
      <c r="AF1356" s="304"/>
      <c r="AP1356" s="304"/>
      <c r="AZ1356" s="304"/>
      <c r="BJ1356" s="304"/>
      <c r="BT1356" s="304"/>
      <c r="CD1356" s="304"/>
      <c r="CN1356" s="304"/>
      <c r="CX1356" s="304"/>
      <c r="DH1356" s="304"/>
    </row>
    <row r="1357" spans="3:112" s="37" customFormat="1" hidden="1" x14ac:dyDescent="0.25">
      <c r="C1357" s="35"/>
      <c r="L1357" s="848"/>
      <c r="V1357" s="304"/>
      <c r="AF1357" s="304"/>
      <c r="AP1357" s="304"/>
      <c r="AZ1357" s="304"/>
      <c r="BJ1357" s="304"/>
      <c r="BT1357" s="304"/>
      <c r="CD1357" s="304"/>
      <c r="CN1357" s="304"/>
      <c r="CX1357" s="304"/>
      <c r="DH1357" s="304"/>
    </row>
    <row r="1358" spans="3:112" s="37" customFormat="1" hidden="1" x14ac:dyDescent="0.25">
      <c r="C1358" s="35"/>
      <c r="L1358" s="848"/>
      <c r="V1358" s="304"/>
      <c r="AF1358" s="304"/>
      <c r="AP1358" s="304"/>
      <c r="AZ1358" s="304"/>
      <c r="BJ1358" s="304"/>
      <c r="BT1358" s="304"/>
      <c r="CD1358" s="304"/>
      <c r="CN1358" s="304"/>
      <c r="CX1358" s="304"/>
      <c r="DH1358" s="304"/>
    </row>
    <row r="1359" spans="3:112" s="37" customFormat="1" hidden="1" x14ac:dyDescent="0.25">
      <c r="C1359" s="35"/>
      <c r="L1359" s="848"/>
      <c r="V1359" s="304"/>
      <c r="AF1359" s="304"/>
      <c r="AP1359" s="304"/>
      <c r="AZ1359" s="304"/>
      <c r="BJ1359" s="304"/>
      <c r="BT1359" s="304"/>
      <c r="CD1359" s="304"/>
      <c r="CN1359" s="304"/>
      <c r="CX1359" s="304"/>
      <c r="DH1359" s="304"/>
    </row>
    <row r="1360" spans="3:112" s="37" customFormat="1" hidden="1" x14ac:dyDescent="0.25">
      <c r="C1360" s="35"/>
      <c r="L1360" s="848"/>
      <c r="V1360" s="304"/>
      <c r="AF1360" s="304"/>
      <c r="AP1360" s="304"/>
      <c r="AZ1360" s="304"/>
      <c r="BJ1360" s="304"/>
      <c r="BT1360" s="304"/>
      <c r="CD1360" s="304"/>
      <c r="CN1360" s="304"/>
      <c r="CX1360" s="304"/>
      <c r="DH1360" s="304"/>
    </row>
    <row r="1361" spans="3:112" s="37" customFormat="1" hidden="1" x14ac:dyDescent="0.25">
      <c r="C1361" s="35"/>
      <c r="L1361" s="848"/>
      <c r="V1361" s="304"/>
      <c r="AF1361" s="304"/>
      <c r="AP1361" s="304"/>
      <c r="AZ1361" s="304"/>
      <c r="BJ1361" s="304"/>
      <c r="BT1361" s="304"/>
      <c r="CD1361" s="304"/>
      <c r="CN1361" s="304"/>
      <c r="CX1361" s="304"/>
      <c r="DH1361" s="304"/>
    </row>
    <row r="1362" spans="3:112" s="37" customFormat="1" hidden="1" x14ac:dyDescent="0.25">
      <c r="C1362" s="35"/>
      <c r="L1362" s="848"/>
      <c r="V1362" s="304"/>
      <c r="AF1362" s="304"/>
      <c r="AP1362" s="304"/>
      <c r="AZ1362" s="304"/>
      <c r="BJ1362" s="304"/>
      <c r="BT1362" s="304"/>
      <c r="CD1362" s="304"/>
      <c r="CN1362" s="304"/>
      <c r="CX1362" s="304"/>
      <c r="DH1362" s="304"/>
    </row>
    <row r="1363" spans="3:112" s="37" customFormat="1" hidden="1" x14ac:dyDescent="0.25">
      <c r="C1363" s="35"/>
      <c r="L1363" s="848"/>
      <c r="V1363" s="304"/>
      <c r="AF1363" s="304"/>
      <c r="AP1363" s="304"/>
      <c r="AZ1363" s="304"/>
      <c r="BJ1363" s="304"/>
      <c r="BT1363" s="304"/>
      <c r="CD1363" s="304"/>
      <c r="CN1363" s="304"/>
      <c r="CX1363" s="304"/>
      <c r="DH1363" s="304"/>
    </row>
    <row r="1364" spans="3:112" s="37" customFormat="1" hidden="1" x14ac:dyDescent="0.25">
      <c r="C1364" s="35"/>
      <c r="L1364" s="848"/>
      <c r="V1364" s="304"/>
      <c r="AF1364" s="304"/>
      <c r="AP1364" s="304"/>
      <c r="AZ1364" s="304"/>
      <c r="BJ1364" s="304"/>
      <c r="BT1364" s="304"/>
      <c r="CD1364" s="304"/>
      <c r="CN1364" s="304"/>
      <c r="CX1364" s="304"/>
      <c r="DH1364" s="304"/>
    </row>
    <row r="1365" spans="3:112" s="37" customFormat="1" hidden="1" x14ac:dyDescent="0.25">
      <c r="C1365" s="35"/>
      <c r="L1365" s="848"/>
      <c r="V1365" s="304"/>
      <c r="AF1365" s="304"/>
      <c r="AP1365" s="304"/>
      <c r="AZ1365" s="304"/>
      <c r="BJ1365" s="304"/>
      <c r="BT1365" s="304"/>
      <c r="CD1365" s="304"/>
      <c r="CN1365" s="304"/>
      <c r="CX1365" s="304"/>
      <c r="DH1365" s="304"/>
    </row>
    <row r="1366" spans="3:112" s="37" customFormat="1" hidden="1" x14ac:dyDescent="0.25">
      <c r="C1366" s="35"/>
      <c r="L1366" s="848"/>
      <c r="V1366" s="304"/>
      <c r="AF1366" s="304"/>
      <c r="AP1366" s="304"/>
      <c r="AZ1366" s="304"/>
      <c r="BJ1366" s="304"/>
      <c r="BT1366" s="304"/>
      <c r="CD1366" s="304"/>
      <c r="CN1366" s="304"/>
      <c r="CX1366" s="304"/>
      <c r="DH1366" s="304"/>
    </row>
    <row r="1367" spans="3:112" s="37" customFormat="1" hidden="1" x14ac:dyDescent="0.25">
      <c r="C1367" s="35"/>
      <c r="L1367" s="848"/>
      <c r="V1367" s="304"/>
      <c r="AF1367" s="304"/>
      <c r="AP1367" s="304"/>
      <c r="AZ1367" s="304"/>
      <c r="BJ1367" s="304"/>
      <c r="BT1367" s="304"/>
      <c r="CD1367" s="304"/>
      <c r="CN1367" s="304"/>
      <c r="CX1367" s="304"/>
      <c r="DH1367" s="304"/>
    </row>
    <row r="1368" spans="3:112" s="37" customFormat="1" hidden="1" x14ac:dyDescent="0.25">
      <c r="C1368" s="35"/>
      <c r="L1368" s="848"/>
      <c r="V1368" s="304"/>
      <c r="AF1368" s="304"/>
      <c r="AP1368" s="304"/>
      <c r="AZ1368" s="304"/>
      <c r="BJ1368" s="304"/>
      <c r="BT1368" s="304"/>
      <c r="CD1368" s="304"/>
      <c r="CN1368" s="304"/>
      <c r="CX1368" s="304"/>
      <c r="DH1368" s="304"/>
    </row>
  </sheetData>
  <mergeCells count="110">
    <mergeCell ref="CX10:DF10"/>
    <mergeCell ref="DH10:DP10"/>
    <mergeCell ref="B5:AD5"/>
    <mergeCell ref="B6:AD6"/>
    <mergeCell ref="B7:AD7"/>
    <mergeCell ref="AF5:BH5"/>
    <mergeCell ref="AF6:BH6"/>
    <mergeCell ref="AF7:BH7"/>
    <mergeCell ref="BJ5:CL5"/>
    <mergeCell ref="BJ6:CL6"/>
    <mergeCell ref="BJ7:CL7"/>
    <mergeCell ref="CN5:DP5"/>
    <mergeCell ref="CN6:DP6"/>
    <mergeCell ref="CN7:DP7"/>
    <mergeCell ref="B10:J10"/>
    <mergeCell ref="L10:T10"/>
    <mergeCell ref="AF10:AN10"/>
    <mergeCell ref="AP10:AX10"/>
    <mergeCell ref="AZ10:BH10"/>
    <mergeCell ref="V10:AD10"/>
    <mergeCell ref="B8:I8"/>
    <mergeCell ref="B9:H9"/>
    <mergeCell ref="L58:M58"/>
    <mergeCell ref="B50:E50"/>
    <mergeCell ref="B58:C58"/>
    <mergeCell ref="L11:O11"/>
    <mergeCell ref="Q11:S11"/>
    <mergeCell ref="L20:T21"/>
    <mergeCell ref="L44:Q44"/>
    <mergeCell ref="O47:Q47"/>
    <mergeCell ref="L50:O50"/>
    <mergeCell ref="E47:G47"/>
    <mergeCell ref="B11:E11"/>
    <mergeCell ref="G11:I11"/>
    <mergeCell ref="B20:J21"/>
    <mergeCell ref="B44:G44"/>
    <mergeCell ref="Y47:AA47"/>
    <mergeCell ref="V50:Y50"/>
    <mergeCell ref="V58:W58"/>
    <mergeCell ref="AI47:AK47"/>
    <mergeCell ref="AF50:AI50"/>
    <mergeCell ref="AF58:AG58"/>
    <mergeCell ref="V11:Y11"/>
    <mergeCell ref="AA11:AC11"/>
    <mergeCell ref="V20:AD21"/>
    <mergeCell ref="V44:AA44"/>
    <mergeCell ref="AF11:AI11"/>
    <mergeCell ref="AK11:AM11"/>
    <mergeCell ref="AF20:AN21"/>
    <mergeCell ref="AF44:AK44"/>
    <mergeCell ref="AS47:AU47"/>
    <mergeCell ref="AP50:AS50"/>
    <mergeCell ref="AP58:AQ58"/>
    <mergeCell ref="AZ20:BH21"/>
    <mergeCell ref="BJ20:BR21"/>
    <mergeCell ref="BC47:BE47"/>
    <mergeCell ref="BM47:BO47"/>
    <mergeCell ref="AZ58:BA58"/>
    <mergeCell ref="BJ58:BK58"/>
    <mergeCell ref="CS11:CU11"/>
    <mergeCell ref="CD10:CL10"/>
    <mergeCell ref="BJ10:BR10"/>
    <mergeCell ref="BT10:CB10"/>
    <mergeCell ref="CN20:CV21"/>
    <mergeCell ref="AP11:AS11"/>
    <mergeCell ref="AU11:AW11"/>
    <mergeCell ref="AP20:AX21"/>
    <mergeCell ref="AP44:AU44"/>
    <mergeCell ref="AZ11:BC11"/>
    <mergeCell ref="BE11:BG11"/>
    <mergeCell ref="BJ11:BM11"/>
    <mergeCell ref="BO11:BQ11"/>
    <mergeCell ref="BT11:BW11"/>
    <mergeCell ref="AZ44:BE44"/>
    <mergeCell ref="BJ44:BO44"/>
    <mergeCell ref="BT44:BY44"/>
    <mergeCell ref="CN10:CV10"/>
    <mergeCell ref="AZ50:BC50"/>
    <mergeCell ref="BJ50:BM50"/>
    <mergeCell ref="BT50:BW50"/>
    <mergeCell ref="CD50:CG50"/>
    <mergeCell ref="CN50:CQ50"/>
    <mergeCell ref="BT58:BU58"/>
    <mergeCell ref="CD58:CE58"/>
    <mergeCell ref="CN58:CO58"/>
    <mergeCell ref="BY11:CA11"/>
    <mergeCell ref="CD11:CG11"/>
    <mergeCell ref="CI11:CK11"/>
    <mergeCell ref="CN11:CQ11"/>
    <mergeCell ref="BW47:BY47"/>
    <mergeCell ref="CG47:CI47"/>
    <mergeCell ref="CQ47:CS47"/>
    <mergeCell ref="BT20:CB21"/>
    <mergeCell ref="CD20:CL21"/>
    <mergeCell ref="CX50:DA50"/>
    <mergeCell ref="DH50:DK50"/>
    <mergeCell ref="CX44:DC44"/>
    <mergeCell ref="DH44:DM44"/>
    <mergeCell ref="CD44:CI44"/>
    <mergeCell ref="CN44:CS44"/>
    <mergeCell ref="CX11:DA11"/>
    <mergeCell ref="DC11:DE11"/>
    <mergeCell ref="DH11:DK11"/>
    <mergeCell ref="DM11:DO11"/>
    <mergeCell ref="CX20:DF21"/>
    <mergeCell ref="DH20:DP21"/>
    <mergeCell ref="DA47:DC47"/>
    <mergeCell ref="DK47:DM47"/>
    <mergeCell ref="CX58:CY58"/>
    <mergeCell ref="DH58:DI58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CED9-49D6-4080-8488-28147338FB33}">
  <dimension ref="A1:AT159"/>
  <sheetViews>
    <sheetView topLeftCell="A28" zoomScale="93" zoomScaleNormal="93" workbookViewId="0">
      <selection activeCell="L48" sqref="L48"/>
    </sheetView>
  </sheetViews>
  <sheetFormatPr baseColWidth="10" defaultColWidth="0" defaultRowHeight="15" zeroHeight="1" x14ac:dyDescent="0.25"/>
  <cols>
    <col min="1" max="1" width="7.42578125" style="37" customWidth="1"/>
    <col min="2" max="2" width="12.5703125" customWidth="1"/>
    <col min="3" max="3" width="21.5703125" customWidth="1"/>
    <col min="4" max="4" width="15.28515625" customWidth="1"/>
    <col min="5" max="5" width="11.42578125" customWidth="1"/>
    <col min="6" max="6" width="17.28515625" customWidth="1"/>
    <col min="7" max="7" width="21.42578125" customWidth="1"/>
    <col min="8" max="8" width="4.140625" style="37" customWidth="1"/>
    <col min="9" max="9" width="12.42578125" customWidth="1"/>
    <col min="10" max="10" width="19.140625" customWidth="1"/>
    <col min="11" max="11" width="14.140625" customWidth="1"/>
    <col min="12" max="12" width="22.85546875" customWidth="1"/>
    <col min="13" max="13" width="13.7109375" customWidth="1"/>
    <col min="14" max="14" width="21" customWidth="1"/>
    <col min="15" max="15" width="5.140625" style="37" customWidth="1"/>
    <col min="16" max="16" width="22.5703125" customWidth="1"/>
    <col min="17" max="17" width="18.140625" customWidth="1"/>
    <col min="18" max="18" width="17.42578125" customWidth="1"/>
    <col min="19" max="19" width="20.85546875" customWidth="1"/>
    <col min="20" max="20" width="20.28515625" customWidth="1"/>
    <col min="21" max="21" width="17.42578125" customWidth="1"/>
    <col min="22" max="23" width="19" customWidth="1"/>
    <col min="24" max="25" width="11.42578125" style="37" customWidth="1"/>
    <col min="26" max="26" width="15.140625" style="37" hidden="1"/>
    <col min="27" max="27" width="15.42578125" style="37" hidden="1"/>
    <col min="28" max="28" width="24.5703125" style="37" hidden="1"/>
    <col min="29" max="29" width="18.85546875" style="37" hidden="1"/>
    <col min="30" max="46" width="0" style="37" hidden="1"/>
    <col min="47" max="16384" width="11.42578125" hidden="1"/>
  </cols>
  <sheetData>
    <row r="1" spans="1:46" s="37" customFormat="1" x14ac:dyDescent="0.25"/>
    <row r="2" spans="1:46" s="37" customFormat="1" x14ac:dyDescent="0.25"/>
    <row r="3" spans="1:46" s="387" customFormat="1" ht="21" x14ac:dyDescent="0.35">
      <c r="B3" s="1470" t="s">
        <v>71</v>
      </c>
      <c r="C3" s="1470"/>
      <c r="D3" s="1470"/>
      <c r="E3" s="1470"/>
      <c r="F3" s="1470"/>
      <c r="G3" s="1470"/>
      <c r="H3" s="1470"/>
      <c r="I3" s="1470"/>
      <c r="J3" s="1470"/>
      <c r="K3" s="1470"/>
      <c r="L3" s="1470"/>
      <c r="M3" s="1470"/>
      <c r="N3" s="1470"/>
      <c r="O3" s="1470"/>
      <c r="P3" s="1470"/>
      <c r="Q3" s="1470"/>
      <c r="R3" s="1470"/>
      <c r="S3" s="1470"/>
      <c r="T3" s="1470"/>
      <c r="U3" s="1470"/>
      <c r="V3" s="1470"/>
      <c r="W3" s="1470"/>
    </row>
    <row r="4" spans="1:46" s="387" customFormat="1" ht="21" x14ac:dyDescent="0.35">
      <c r="B4" s="1470" t="s">
        <v>592</v>
      </c>
      <c r="C4" s="1470"/>
      <c r="D4" s="1470"/>
      <c r="E4" s="1470"/>
      <c r="F4" s="1470"/>
      <c r="G4" s="1470"/>
      <c r="H4" s="1470"/>
      <c r="I4" s="1470"/>
      <c r="J4" s="1470"/>
      <c r="K4" s="1470"/>
      <c r="L4" s="1470"/>
      <c r="M4" s="1470"/>
      <c r="N4" s="1470"/>
      <c r="O4" s="1470"/>
      <c r="P4" s="1470"/>
      <c r="Q4" s="1470"/>
      <c r="R4" s="1470"/>
      <c r="S4" s="1470"/>
      <c r="T4" s="1470"/>
      <c r="U4" s="1470"/>
      <c r="V4" s="1470"/>
      <c r="W4" s="1470"/>
    </row>
    <row r="5" spans="1:46" s="387" customFormat="1" ht="21" x14ac:dyDescent="0.35">
      <c r="B5" s="1470" t="s">
        <v>600</v>
      </c>
      <c r="C5" s="1470"/>
      <c r="D5" s="1470"/>
      <c r="E5" s="1470"/>
      <c r="F5" s="1470"/>
      <c r="G5" s="1470"/>
      <c r="H5" s="1470"/>
      <c r="I5" s="1470"/>
      <c r="J5" s="1470"/>
      <c r="K5" s="1470"/>
      <c r="L5" s="1470"/>
      <c r="M5" s="1470"/>
      <c r="N5" s="1470"/>
      <c r="O5" s="1470"/>
      <c r="P5" s="1470"/>
      <c r="Q5" s="1470"/>
      <c r="R5" s="1470"/>
      <c r="S5" s="1470"/>
      <c r="T5" s="1470"/>
      <c r="U5" s="1470"/>
      <c r="V5" s="1470"/>
      <c r="W5" s="1470"/>
    </row>
    <row r="6" spans="1:46" s="37" customFormat="1" ht="15" customHeight="1" x14ac:dyDescent="0.25">
      <c r="AA6" s="386"/>
      <c r="AB6" s="386"/>
    </row>
    <row r="7" spans="1:46" ht="18.75" customHeight="1" x14ac:dyDescent="0.25">
      <c r="B7" s="1665" t="s">
        <v>436</v>
      </c>
      <c r="C7" s="1665"/>
      <c r="D7" s="1665"/>
      <c r="E7" s="1665"/>
      <c r="F7" s="1665"/>
      <c r="G7" s="1665"/>
      <c r="I7" s="1665" t="s">
        <v>435</v>
      </c>
      <c r="J7" s="1665"/>
      <c r="K7" s="1665"/>
      <c r="L7" s="1665"/>
      <c r="M7" s="1665"/>
      <c r="N7" s="1665"/>
      <c r="P7" s="1666" t="s">
        <v>345</v>
      </c>
      <c r="Q7" s="1666"/>
      <c r="R7" s="1666"/>
      <c r="S7" s="1666"/>
      <c r="T7" s="1666"/>
      <c r="U7" s="1666"/>
      <c r="V7" s="1666"/>
      <c r="W7" s="1666"/>
    </row>
    <row r="8" spans="1:46" s="22" customFormat="1" ht="46.5" customHeight="1" x14ac:dyDescent="0.25">
      <c r="A8" s="34"/>
      <c r="B8" s="23" t="s">
        <v>333</v>
      </c>
      <c r="C8" s="24" t="s">
        <v>429</v>
      </c>
      <c r="D8" s="24" t="s">
        <v>334</v>
      </c>
      <c r="E8" s="23" t="s">
        <v>245</v>
      </c>
      <c r="F8" s="23" t="s">
        <v>437</v>
      </c>
      <c r="G8" s="24" t="s">
        <v>335</v>
      </c>
      <c r="H8" s="34"/>
      <c r="I8" s="23" t="s">
        <v>333</v>
      </c>
      <c r="J8" s="24" t="s">
        <v>430</v>
      </c>
      <c r="K8" s="24" t="s">
        <v>334</v>
      </c>
      <c r="L8" s="23" t="s">
        <v>245</v>
      </c>
      <c r="M8" s="23" t="s">
        <v>438</v>
      </c>
      <c r="N8" s="24" t="s">
        <v>431</v>
      </c>
      <c r="O8" s="34"/>
      <c r="P8" s="406" t="s">
        <v>333</v>
      </c>
      <c r="Q8" s="403" t="s">
        <v>339</v>
      </c>
      <c r="R8" s="403" t="s">
        <v>322</v>
      </c>
      <c r="S8" s="403" t="s">
        <v>342</v>
      </c>
      <c r="T8" s="421" t="s">
        <v>340</v>
      </c>
      <c r="U8" s="416" t="s">
        <v>245</v>
      </c>
      <c r="V8" s="421" t="s">
        <v>343</v>
      </c>
      <c r="W8" s="25" t="s">
        <v>341</v>
      </c>
      <c r="X8" s="226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" ht="27.75" customHeight="1" x14ac:dyDescent="0.25">
      <c r="B9" s="84">
        <v>44348</v>
      </c>
      <c r="C9" s="21">
        <f>+'COMPRA DE MP ANUAL'!C41</f>
        <v>3889866.6666666665</v>
      </c>
      <c r="D9" s="55">
        <f>+'COMPRA DE MP ANUAL'!D41</f>
        <v>483.54476414756391</v>
      </c>
      <c r="E9" s="54">
        <v>30</v>
      </c>
      <c r="F9" s="101">
        <f>+C9/D9</f>
        <v>8044.4809975847274</v>
      </c>
      <c r="G9" s="4">
        <f>+C9*E9</f>
        <v>116696000</v>
      </c>
      <c r="I9" s="84">
        <v>44348</v>
      </c>
      <c r="J9" s="21">
        <f>+'COSTO DE PRODUCTO  ANUAL'!C61</f>
        <v>3197874.3213116457</v>
      </c>
      <c r="K9" s="55">
        <f>+'COSTO DE PRODUCTO  ANUAL'!C54</f>
        <v>372.32946839362421</v>
      </c>
      <c r="L9" s="54">
        <v>30</v>
      </c>
      <c r="M9" s="102">
        <f>+J9/K9</f>
        <v>8588.8294985313241</v>
      </c>
      <c r="N9" s="4">
        <f>+J9*L9</f>
        <v>95936229.639349371</v>
      </c>
      <c r="P9" s="903">
        <v>44348</v>
      </c>
      <c r="Q9" s="904">
        <f>+'COSTO DE PRODUCTO  ANUAL'!C64</f>
        <v>5957000</v>
      </c>
      <c r="R9" s="637">
        <v>30</v>
      </c>
      <c r="S9" s="905">
        <f>+Q9*R9</f>
        <v>178710000</v>
      </c>
      <c r="T9" s="900">
        <f>+'COSTO DE PRODUCTO  ANUAL'!C62</f>
        <v>200000</v>
      </c>
      <c r="U9" s="901">
        <v>30</v>
      </c>
      <c r="V9" s="902">
        <f>+T9*U9</f>
        <v>6000000</v>
      </c>
      <c r="W9" s="899">
        <f>+S9+V9</f>
        <v>184710000</v>
      </c>
      <c r="X9" s="898"/>
    </row>
    <row r="10" spans="1:46" x14ac:dyDescent="0.25">
      <c r="B10" s="84">
        <v>44378</v>
      </c>
      <c r="C10" s="21">
        <f>+'COMPRA DE MP ANUAL'!G41</f>
        <v>3864580.6451612902</v>
      </c>
      <c r="D10" s="55">
        <f>+'COMPRA DE MP ANUAL'!H41</f>
        <v>477.52189393708778</v>
      </c>
      <c r="E10" s="54">
        <v>30</v>
      </c>
      <c r="F10" s="101">
        <f t="shared" ref="F10:F20" si="0">+C10/D10</f>
        <v>8092.9915344791252</v>
      </c>
      <c r="G10" s="4">
        <f t="shared" ref="G10:G20" si="1">+C10*E10</f>
        <v>115937419.3548387</v>
      </c>
      <c r="I10" s="84">
        <v>44378</v>
      </c>
      <c r="J10" s="21">
        <f>+'COSTO DE PRODUCTO  ANUAL'!M61</f>
        <v>3165961.3523858408</v>
      </c>
      <c r="K10" s="55">
        <f>+'COSTO DE PRODUCTO  ANUAL'!M54</f>
        <v>367.69185833155763</v>
      </c>
      <c r="L10" s="54">
        <v>30</v>
      </c>
      <c r="M10" s="102">
        <f t="shared" ref="M10:M20" si="2">+J10/K10</f>
        <v>8610.3656652930513</v>
      </c>
      <c r="N10" s="4">
        <f t="shared" ref="N10:N20" si="3">+J10*L10</f>
        <v>94978840.571575224</v>
      </c>
      <c r="P10" s="903">
        <v>44378</v>
      </c>
      <c r="Q10" s="904">
        <f>+'COSTO DE PRODUCTO  ANUAL'!M64</f>
        <v>5835000</v>
      </c>
      <c r="R10" s="637">
        <v>30</v>
      </c>
      <c r="S10" s="905">
        <f t="shared" ref="S10:S20" si="4">+Q10*R10</f>
        <v>175050000</v>
      </c>
      <c r="T10" s="900">
        <f>+'COSTO DE PRODUCTO  ANUAL'!M62</f>
        <v>205000</v>
      </c>
      <c r="U10" s="901">
        <v>30</v>
      </c>
      <c r="V10" s="902">
        <f t="shared" ref="V10:V20" si="5">+T10*U10</f>
        <v>6150000</v>
      </c>
      <c r="W10" s="899">
        <f t="shared" ref="W10:W20" si="6">+S10+V10</f>
        <v>181200000</v>
      </c>
      <c r="X10" s="898"/>
    </row>
    <row r="11" spans="1:46" x14ac:dyDescent="0.25">
      <c r="B11" s="84">
        <v>44409</v>
      </c>
      <c r="C11" s="21">
        <f>+'COMPRA DE MP ANUAL'!K41</f>
        <v>3861133.3333333335</v>
      </c>
      <c r="D11" s="55">
        <f>+'COMPRA DE MP ANUAL'!L41</f>
        <v>476</v>
      </c>
      <c r="E11" s="54">
        <v>30</v>
      </c>
      <c r="F11" s="101">
        <f t="shared" si="0"/>
        <v>8111.6246498599439</v>
      </c>
      <c r="G11" s="4">
        <f t="shared" si="1"/>
        <v>115834000</v>
      </c>
      <c r="I11" s="84">
        <v>44409</v>
      </c>
      <c r="J11" s="21">
        <f>+'COSTO DE PRODUCTO  ANUAL'!W61</f>
        <v>3156596.882873693</v>
      </c>
      <c r="K11" s="55">
        <f>+'COSTO DE PRODUCTO  ANUAL'!W54</f>
        <v>366.52</v>
      </c>
      <c r="L11" s="54">
        <v>30</v>
      </c>
      <c r="M11" s="102">
        <f t="shared" si="2"/>
        <v>8612.3455278666734</v>
      </c>
      <c r="N11" s="4">
        <f t="shared" si="3"/>
        <v>94697906.486210793</v>
      </c>
      <c r="P11" s="903">
        <v>44409</v>
      </c>
      <c r="Q11" s="904">
        <f>+'COSTO DE PRODUCTO  ANUAL'!W64</f>
        <v>5877000</v>
      </c>
      <c r="R11" s="637">
        <v>30</v>
      </c>
      <c r="S11" s="905">
        <f t="shared" si="4"/>
        <v>176310000</v>
      </c>
      <c r="T11" s="900">
        <f>+'COSTO DE PRODUCTO  ANUAL'!W62</f>
        <v>210000</v>
      </c>
      <c r="U11" s="901">
        <v>30</v>
      </c>
      <c r="V11" s="902">
        <f t="shared" si="5"/>
        <v>6300000</v>
      </c>
      <c r="W11" s="899">
        <f t="shared" si="6"/>
        <v>182610000</v>
      </c>
      <c r="X11" s="898"/>
    </row>
    <row r="12" spans="1:46" x14ac:dyDescent="0.25">
      <c r="B12" s="84">
        <v>44440</v>
      </c>
      <c r="C12" s="21">
        <f>+'COMPRA DE MP ANUAL'!O41</f>
        <v>3878800</v>
      </c>
      <c r="D12" s="55">
        <f>+'COMPRA DE MP ANUAL'!P41</f>
        <v>471.66666666666669</v>
      </c>
      <c r="E12" s="54">
        <v>30</v>
      </c>
      <c r="F12" s="101">
        <f t="shared" si="0"/>
        <v>8223.6042402826861</v>
      </c>
      <c r="G12" s="4">
        <f t="shared" si="1"/>
        <v>116364000</v>
      </c>
      <c r="I12" s="84">
        <v>44440</v>
      </c>
      <c r="J12" s="21">
        <f>+'COSTO DE PRODUCTO  ANUAL'!AG61</f>
        <v>3121110.8132777596</v>
      </c>
      <c r="K12" s="55">
        <f>+'COSTO DE PRODUCTO  ANUAL'!AG54</f>
        <v>363.18333333333334</v>
      </c>
      <c r="L12" s="54">
        <v>30</v>
      </c>
      <c r="M12" s="102">
        <f t="shared" si="2"/>
        <v>8593.7611305890314</v>
      </c>
      <c r="N12" s="4">
        <f t="shared" si="3"/>
        <v>93633324.39833279</v>
      </c>
      <c r="P12" s="903">
        <v>44440</v>
      </c>
      <c r="Q12" s="904">
        <f>+'COSTO DE PRODUCTO  ANUAL'!AG64</f>
        <v>5755000</v>
      </c>
      <c r="R12" s="637">
        <v>30</v>
      </c>
      <c r="S12" s="905">
        <f t="shared" si="4"/>
        <v>172650000</v>
      </c>
      <c r="T12" s="900">
        <f>+'COSTO DE PRODUCTO  ANUAL'!AG62</f>
        <v>210000</v>
      </c>
      <c r="U12" s="901">
        <v>30</v>
      </c>
      <c r="V12" s="902">
        <f t="shared" si="5"/>
        <v>6300000</v>
      </c>
      <c r="W12" s="899">
        <f t="shared" si="6"/>
        <v>178950000</v>
      </c>
      <c r="X12" s="898"/>
    </row>
    <row r="13" spans="1:46" x14ac:dyDescent="0.25">
      <c r="B13" s="84">
        <v>44470</v>
      </c>
      <c r="C13" s="21">
        <f>+'COMPRA DE MP ANUAL'!S41</f>
        <v>3863933.3333333335</v>
      </c>
      <c r="D13" s="55">
        <f>+'COMPRA DE MP ANUAL'!T41</f>
        <v>474.2726237349907</v>
      </c>
      <c r="E13" s="54">
        <v>30</v>
      </c>
      <c r="F13" s="101">
        <f t="shared" si="0"/>
        <v>8147.0722533046383</v>
      </c>
      <c r="G13" s="4">
        <f t="shared" si="1"/>
        <v>115918000</v>
      </c>
      <c r="I13" s="84">
        <v>44470</v>
      </c>
      <c r="J13" s="21">
        <f>+'COSTO DE PRODUCTO  ANUAL'!AQ61</f>
        <v>3130633.8744978914</v>
      </c>
      <c r="K13" s="55">
        <f>+'COSTO DE PRODUCTO  ANUAL'!AQ54</f>
        <v>365.18992027594282</v>
      </c>
      <c r="L13" s="54">
        <v>30</v>
      </c>
      <c r="M13" s="102">
        <f t="shared" si="2"/>
        <v>8572.6185217060174</v>
      </c>
      <c r="N13" s="4">
        <f t="shared" si="3"/>
        <v>93919016.234936744</v>
      </c>
      <c r="P13" s="903">
        <v>44470</v>
      </c>
      <c r="Q13" s="904">
        <f>+'COSTO DE PRODUCTO  ANUAL'!AQ64</f>
        <v>5986000</v>
      </c>
      <c r="R13" s="637">
        <v>30</v>
      </c>
      <c r="S13" s="905">
        <f t="shared" si="4"/>
        <v>179580000</v>
      </c>
      <c r="T13" s="900">
        <f>+'COSTO DE PRODUCTO  ANUAL'!AQ62</f>
        <v>220000</v>
      </c>
      <c r="U13" s="901">
        <v>30</v>
      </c>
      <c r="V13" s="902">
        <f t="shared" si="5"/>
        <v>6600000</v>
      </c>
      <c r="W13" s="899">
        <f t="shared" si="6"/>
        <v>186180000</v>
      </c>
      <c r="X13" s="898"/>
    </row>
    <row r="14" spans="1:46" x14ac:dyDescent="0.25">
      <c r="B14" s="84">
        <v>44501</v>
      </c>
      <c r="C14" s="21">
        <f>+'COMPRA DE MP ANUAL'!W41</f>
        <v>3886516.1290322579</v>
      </c>
      <c r="D14" s="55">
        <f>+'COMPRA DE MP ANUAL'!X41</f>
        <v>469.83870967741933</v>
      </c>
      <c r="E14" s="54">
        <v>30</v>
      </c>
      <c r="F14" s="101">
        <f t="shared" si="0"/>
        <v>8272.0219704771716</v>
      </c>
      <c r="G14" s="4">
        <f t="shared" si="1"/>
        <v>116595483.87096775</v>
      </c>
      <c r="I14" s="84">
        <v>44501</v>
      </c>
      <c r="J14" s="21">
        <f>+'COSTO DE PRODUCTO  ANUAL'!BA61</f>
        <v>3113283.1855520522</v>
      </c>
      <c r="K14" s="55">
        <f>+'COSTO DE PRODUCTO  ANUAL'!BA54</f>
        <v>361.77580645161288</v>
      </c>
      <c r="L14" s="54">
        <v>30</v>
      </c>
      <c r="M14" s="102">
        <f t="shared" si="2"/>
        <v>8605.5593824471252</v>
      </c>
      <c r="N14" s="4">
        <f t="shared" si="3"/>
        <v>93398495.566561565</v>
      </c>
      <c r="P14" s="903">
        <v>44501</v>
      </c>
      <c r="Q14" s="904">
        <f>+'COSTO DE PRODUCTO  ANUAL'!BA64</f>
        <v>5805000</v>
      </c>
      <c r="R14" s="637">
        <v>30</v>
      </c>
      <c r="S14" s="905">
        <f t="shared" si="4"/>
        <v>174150000</v>
      </c>
      <c r="T14" s="900">
        <f>+'COSTO DE PRODUCTO  ANUAL'!BA62</f>
        <v>215000</v>
      </c>
      <c r="U14" s="901">
        <v>30</v>
      </c>
      <c r="V14" s="902">
        <f t="shared" si="5"/>
        <v>6450000</v>
      </c>
      <c r="W14" s="899">
        <f t="shared" si="6"/>
        <v>180600000</v>
      </c>
      <c r="X14" s="898"/>
    </row>
    <row r="15" spans="1:46" x14ac:dyDescent="0.25">
      <c r="B15" s="84">
        <v>44531</v>
      </c>
      <c r="C15" s="21">
        <f>+'COMPRA DE MP ANUAL'!AA41</f>
        <v>3849548.3870967743</v>
      </c>
      <c r="D15" s="55">
        <f>+'COMPRA DE MP ANUAL'!AB41</f>
        <v>472.41935483870969</v>
      </c>
      <c r="E15" s="54">
        <v>30</v>
      </c>
      <c r="F15" s="101">
        <f t="shared" si="0"/>
        <v>8148.5831341754865</v>
      </c>
      <c r="G15" s="4">
        <f t="shared" si="1"/>
        <v>115486451.61290322</v>
      </c>
      <c r="I15" s="84">
        <v>44531</v>
      </c>
      <c r="J15" s="21">
        <f>+'COSTO DE PRODUCTO  ANUAL'!BK61</f>
        <v>3124901.5767368912</v>
      </c>
      <c r="K15" s="55">
        <f>+'COSTO DE PRODUCTO  ANUAL'!BK54</f>
        <v>363.7629032258065</v>
      </c>
      <c r="L15" s="54">
        <v>30</v>
      </c>
      <c r="M15" s="102">
        <f t="shared" si="2"/>
        <v>8590.4899840682847</v>
      </c>
      <c r="N15" s="4">
        <f t="shared" si="3"/>
        <v>93747047.302106738</v>
      </c>
      <c r="P15" s="903">
        <v>44531</v>
      </c>
      <c r="Q15" s="904">
        <f>+'COSTO DE PRODUCTO  ANUAL'!BK64</f>
        <v>5814000</v>
      </c>
      <c r="R15" s="637">
        <v>30</v>
      </c>
      <c r="S15" s="905">
        <f t="shared" si="4"/>
        <v>174420000</v>
      </c>
      <c r="T15" s="900">
        <f>+'COSTO DE PRODUCTO  ANUAL'!BK62</f>
        <v>210000</v>
      </c>
      <c r="U15" s="901">
        <v>30</v>
      </c>
      <c r="V15" s="902">
        <f t="shared" si="5"/>
        <v>6300000</v>
      </c>
      <c r="W15" s="899">
        <f t="shared" si="6"/>
        <v>180720000</v>
      </c>
      <c r="X15" s="898"/>
    </row>
    <row r="16" spans="1:46" x14ac:dyDescent="0.25">
      <c r="B16" s="84">
        <v>44562</v>
      </c>
      <c r="C16" s="21">
        <f>+'COMPRA DE MP ANUAL'!AE41</f>
        <v>3838322.5806451612</v>
      </c>
      <c r="D16" s="55">
        <f>+'COMPRA DE MP ANUAL'!AF41</f>
        <v>471.07436433316786</v>
      </c>
      <c r="E16" s="54">
        <v>30</v>
      </c>
      <c r="F16" s="101">
        <f t="shared" si="0"/>
        <v>8148.0183836335937</v>
      </c>
      <c r="G16" s="4">
        <f t="shared" si="1"/>
        <v>115149677.41935484</v>
      </c>
      <c r="I16" s="84">
        <v>44562</v>
      </c>
      <c r="J16" s="21">
        <f>+'COSTO DE PRODUCTO  ANUAL'!BU61</f>
        <v>3114327.8192502423</v>
      </c>
      <c r="K16" s="55">
        <f>+'COSTO DE PRODUCTO  ANUAL'!BU54</f>
        <v>362.72726053653929</v>
      </c>
      <c r="L16" s="54">
        <v>30</v>
      </c>
      <c r="M16" s="102">
        <f t="shared" si="2"/>
        <v>8585.8664569174853</v>
      </c>
      <c r="N16" s="4">
        <f t="shared" si="3"/>
        <v>93429834.577507272</v>
      </c>
      <c r="P16" s="903">
        <v>44562</v>
      </c>
      <c r="Q16" s="904">
        <f>+'COSTO DE PRODUCTO  ANUAL'!BU64</f>
        <v>5862000</v>
      </c>
      <c r="R16" s="637">
        <v>30</v>
      </c>
      <c r="S16" s="905">
        <f t="shared" si="4"/>
        <v>175860000</v>
      </c>
      <c r="T16" s="900">
        <f>+'COSTO DE PRODUCTO  ANUAL'!BU62</f>
        <v>210000</v>
      </c>
      <c r="U16" s="901">
        <v>30</v>
      </c>
      <c r="V16" s="902">
        <f t="shared" si="5"/>
        <v>6300000</v>
      </c>
      <c r="W16" s="899">
        <f t="shared" si="6"/>
        <v>182160000</v>
      </c>
      <c r="X16" s="898"/>
    </row>
    <row r="17" spans="1:46" x14ac:dyDescent="0.25">
      <c r="B17" s="84">
        <v>44593</v>
      </c>
      <c r="C17" s="21">
        <f>+'COMPRA DE MP ANUAL'!AI41</f>
        <v>3903419.3548387098</v>
      </c>
      <c r="D17" s="55">
        <f>+'COMPRA DE MP ANUAL'!AJ41</f>
        <v>469.14296376150594</v>
      </c>
      <c r="E17" s="54">
        <v>30</v>
      </c>
      <c r="F17" s="101">
        <f t="shared" si="0"/>
        <v>8320.319511011694</v>
      </c>
      <c r="G17" s="4">
        <f t="shared" si="1"/>
        <v>117102580.6451613</v>
      </c>
      <c r="I17" s="84">
        <v>44593</v>
      </c>
      <c r="J17" s="21">
        <f>+'COSTO DE PRODUCTO  ANUAL'!CE61</f>
        <v>3097014.9082921688</v>
      </c>
      <c r="K17" s="55">
        <f>+'COSTO DE PRODUCTO  ANUAL'!CE54</f>
        <v>361.24008209635957</v>
      </c>
      <c r="L17" s="54">
        <v>30</v>
      </c>
      <c r="M17" s="102">
        <f t="shared" si="2"/>
        <v>8573.2870237418738</v>
      </c>
      <c r="N17" s="4">
        <f t="shared" si="3"/>
        <v>92910447.248765066</v>
      </c>
      <c r="P17" s="903">
        <v>44593</v>
      </c>
      <c r="Q17" s="904">
        <f>+'COSTO DE PRODUCTO  ANUAL'!CE64</f>
        <v>5882000</v>
      </c>
      <c r="R17" s="637">
        <v>30</v>
      </c>
      <c r="S17" s="905">
        <f t="shared" si="4"/>
        <v>176460000</v>
      </c>
      <c r="T17" s="900">
        <f>+'COSTO DE PRODUCTO  ANUAL'!CE62</f>
        <v>210000</v>
      </c>
      <c r="U17" s="901">
        <v>30</v>
      </c>
      <c r="V17" s="902">
        <f t="shared" si="5"/>
        <v>6300000</v>
      </c>
      <c r="W17" s="899">
        <f t="shared" si="6"/>
        <v>182760000</v>
      </c>
      <c r="X17" s="898"/>
    </row>
    <row r="18" spans="1:46" x14ac:dyDescent="0.25">
      <c r="B18" s="84">
        <v>44621</v>
      </c>
      <c r="C18" s="21">
        <f>+'COMPRA DE MP ANUAL'!AM41</f>
        <v>3904133.3333333335</v>
      </c>
      <c r="D18" s="55">
        <f>+'COMPRA DE MP ANUAL'!AN41</f>
        <v>468.16666666666669</v>
      </c>
      <c r="E18" s="54">
        <v>30</v>
      </c>
      <c r="F18" s="101">
        <f t="shared" si="0"/>
        <v>8339.1954432182265</v>
      </c>
      <c r="G18" s="4">
        <f t="shared" si="1"/>
        <v>117124000</v>
      </c>
      <c r="I18" s="84">
        <v>44621</v>
      </c>
      <c r="J18" s="21">
        <f>+'COSTO DE PRODUCTO  ANUAL'!CO61</f>
        <v>3109494.0389752709</v>
      </c>
      <c r="K18" s="55">
        <f>+'COSTO DE PRODUCTO  ANUAL'!CO54</f>
        <v>360.48833333333334</v>
      </c>
      <c r="L18" s="54">
        <v>30</v>
      </c>
      <c r="M18" s="102">
        <f t="shared" si="2"/>
        <v>8625.782727065427</v>
      </c>
      <c r="N18" s="4">
        <f t="shared" si="3"/>
        <v>93284821.169258133</v>
      </c>
      <c r="P18" s="903">
        <v>44621</v>
      </c>
      <c r="Q18" s="904">
        <f>+'COSTO DE PRODUCTO  ANUAL'!CO64</f>
        <v>5617000</v>
      </c>
      <c r="R18" s="637">
        <v>30</v>
      </c>
      <c r="S18" s="905">
        <f t="shared" si="4"/>
        <v>168510000</v>
      </c>
      <c r="T18" s="900">
        <f>+'COSTO DE PRODUCTO  ANUAL'!CO62</f>
        <v>210000</v>
      </c>
      <c r="U18" s="901">
        <v>30</v>
      </c>
      <c r="V18" s="902">
        <f t="shared" si="5"/>
        <v>6300000</v>
      </c>
      <c r="W18" s="899">
        <f t="shared" si="6"/>
        <v>174810000</v>
      </c>
      <c r="X18" s="898"/>
    </row>
    <row r="19" spans="1:46" x14ac:dyDescent="0.25">
      <c r="B19" s="84">
        <v>44652</v>
      </c>
      <c r="C19" s="21">
        <f>+'COMPRA DE MP ANUAL'!AQ41</f>
        <v>3871666.6666666665</v>
      </c>
      <c r="D19" s="55">
        <f>+'COMPRA DE MP ANUAL'!AR41</f>
        <v>470.60595706832407</v>
      </c>
      <c r="E19" s="54">
        <v>30</v>
      </c>
      <c r="F19" s="101">
        <f t="shared" si="0"/>
        <v>8226.9818486478816</v>
      </c>
      <c r="G19" s="4">
        <f t="shared" si="1"/>
        <v>116150000</v>
      </c>
      <c r="I19" s="84">
        <v>44652</v>
      </c>
      <c r="J19" s="21">
        <f>+'COSTO DE PRODUCTO  ANUAL'!CY61</f>
        <v>3115245.7718581189</v>
      </c>
      <c r="K19" s="55">
        <f>+'COSTO DE PRODUCTO  ANUAL'!CY54</f>
        <v>362.36658694260956</v>
      </c>
      <c r="L19" s="54">
        <v>30</v>
      </c>
      <c r="M19" s="102">
        <f t="shared" si="2"/>
        <v>8596.945425190379</v>
      </c>
      <c r="N19" s="4">
        <f t="shared" si="3"/>
        <v>93457373.155743569</v>
      </c>
      <c r="P19" s="903">
        <v>44652</v>
      </c>
      <c r="Q19" s="904">
        <f>+'COSTO DE PRODUCTO  ANUAL'!CY64</f>
        <v>5693000</v>
      </c>
      <c r="R19" s="637">
        <v>30</v>
      </c>
      <c r="S19" s="905">
        <f t="shared" si="4"/>
        <v>170790000</v>
      </c>
      <c r="T19" s="900">
        <f>+'COSTO DE PRODUCTO  ANUAL'!CY62</f>
        <v>210000</v>
      </c>
      <c r="U19" s="901">
        <v>30</v>
      </c>
      <c r="V19" s="902">
        <f t="shared" si="5"/>
        <v>6300000</v>
      </c>
      <c r="W19" s="899">
        <f t="shared" si="6"/>
        <v>177090000</v>
      </c>
      <c r="X19" s="898"/>
    </row>
    <row r="20" spans="1:46" x14ac:dyDescent="0.25">
      <c r="B20" s="84">
        <v>44682</v>
      </c>
      <c r="C20" s="21">
        <f>+'COMPRA DE MP ANUAL'!AU41</f>
        <v>3877096.7741935486</v>
      </c>
      <c r="D20" s="55">
        <f>+'COMPRA DE MP ANUAL'!AV41</f>
        <v>469.93915063270623</v>
      </c>
      <c r="E20" s="54">
        <v>30</v>
      </c>
      <c r="F20" s="101">
        <f t="shared" si="0"/>
        <v>8250.2102005623256</v>
      </c>
      <c r="G20" s="4">
        <f t="shared" si="1"/>
        <v>116312903.22580646</v>
      </c>
      <c r="I20" s="84">
        <v>44682</v>
      </c>
      <c r="J20" s="21">
        <f>+'COSTO DE PRODUCTO  ANUAL'!DI61</f>
        <v>3114369.9835488917</v>
      </c>
      <c r="K20" s="55">
        <f>+'COSTO DE PRODUCTO  ANUAL'!DI54</f>
        <v>361.85314598718378</v>
      </c>
      <c r="L20" s="54">
        <v>30</v>
      </c>
      <c r="M20" s="102">
        <f t="shared" si="2"/>
        <v>8606.7235233024549</v>
      </c>
      <c r="N20" s="4">
        <f t="shared" si="3"/>
        <v>93431099.506466746</v>
      </c>
      <c r="P20" s="903">
        <v>44682</v>
      </c>
      <c r="Q20" s="904">
        <f>+'COSTO DE PRODUCTO  ANUAL'!DI64</f>
        <v>5719000</v>
      </c>
      <c r="R20" s="637">
        <v>30</v>
      </c>
      <c r="S20" s="905">
        <f t="shared" si="4"/>
        <v>171570000</v>
      </c>
      <c r="T20" s="900">
        <f>+'COSTO DE PRODUCTO  ANUAL'!DI62</f>
        <v>210000</v>
      </c>
      <c r="U20" s="901">
        <v>30</v>
      </c>
      <c r="V20" s="902">
        <f t="shared" si="5"/>
        <v>6300000</v>
      </c>
      <c r="W20" s="899">
        <f t="shared" si="6"/>
        <v>177870000</v>
      </c>
      <c r="X20" s="898"/>
    </row>
    <row r="21" spans="1:46" s="1" customFormat="1" ht="15" customHeight="1" x14ac:dyDescent="0.25">
      <c r="A21" s="96"/>
      <c r="B21" s="1499" t="s">
        <v>338</v>
      </c>
      <c r="C21" s="1500"/>
      <c r="D21" s="1500"/>
      <c r="E21" s="1501"/>
      <c r="F21" s="99"/>
      <c r="G21" s="477">
        <f>+SUM(G9:G20)</f>
        <v>1394670516.1290324</v>
      </c>
      <c r="H21" s="96"/>
      <c r="I21" s="1659" t="s">
        <v>338</v>
      </c>
      <c r="J21" s="1659"/>
      <c r="K21" s="1659"/>
      <c r="L21" s="1659"/>
      <c r="M21" s="1659"/>
      <c r="N21" s="477">
        <f>+SUM(N9:N20)</f>
        <v>1126824435.8568139</v>
      </c>
      <c r="O21" s="96"/>
      <c r="P21" s="658" t="s">
        <v>344</v>
      </c>
      <c r="Q21" s="659">
        <f t="shared" ref="Q21:W21" si="7">+SUM(Q9:Q20)</f>
        <v>69802000</v>
      </c>
      <c r="R21" s="659">
        <f t="shared" si="7"/>
        <v>360</v>
      </c>
      <c r="S21" s="659">
        <f t="shared" si="7"/>
        <v>2094060000</v>
      </c>
      <c r="T21" s="735">
        <f t="shared" si="7"/>
        <v>2520000</v>
      </c>
      <c r="U21" s="735">
        <f t="shared" si="7"/>
        <v>360</v>
      </c>
      <c r="V21" s="735">
        <f t="shared" si="7"/>
        <v>75600000</v>
      </c>
      <c r="W21" s="430">
        <f t="shared" si="7"/>
        <v>2169660000</v>
      </c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</row>
    <row r="22" spans="1:46" s="37" customFormat="1" x14ac:dyDescent="0.25"/>
    <row r="23" spans="1:46" ht="39.75" customHeight="1" x14ac:dyDescent="0.25">
      <c r="B23" s="1661" t="s">
        <v>439</v>
      </c>
      <c r="C23" s="1662"/>
      <c r="D23" s="1662"/>
      <c r="E23" s="1662"/>
      <c r="F23" s="1663"/>
      <c r="G23" s="37"/>
      <c r="I23" s="1664" t="s">
        <v>346</v>
      </c>
      <c r="J23" s="1664"/>
      <c r="K23" s="1664"/>
      <c r="L23" s="1664"/>
      <c r="M23" s="37"/>
      <c r="N23" s="37"/>
      <c r="P23" s="37"/>
      <c r="Q23" s="37"/>
      <c r="R23" s="37"/>
      <c r="S23" s="37"/>
      <c r="T23" s="37"/>
      <c r="U23" s="37"/>
      <c r="V23" s="37"/>
      <c r="W23" s="37"/>
    </row>
    <row r="24" spans="1:46" ht="44.25" customHeight="1" x14ac:dyDescent="0.25">
      <c r="B24" s="23" t="s">
        <v>333</v>
      </c>
      <c r="C24" s="24" t="s">
        <v>429</v>
      </c>
      <c r="D24" s="24" t="s">
        <v>334</v>
      </c>
      <c r="E24" s="23" t="s">
        <v>245</v>
      </c>
      <c r="F24" s="24" t="s">
        <v>335</v>
      </c>
      <c r="G24" s="37"/>
      <c r="I24" s="23" t="s">
        <v>333</v>
      </c>
      <c r="J24" s="24" t="s">
        <v>336</v>
      </c>
      <c r="K24" s="23" t="s">
        <v>322</v>
      </c>
      <c r="L24" s="24" t="s">
        <v>337</v>
      </c>
      <c r="M24" s="37"/>
      <c r="N24" s="37"/>
      <c r="P24" s="348"/>
      <c r="Q24" s="37"/>
      <c r="R24" s="37"/>
      <c r="S24" s="37"/>
      <c r="T24" s="37"/>
      <c r="U24" s="37"/>
      <c r="V24" s="37"/>
      <c r="W24" s="37"/>
    </row>
    <row r="25" spans="1:46" ht="15.75" customHeight="1" x14ac:dyDescent="0.25">
      <c r="B25" s="84">
        <v>44348</v>
      </c>
      <c r="C25" s="140">
        <f>+'COSTO DE PRODUCTO  ANUAL'!C63</f>
        <v>116695.99999999999</v>
      </c>
      <c r="D25" s="55">
        <f>+'COSTO DE PRODUCTO  ANUAL'!C56</f>
        <v>14.506342924426917</v>
      </c>
      <c r="E25" s="54">
        <v>30</v>
      </c>
      <c r="F25" s="4">
        <f t="shared" ref="F25:F36" si="8">+C25*E25</f>
        <v>3500879.9999999995</v>
      </c>
      <c r="G25" s="37"/>
      <c r="I25" s="84">
        <v>44348</v>
      </c>
      <c r="J25" s="21">
        <f>+'COSTO DE PRODUCTO  ANUAL'!C65</f>
        <v>2842429.6786883543</v>
      </c>
      <c r="K25" s="54">
        <v>30</v>
      </c>
      <c r="L25" s="4">
        <f>J25*K25</f>
        <v>85272890.360650629</v>
      </c>
      <c r="M25" s="37"/>
      <c r="N25" s="37"/>
      <c r="P25" s="348"/>
      <c r="Q25" s="37"/>
      <c r="R25" s="37"/>
      <c r="S25" s="348"/>
      <c r="T25" s="37"/>
      <c r="U25" s="37"/>
      <c r="V25" s="37"/>
      <c r="W25" s="37"/>
    </row>
    <row r="26" spans="1:46" ht="15.75" customHeight="1" x14ac:dyDescent="0.25">
      <c r="B26" s="84">
        <v>44378</v>
      </c>
      <c r="C26" s="140">
        <f>+'COSTO DE PRODUCTO  ANUAL'!O56</f>
        <v>115834</v>
      </c>
      <c r="D26" s="55">
        <f>+'COSTO DE PRODUCTO  ANUAL'!M56</f>
        <v>14.325656818112632</v>
      </c>
      <c r="E26" s="54">
        <v>30</v>
      </c>
      <c r="F26" s="4">
        <f t="shared" si="8"/>
        <v>3475020</v>
      </c>
      <c r="G26" s="37"/>
      <c r="I26" s="84">
        <v>44378</v>
      </c>
      <c r="J26" s="21">
        <f>+'COSTO DE PRODUCTO  ANUAL'!M65</f>
        <v>2758204.6476141592</v>
      </c>
      <c r="K26" s="54">
        <v>30</v>
      </c>
      <c r="L26" s="4">
        <f t="shared" ref="L26:L36" si="9">J26*K26</f>
        <v>82746139.428424776</v>
      </c>
      <c r="M26" s="37"/>
      <c r="N26" s="37"/>
      <c r="P26" s="348"/>
      <c r="Q26" s="37"/>
      <c r="R26" s="37"/>
      <c r="S26" s="37"/>
      <c r="T26" s="37"/>
      <c r="U26" s="37"/>
      <c r="V26" s="37"/>
      <c r="W26" s="37"/>
    </row>
    <row r="27" spans="1:46" ht="15.75" customHeight="1" x14ac:dyDescent="0.25">
      <c r="B27" s="84">
        <v>44409</v>
      </c>
      <c r="C27" s="140">
        <f>+'COSTO DE PRODUCTO  ANUAL'!Y56</f>
        <v>115834</v>
      </c>
      <c r="D27" s="55">
        <f>+'COSTO DE PRODUCTO  ANUAL'!W56</f>
        <v>14.28</v>
      </c>
      <c r="E27" s="54">
        <v>30</v>
      </c>
      <c r="F27" s="4">
        <f t="shared" si="8"/>
        <v>3475020</v>
      </c>
      <c r="G27" s="37"/>
      <c r="I27" s="84">
        <v>44409</v>
      </c>
      <c r="J27" s="21">
        <f>+'COSTO DE PRODUCTO  ANUAL'!W65</f>
        <v>2814569.117126307</v>
      </c>
      <c r="K27" s="54">
        <v>30</v>
      </c>
      <c r="L27" s="4">
        <f t="shared" si="9"/>
        <v>84437073.513789207</v>
      </c>
      <c r="M27" s="37"/>
      <c r="N27" s="37"/>
      <c r="P27" s="348"/>
      <c r="Q27" s="37"/>
      <c r="R27" s="37"/>
      <c r="S27" s="37"/>
      <c r="T27" s="37"/>
      <c r="U27" s="37"/>
      <c r="V27" s="37"/>
      <c r="W27" s="37"/>
    </row>
    <row r="28" spans="1:46" ht="15.75" customHeight="1" x14ac:dyDescent="0.25">
      <c r="B28" s="84">
        <v>44440</v>
      </c>
      <c r="C28" s="140">
        <f>+'COSTO DE PRODUCTO  ANUAL'!AI56</f>
        <v>116364</v>
      </c>
      <c r="D28" s="55">
        <f>+'COSTO DE PRODUCTO  ANUAL'!AG56</f>
        <v>14.15</v>
      </c>
      <c r="E28" s="54">
        <v>30</v>
      </c>
      <c r="F28" s="4">
        <f t="shared" si="8"/>
        <v>3490920</v>
      </c>
      <c r="G28" s="37"/>
      <c r="I28" s="84">
        <v>44440</v>
      </c>
      <c r="J28" s="21">
        <f>+'COSTO DE PRODUCTO  ANUAL'!AG65</f>
        <v>2727525.1867222404</v>
      </c>
      <c r="K28" s="54">
        <v>30</v>
      </c>
      <c r="L28" s="4">
        <f t="shared" si="9"/>
        <v>81825755.60166721</v>
      </c>
      <c r="M28" s="37"/>
      <c r="N28" s="37"/>
      <c r="P28" s="348"/>
      <c r="Q28" s="37"/>
      <c r="R28" s="37"/>
      <c r="S28" s="37"/>
      <c r="T28" s="37"/>
      <c r="U28" s="37"/>
      <c r="V28" s="37"/>
      <c r="W28" s="37"/>
    </row>
    <row r="29" spans="1:46" ht="15.75" customHeight="1" x14ac:dyDescent="0.25">
      <c r="B29" s="84">
        <v>44470</v>
      </c>
      <c r="C29" s="140">
        <f>+'COSTO DE PRODUCTO  ANUAL'!AS56</f>
        <v>115918</v>
      </c>
      <c r="D29" s="55">
        <f>+'COSTO DE PRODUCTO  ANUAL'!AQ56</f>
        <v>14.22817871204972</v>
      </c>
      <c r="E29" s="54">
        <v>30</v>
      </c>
      <c r="F29" s="4">
        <f t="shared" si="8"/>
        <v>3477540</v>
      </c>
      <c r="G29" s="37"/>
      <c r="I29" s="84">
        <v>44470</v>
      </c>
      <c r="J29" s="21">
        <f>+'COSTO DE PRODUCTO  ANUAL'!AQ65</f>
        <v>2959448.1255021086</v>
      </c>
      <c r="K29" s="54">
        <v>30</v>
      </c>
      <c r="L29" s="4">
        <f t="shared" si="9"/>
        <v>88783443.765063256</v>
      </c>
      <c r="M29" s="37"/>
      <c r="N29" s="37"/>
      <c r="P29" s="348"/>
      <c r="Q29" s="37"/>
      <c r="R29" s="37"/>
      <c r="S29" s="37"/>
      <c r="T29" s="37"/>
      <c r="U29" s="37"/>
      <c r="V29" s="37"/>
      <c r="W29" s="37"/>
    </row>
    <row r="30" spans="1:46" ht="15.75" customHeight="1" x14ac:dyDescent="0.25">
      <c r="B30" s="84">
        <v>44501</v>
      </c>
      <c r="C30" s="140">
        <f>+'COSTO DE PRODUCTO  ANUAL'!BC56</f>
        <v>116595.48387096773</v>
      </c>
      <c r="D30" s="55">
        <f>+'COSTO DE PRODUCTO  ANUAL'!BA56</f>
        <v>14.095161290322579</v>
      </c>
      <c r="E30" s="54">
        <v>30</v>
      </c>
      <c r="F30" s="4">
        <f t="shared" si="8"/>
        <v>3497864.5161290318</v>
      </c>
      <c r="G30" s="37"/>
      <c r="I30" s="84">
        <v>44501</v>
      </c>
      <c r="J30" s="21">
        <f>+'COSTO DE PRODUCTO  ANUAL'!BA65</f>
        <v>2790121.33057698</v>
      </c>
      <c r="K30" s="54">
        <v>30</v>
      </c>
      <c r="L30" s="4">
        <f t="shared" si="9"/>
        <v>83703639.917309403</v>
      </c>
      <c r="M30" s="37"/>
      <c r="N30" s="37"/>
      <c r="P30" s="348"/>
      <c r="Q30" s="37"/>
      <c r="R30" s="37"/>
      <c r="S30" s="37"/>
      <c r="T30" s="37"/>
      <c r="U30" s="37"/>
      <c r="V30" s="37"/>
      <c r="W30" s="37"/>
    </row>
    <row r="31" spans="1:46" ht="15.75" customHeight="1" x14ac:dyDescent="0.25">
      <c r="B31" s="84">
        <v>44531</v>
      </c>
      <c r="C31" s="140">
        <f>+'COSTO DE PRODUCTO  ANUAL'!BM56</f>
        <v>115486.45161290323</v>
      </c>
      <c r="D31" s="55">
        <f>+'COSTO DE PRODUCTO  ANUAL'!BK56</f>
        <v>14.17258064516129</v>
      </c>
      <c r="E31" s="54">
        <v>30</v>
      </c>
      <c r="F31" s="4">
        <f t="shared" si="8"/>
        <v>3464593.5483870967</v>
      </c>
      <c r="G31" s="37"/>
      <c r="I31" s="84">
        <v>44531</v>
      </c>
      <c r="J31" s="21">
        <f>+'COSTO DE PRODUCTO  ANUAL'!BK65</f>
        <v>2783611.9716502056</v>
      </c>
      <c r="K31" s="54">
        <v>30</v>
      </c>
      <c r="L31" s="4">
        <f t="shared" si="9"/>
        <v>83508359.149506167</v>
      </c>
      <c r="M31" s="37"/>
      <c r="N31" s="37"/>
      <c r="P31" s="348"/>
      <c r="Q31" s="37"/>
      <c r="R31" s="37"/>
      <c r="S31" s="37"/>
      <c r="T31" s="37"/>
      <c r="U31" s="37"/>
      <c r="V31" s="37"/>
      <c r="W31" s="37"/>
    </row>
    <row r="32" spans="1:46" ht="15.75" customHeight="1" x14ac:dyDescent="0.25">
      <c r="B32" s="84">
        <v>44562</v>
      </c>
      <c r="C32" s="140">
        <f>+'COSTO DE PRODUCTO  ANUAL'!BW56</f>
        <v>115149.67741935483</v>
      </c>
      <c r="D32" s="55">
        <f>+'COSTO DE PRODUCTO  ANUAL'!BU56</f>
        <v>14.132230929995035</v>
      </c>
      <c r="E32" s="54">
        <v>30</v>
      </c>
      <c r="F32" s="4">
        <f t="shared" si="8"/>
        <v>3454490.3225806449</v>
      </c>
      <c r="G32" s="37"/>
      <c r="I32" s="84">
        <v>44562</v>
      </c>
      <c r="J32" s="21">
        <f>+'COSTO DE PRODUCTO  ANUAL'!BU65</f>
        <v>2842522.503330403</v>
      </c>
      <c r="K32" s="54">
        <v>30</v>
      </c>
      <c r="L32" s="4">
        <f t="shared" si="9"/>
        <v>85275675.099912092</v>
      </c>
      <c r="M32" s="37"/>
      <c r="N32" s="37"/>
      <c r="P32" s="348"/>
      <c r="Q32" s="37"/>
      <c r="R32" s="37"/>
      <c r="S32" s="37"/>
      <c r="T32" s="37"/>
      <c r="U32" s="37"/>
      <c r="V32" s="37"/>
      <c r="W32" s="37"/>
    </row>
    <row r="33" spans="2:23" ht="15.75" customHeight="1" x14ac:dyDescent="0.25">
      <c r="B33" s="84">
        <v>44593</v>
      </c>
      <c r="C33" s="140">
        <f>+'COSTO DE PRODUCTO  ANUAL'!CG56</f>
        <v>117102.58064516129</v>
      </c>
      <c r="D33" s="55">
        <f>+'COSTO DE PRODUCTO  ANUAL'!CE56</f>
        <v>14.074288912845178</v>
      </c>
      <c r="E33" s="54">
        <v>30</v>
      </c>
      <c r="F33" s="4">
        <f t="shared" si="8"/>
        <v>3513077.4193548388</v>
      </c>
      <c r="G33" s="37"/>
      <c r="I33" s="84">
        <v>44593</v>
      </c>
      <c r="J33" s="21">
        <f>+'COSTO DE PRODUCTO  ANUAL'!CE65</f>
        <v>2877882.51106267</v>
      </c>
      <c r="K33" s="54">
        <v>30</v>
      </c>
      <c r="L33" s="4">
        <f t="shared" si="9"/>
        <v>86336475.331880108</v>
      </c>
      <c r="M33" s="37"/>
      <c r="N33" s="37"/>
      <c r="P33" s="348"/>
      <c r="Q33" s="37"/>
      <c r="R33" s="37"/>
      <c r="S33" s="37"/>
      <c r="T33" s="37"/>
      <c r="U33" s="37"/>
      <c r="V33" s="37"/>
      <c r="W33" s="37"/>
    </row>
    <row r="34" spans="2:23" ht="15.75" customHeight="1" x14ac:dyDescent="0.25">
      <c r="B34" s="84">
        <v>44621</v>
      </c>
      <c r="C34" s="140">
        <f>+'COSTO DE PRODUCTO  ANUAL'!CQ56</f>
        <v>117124</v>
      </c>
      <c r="D34" s="55">
        <f>+'COSTO DE PRODUCTO  ANUAL'!CO56</f>
        <v>14.045</v>
      </c>
      <c r="E34" s="54">
        <v>30</v>
      </c>
      <c r="F34" s="4">
        <f t="shared" si="8"/>
        <v>3513720</v>
      </c>
      <c r="G34" s="37"/>
      <c r="I34" s="84">
        <v>44621</v>
      </c>
      <c r="J34" s="21">
        <f>+'COSTO DE PRODUCTO  ANUAL'!CO65</f>
        <v>2600381.9610247291</v>
      </c>
      <c r="K34" s="54">
        <v>30</v>
      </c>
      <c r="L34" s="4">
        <f t="shared" si="9"/>
        <v>78011458.830741867</v>
      </c>
      <c r="M34" s="37"/>
      <c r="N34" s="37"/>
      <c r="P34" s="348"/>
      <c r="Q34" s="37"/>
      <c r="R34" s="37"/>
      <c r="S34" s="37"/>
      <c r="T34" s="37"/>
      <c r="U34" s="37"/>
      <c r="V34" s="37"/>
      <c r="W34" s="37"/>
    </row>
    <row r="35" spans="2:23" ht="15.75" customHeight="1" x14ac:dyDescent="0.25">
      <c r="B35" s="84">
        <v>44652</v>
      </c>
      <c r="C35" s="140">
        <f>+'COSTO DE PRODUCTO  ANUAL'!DA56</f>
        <v>116149.99999999999</v>
      </c>
      <c r="D35" s="55">
        <f>+'COSTO DE PRODUCTO  ANUAL'!CY56</f>
        <v>14.118178712049721</v>
      </c>
      <c r="E35" s="54">
        <v>30</v>
      </c>
      <c r="F35" s="4">
        <f t="shared" si="8"/>
        <v>3484499.9999999995</v>
      </c>
      <c r="G35" s="37"/>
      <c r="I35" s="84">
        <v>44652</v>
      </c>
      <c r="J35" s="21">
        <f>+'COSTO DE PRODUCTO  ANUAL'!CY65</f>
        <v>2671604.2281418811</v>
      </c>
      <c r="K35" s="54">
        <v>30</v>
      </c>
      <c r="L35" s="4">
        <f t="shared" si="9"/>
        <v>80148126.844256431</v>
      </c>
      <c r="M35" s="37"/>
      <c r="N35" s="37"/>
      <c r="P35" s="348"/>
      <c r="Q35" s="37"/>
      <c r="R35" s="37"/>
      <c r="S35" s="37"/>
      <c r="T35" s="37"/>
      <c r="U35" s="37"/>
      <c r="V35" s="37"/>
      <c r="W35" s="37"/>
    </row>
    <row r="36" spans="2:23" ht="15.75" customHeight="1" x14ac:dyDescent="0.25">
      <c r="B36" s="84">
        <v>44682</v>
      </c>
      <c r="C36" s="140">
        <f>+'COSTO DE PRODUCTO  ANUAL'!DK56</f>
        <v>116312.90322580645</v>
      </c>
      <c r="D36" s="55">
        <f>+'COSTO DE PRODUCTO  ANUAL'!DI56</f>
        <v>14.098174518981187</v>
      </c>
      <c r="E36" s="54">
        <v>30</v>
      </c>
      <c r="F36" s="4">
        <f t="shared" si="8"/>
        <v>3489387.0967741935</v>
      </c>
      <c r="G36" s="37"/>
      <c r="I36" s="137">
        <v>44682</v>
      </c>
      <c r="J36" s="138">
        <f>+'COSTO DE PRODUCTO  ANUAL'!DI65</f>
        <v>2698317.1132253017</v>
      </c>
      <c r="K36" s="139">
        <v>30</v>
      </c>
      <c r="L36" s="4">
        <f t="shared" si="9"/>
        <v>80949513.396759048</v>
      </c>
      <c r="M36" s="37"/>
      <c r="N36" s="37"/>
      <c r="P36" s="348"/>
      <c r="Q36" s="348"/>
      <c r="R36" s="37"/>
      <c r="S36" s="37"/>
      <c r="T36" s="37"/>
      <c r="U36" s="37"/>
      <c r="V36" s="37"/>
      <c r="W36" s="37"/>
    </row>
    <row r="37" spans="2:23" ht="15.75" customHeight="1" x14ac:dyDescent="0.25">
      <c r="B37" s="1659" t="s">
        <v>338</v>
      </c>
      <c r="C37" s="1659"/>
      <c r="D37" s="143">
        <f>+SUM(D25:D36)</f>
        <v>170.22579346394423</v>
      </c>
      <c r="E37" s="144"/>
      <c r="F37" s="477">
        <f>+SUM(F25:F36)</f>
        <v>41837012.903225794</v>
      </c>
      <c r="G37" s="37"/>
      <c r="I37" s="141" t="s">
        <v>88</v>
      </c>
      <c r="J37" s="142">
        <f>+SUM(J25:J36)</f>
        <v>33366618.374665335</v>
      </c>
      <c r="K37" s="141"/>
      <c r="L37" s="1048">
        <f>+SUM(L25:L36)</f>
        <v>1000998551.2399602</v>
      </c>
      <c r="M37" s="37"/>
      <c r="N37" s="37"/>
      <c r="P37" s="37"/>
      <c r="Q37" s="348"/>
      <c r="R37" s="37"/>
      <c r="S37" s="37"/>
      <c r="T37" s="37"/>
      <c r="U37" s="37"/>
      <c r="V37" s="37"/>
      <c r="W37" s="37"/>
    </row>
    <row r="38" spans="2:23" s="37" customFormat="1" x14ac:dyDescent="0.25"/>
    <row r="39" spans="2:23" s="37" customFormat="1" x14ac:dyDescent="0.25"/>
    <row r="40" spans="2:23" x14ac:dyDescent="0.25">
      <c r="B40" s="1502" t="s">
        <v>442</v>
      </c>
      <c r="C40" s="1502"/>
      <c r="D40" s="1502"/>
      <c r="E40" s="1502"/>
      <c r="F40" s="37"/>
      <c r="G40" s="37"/>
      <c r="I40" s="37"/>
      <c r="J40" s="37"/>
      <c r="K40" s="37"/>
      <c r="L40" s="37"/>
      <c r="M40" s="37"/>
      <c r="N40" s="37"/>
      <c r="P40" s="37"/>
      <c r="Q40" s="37"/>
      <c r="R40" s="37"/>
      <c r="S40" s="37"/>
      <c r="T40" s="37"/>
      <c r="U40" s="37"/>
      <c r="V40" s="37"/>
      <c r="W40" s="37"/>
    </row>
    <row r="41" spans="2:23" x14ac:dyDescent="0.25">
      <c r="B41" s="1657" t="s">
        <v>440</v>
      </c>
      <c r="C41" s="1657"/>
      <c r="D41" s="1658">
        <f>+W21</f>
        <v>2169660000</v>
      </c>
      <c r="E41" s="1658"/>
      <c r="F41" s="37"/>
      <c r="G41" s="37"/>
      <c r="I41" s="37"/>
      <c r="J41" s="37"/>
      <c r="K41" s="37"/>
      <c r="L41" s="37"/>
      <c r="M41" s="37"/>
      <c r="N41" s="37"/>
      <c r="P41" s="37"/>
      <c r="Q41" s="37"/>
      <c r="R41" s="37"/>
      <c r="S41" s="37"/>
      <c r="T41" s="37"/>
      <c r="U41" s="37"/>
      <c r="V41" s="37"/>
      <c r="W41" s="37"/>
    </row>
    <row r="42" spans="2:23" x14ac:dyDescent="0.25">
      <c r="B42" s="1657" t="s">
        <v>448</v>
      </c>
      <c r="C42" s="1657"/>
      <c r="D42" s="1658">
        <f>+G21</f>
        <v>1394670516.1290324</v>
      </c>
      <c r="E42" s="1658"/>
      <c r="F42" s="37"/>
      <c r="G42" s="37"/>
      <c r="I42" s="37"/>
      <c r="J42" s="37"/>
      <c r="K42" s="37"/>
      <c r="L42" s="37"/>
      <c r="M42" s="37"/>
      <c r="N42" s="37"/>
      <c r="P42" s="37"/>
      <c r="Q42" s="37"/>
      <c r="R42" s="37"/>
      <c r="S42" s="37"/>
      <c r="T42" s="37"/>
      <c r="U42" s="37"/>
      <c r="V42" s="37"/>
      <c r="W42" s="37"/>
    </row>
    <row r="43" spans="2:23" x14ac:dyDescent="0.25">
      <c r="B43" s="1659" t="s">
        <v>455</v>
      </c>
      <c r="C43" s="1659"/>
      <c r="D43" s="1660">
        <f>+D41-D42</f>
        <v>774989483.87096763</v>
      </c>
      <c r="E43" s="1660"/>
      <c r="F43" s="37"/>
      <c r="G43" s="37"/>
      <c r="I43" s="37"/>
      <c r="J43" s="37"/>
      <c r="K43" s="37"/>
      <c r="L43" s="37"/>
      <c r="M43" s="37"/>
      <c r="N43" s="37"/>
      <c r="P43" s="37"/>
      <c r="Q43" s="37"/>
      <c r="R43" s="37"/>
      <c r="S43" s="37"/>
      <c r="T43" s="37"/>
      <c r="U43" s="37"/>
      <c r="V43" s="37"/>
      <c r="W43" s="37"/>
    </row>
    <row r="44" spans="2:23" s="37" customFormat="1" x14ac:dyDescent="0.25"/>
    <row r="45" spans="2:23" s="37" customFormat="1" x14ac:dyDescent="0.25"/>
    <row r="46" spans="2:23" x14ac:dyDescent="0.25">
      <c r="B46" s="1502" t="s">
        <v>443</v>
      </c>
      <c r="C46" s="1502"/>
      <c r="D46" s="1502"/>
      <c r="E46" s="1502"/>
      <c r="F46" s="37"/>
      <c r="G46" s="348"/>
      <c r="I46" s="37"/>
      <c r="J46" s="583"/>
      <c r="K46" s="37"/>
      <c r="L46" s="37"/>
      <c r="M46" s="37"/>
      <c r="N46" s="37"/>
      <c r="P46" s="37"/>
      <c r="Q46" s="37"/>
      <c r="R46" s="37"/>
      <c r="S46" s="37"/>
      <c r="T46" s="37"/>
      <c r="U46" s="37"/>
      <c r="V46" s="37"/>
      <c r="W46" s="37"/>
    </row>
    <row r="47" spans="2:23" x14ac:dyDescent="0.25">
      <c r="B47" s="1657" t="s">
        <v>445</v>
      </c>
      <c r="C47" s="1657"/>
      <c r="D47" s="1658">
        <f>+S21</f>
        <v>2094060000</v>
      </c>
      <c r="E47" s="1658"/>
      <c r="F47" s="37"/>
      <c r="G47" s="348"/>
      <c r="I47" s="37"/>
      <c r="J47" s="37"/>
      <c r="K47" s="37"/>
      <c r="L47" s="37"/>
      <c r="M47" s="37"/>
      <c r="N47" s="37"/>
      <c r="P47" s="37"/>
      <c r="Q47" s="37"/>
      <c r="R47" s="37"/>
      <c r="S47" s="37"/>
      <c r="T47" s="37"/>
      <c r="U47" s="37"/>
      <c r="V47" s="37"/>
      <c r="W47" s="37"/>
    </row>
    <row r="48" spans="2:23" x14ac:dyDescent="0.25">
      <c r="B48" s="1653" t="s">
        <v>444</v>
      </c>
      <c r="C48" s="1654"/>
      <c r="D48" s="1655">
        <f>+'VTA- UTILIDAD ANUAL '!V21</f>
        <v>75600000</v>
      </c>
      <c r="E48" s="1656"/>
      <c r="F48" s="37"/>
      <c r="G48" s="583"/>
      <c r="I48" s="37"/>
      <c r="J48" s="348"/>
      <c r="K48" s="37"/>
      <c r="L48" s="583"/>
      <c r="M48" s="37"/>
      <c r="N48" s="37"/>
      <c r="P48" s="37"/>
      <c r="Q48" s="37"/>
      <c r="R48" s="37"/>
      <c r="S48" s="37"/>
      <c r="T48" s="37"/>
      <c r="U48" s="37"/>
      <c r="V48" s="37"/>
      <c r="W48" s="37"/>
    </row>
    <row r="49" spans="2:23" x14ac:dyDescent="0.25">
      <c r="B49" s="1657" t="s">
        <v>441</v>
      </c>
      <c r="C49" s="1657"/>
      <c r="D49" s="1658">
        <f>+N21</f>
        <v>1126824435.8568139</v>
      </c>
      <c r="E49" s="1658"/>
      <c r="F49" s="583"/>
      <c r="G49" s="583"/>
      <c r="I49" s="37"/>
      <c r="J49" s="583"/>
      <c r="K49" s="37"/>
      <c r="L49" s="37"/>
      <c r="M49" s="37"/>
      <c r="N49" s="37"/>
      <c r="P49" s="37"/>
      <c r="Q49" s="37"/>
      <c r="R49" s="37"/>
      <c r="S49" s="37"/>
      <c r="T49" s="37"/>
      <c r="U49" s="37"/>
      <c r="V49" s="37"/>
      <c r="W49" s="37"/>
    </row>
    <row r="50" spans="2:23" x14ac:dyDescent="0.25">
      <c r="B50" s="1653" t="s">
        <v>410</v>
      </c>
      <c r="C50" s="1654"/>
      <c r="D50" s="1655">
        <f>+F37</f>
        <v>41837012.903225794</v>
      </c>
      <c r="E50" s="1656"/>
      <c r="F50" s="37"/>
      <c r="G50" s="583"/>
      <c r="I50" s="37"/>
      <c r="J50" s="37"/>
      <c r="K50" s="37"/>
      <c r="L50" s="37"/>
      <c r="M50" s="37"/>
      <c r="N50" s="37"/>
      <c r="P50" s="37"/>
      <c r="Q50" s="37"/>
      <c r="R50" s="37"/>
      <c r="S50" s="37"/>
      <c r="T50" s="37"/>
      <c r="U50" s="37"/>
      <c r="V50" s="37"/>
      <c r="W50" s="37"/>
    </row>
    <row r="51" spans="2:23" x14ac:dyDescent="0.25">
      <c r="B51" s="1659" t="s">
        <v>456</v>
      </c>
      <c r="C51" s="1659"/>
      <c r="D51" s="1660">
        <f>(D47+D48)-(D49+D50)</f>
        <v>1000998551.2399602</v>
      </c>
      <c r="E51" s="1660"/>
      <c r="F51" s="205"/>
      <c r="G51" s="583"/>
      <c r="I51" s="37"/>
      <c r="J51" s="37"/>
      <c r="K51" s="37"/>
      <c r="L51" s="37"/>
      <c r="M51" s="37"/>
      <c r="N51" s="37"/>
      <c r="P51" s="37"/>
      <c r="Q51" s="37"/>
      <c r="R51" s="37"/>
      <c r="S51" s="37"/>
      <c r="T51" s="37"/>
      <c r="U51" s="37"/>
      <c r="V51" s="37"/>
      <c r="W51" s="37"/>
    </row>
    <row r="52" spans="2:23" s="37" customFormat="1" x14ac:dyDescent="0.25"/>
    <row r="53" spans="2:23" s="37" customFormat="1" x14ac:dyDescent="0.25"/>
    <row r="54" spans="2:23" s="37" customFormat="1" x14ac:dyDescent="0.25">
      <c r="G54" s="348"/>
    </row>
    <row r="55" spans="2:23" s="37" customFormat="1" x14ac:dyDescent="0.25">
      <c r="J55" s="348"/>
    </row>
    <row r="56" spans="2:23" s="37" customFormat="1" hidden="1" x14ac:dyDescent="0.25"/>
    <row r="57" spans="2:23" s="37" customFormat="1" hidden="1" x14ac:dyDescent="0.25"/>
    <row r="58" spans="2:23" s="37" customFormat="1" hidden="1" x14ac:dyDescent="0.25"/>
    <row r="59" spans="2:23" s="37" customFormat="1" hidden="1" x14ac:dyDescent="0.25"/>
    <row r="60" spans="2:23" s="37" customFormat="1" hidden="1" x14ac:dyDescent="0.25"/>
    <row r="61" spans="2:23" s="37" customFormat="1" hidden="1" x14ac:dyDescent="0.25"/>
    <row r="62" spans="2:23" s="37" customFormat="1" hidden="1" x14ac:dyDescent="0.25"/>
    <row r="63" spans="2:23" s="37" customFormat="1" hidden="1" x14ac:dyDescent="0.25"/>
    <row r="64" spans="2:23" s="37" customFormat="1" hidden="1" x14ac:dyDescent="0.25"/>
    <row r="65" s="37" customFormat="1" hidden="1" x14ac:dyDescent="0.25"/>
    <row r="66" s="37" customFormat="1" hidden="1" x14ac:dyDescent="0.25"/>
    <row r="67" s="37" customFormat="1" hidden="1" x14ac:dyDescent="0.25"/>
    <row r="68" s="37" customFormat="1" hidden="1" x14ac:dyDescent="0.25"/>
    <row r="69" s="37" customFormat="1" hidden="1" x14ac:dyDescent="0.25"/>
    <row r="70" s="37" customFormat="1" hidden="1" x14ac:dyDescent="0.25"/>
    <row r="71" s="37" customFormat="1" hidden="1" x14ac:dyDescent="0.25"/>
    <row r="72" s="37" customFormat="1" hidden="1" x14ac:dyDescent="0.25"/>
    <row r="73" s="37" customFormat="1" hidden="1" x14ac:dyDescent="0.25"/>
    <row r="74" s="37" customFormat="1" hidden="1" x14ac:dyDescent="0.25"/>
    <row r="75" s="37" customFormat="1" hidden="1" x14ac:dyDescent="0.25"/>
    <row r="76" s="37" customFormat="1" hidden="1" x14ac:dyDescent="0.25"/>
    <row r="77" s="37" customFormat="1" hidden="1" x14ac:dyDescent="0.25"/>
    <row r="78" s="37" customFormat="1" hidden="1" x14ac:dyDescent="0.25"/>
    <row r="79" s="37" customFormat="1" hidden="1" x14ac:dyDescent="0.25"/>
    <row r="80" s="37" customFormat="1" hidden="1" x14ac:dyDescent="0.25"/>
    <row r="81" s="37" customFormat="1" hidden="1" x14ac:dyDescent="0.25"/>
    <row r="82" s="37" customFormat="1" hidden="1" x14ac:dyDescent="0.25"/>
    <row r="83" s="37" customFormat="1" hidden="1" x14ac:dyDescent="0.25"/>
    <row r="84" s="37" customFormat="1" hidden="1" x14ac:dyDescent="0.25"/>
    <row r="85" s="37" customFormat="1" hidden="1" x14ac:dyDescent="0.25"/>
    <row r="86" s="37" customFormat="1" hidden="1" x14ac:dyDescent="0.25"/>
    <row r="87" s="37" customFormat="1" hidden="1" x14ac:dyDescent="0.25"/>
    <row r="88" s="37" customFormat="1" hidden="1" x14ac:dyDescent="0.25"/>
    <row r="89" s="37" customFormat="1" hidden="1" x14ac:dyDescent="0.25"/>
    <row r="90" s="37" customFormat="1" hidden="1" x14ac:dyDescent="0.25"/>
    <row r="91" s="37" customFormat="1" hidden="1" x14ac:dyDescent="0.25"/>
    <row r="92" s="37" customFormat="1" hidden="1" x14ac:dyDescent="0.25"/>
    <row r="93" s="37" customFormat="1" hidden="1" x14ac:dyDescent="0.25"/>
    <row r="94" s="37" customFormat="1" hidden="1" x14ac:dyDescent="0.25"/>
    <row r="95" s="37" customFormat="1" hidden="1" x14ac:dyDescent="0.25"/>
    <row r="96" s="37" customFormat="1" hidden="1" x14ac:dyDescent="0.25"/>
    <row r="97" s="37" customFormat="1" hidden="1" x14ac:dyDescent="0.25"/>
    <row r="98" s="37" customFormat="1" hidden="1" x14ac:dyDescent="0.25"/>
    <row r="99" s="37" customFormat="1" hidden="1" x14ac:dyDescent="0.25"/>
    <row r="100" s="37" customFormat="1" hidden="1" x14ac:dyDescent="0.25"/>
    <row r="101" s="37" customFormat="1" hidden="1" x14ac:dyDescent="0.25"/>
    <row r="102" s="37" customFormat="1" hidden="1" x14ac:dyDescent="0.25"/>
    <row r="103" s="37" customFormat="1" hidden="1" x14ac:dyDescent="0.25"/>
    <row r="104" s="37" customFormat="1" hidden="1" x14ac:dyDescent="0.25"/>
    <row r="105" s="37" customFormat="1" hidden="1" x14ac:dyDescent="0.25"/>
    <row r="106" s="37" customFormat="1" hidden="1" x14ac:dyDescent="0.25"/>
    <row r="107" s="37" customFormat="1" hidden="1" x14ac:dyDescent="0.25"/>
    <row r="108" s="37" customFormat="1" hidden="1" x14ac:dyDescent="0.25"/>
    <row r="109" s="37" customFormat="1" hidden="1" x14ac:dyDescent="0.25"/>
    <row r="110" s="37" customFormat="1" hidden="1" x14ac:dyDescent="0.25"/>
    <row r="111" s="37" customFormat="1" hidden="1" x14ac:dyDescent="0.25"/>
    <row r="112" s="37" customFormat="1" hidden="1" x14ac:dyDescent="0.25"/>
    <row r="113" s="37" customFormat="1" hidden="1" x14ac:dyDescent="0.25"/>
    <row r="114" s="37" customFormat="1" hidden="1" x14ac:dyDescent="0.25"/>
    <row r="115" s="37" customFormat="1" hidden="1" x14ac:dyDescent="0.25"/>
    <row r="116" s="37" customFormat="1" hidden="1" x14ac:dyDescent="0.25"/>
    <row r="117" s="37" customFormat="1" hidden="1" x14ac:dyDescent="0.25"/>
    <row r="118" s="37" customFormat="1" hidden="1" x14ac:dyDescent="0.25"/>
    <row r="119" s="37" customFormat="1" hidden="1" x14ac:dyDescent="0.25"/>
    <row r="120" s="37" customFormat="1" hidden="1" x14ac:dyDescent="0.25"/>
    <row r="121" s="37" customFormat="1" hidden="1" x14ac:dyDescent="0.25"/>
    <row r="122" s="37" customFormat="1" hidden="1" x14ac:dyDescent="0.25"/>
    <row r="123" s="37" customFormat="1" hidden="1" x14ac:dyDescent="0.25"/>
    <row r="124" s="37" customFormat="1" hidden="1" x14ac:dyDescent="0.25"/>
    <row r="125" s="37" customFormat="1" hidden="1" x14ac:dyDescent="0.25"/>
    <row r="126" s="37" customFormat="1" hidden="1" x14ac:dyDescent="0.25"/>
    <row r="127" s="37" customFormat="1" hidden="1" x14ac:dyDescent="0.25"/>
    <row r="128" s="37" customFormat="1" hidden="1" x14ac:dyDescent="0.25"/>
    <row r="129" s="37" customFormat="1" hidden="1" x14ac:dyDescent="0.25"/>
    <row r="130" s="37" customFormat="1" hidden="1" x14ac:dyDescent="0.25"/>
    <row r="131" s="37" customFormat="1" hidden="1" x14ac:dyDescent="0.25"/>
    <row r="132" s="37" customFormat="1" hidden="1" x14ac:dyDescent="0.25"/>
    <row r="133" s="37" customFormat="1" hidden="1" x14ac:dyDescent="0.25"/>
    <row r="134" s="37" customFormat="1" hidden="1" x14ac:dyDescent="0.25"/>
    <row r="135" s="37" customFormat="1" hidden="1" x14ac:dyDescent="0.25"/>
    <row r="136" s="37" customFormat="1" hidden="1" x14ac:dyDescent="0.25"/>
    <row r="137" s="37" customFormat="1" hidden="1" x14ac:dyDescent="0.25"/>
    <row r="138" s="37" customFormat="1" hidden="1" x14ac:dyDescent="0.25"/>
    <row r="139" s="37" customFormat="1" hidden="1" x14ac:dyDescent="0.25"/>
    <row r="140" s="37" customFormat="1" hidden="1" x14ac:dyDescent="0.25"/>
    <row r="141" s="37" customFormat="1" hidden="1" x14ac:dyDescent="0.25"/>
    <row r="142" s="37" customFormat="1" hidden="1" x14ac:dyDescent="0.25"/>
    <row r="143" s="37" customFormat="1" hidden="1" x14ac:dyDescent="0.25"/>
    <row r="144" s="37" customFormat="1" hidden="1" x14ac:dyDescent="0.25"/>
    <row r="145" spans="13:23" s="37" customFormat="1" hidden="1" x14ac:dyDescent="0.25"/>
    <row r="146" spans="13:23" s="37" customFormat="1" hidden="1" x14ac:dyDescent="0.25"/>
    <row r="147" spans="13:23" s="37" customFormat="1" hidden="1" x14ac:dyDescent="0.25"/>
    <row r="148" spans="13:23" s="37" customFormat="1" hidden="1" x14ac:dyDescent="0.25"/>
    <row r="149" spans="13:23" s="37" customFormat="1" hidden="1" x14ac:dyDescent="0.25"/>
    <row r="150" spans="13:23" hidden="1" x14ac:dyDescent="0.25">
      <c r="M150" s="37"/>
      <c r="N150" s="37"/>
      <c r="P150" s="37"/>
      <c r="Q150" s="37"/>
      <c r="R150" s="37"/>
      <c r="S150" s="37"/>
      <c r="T150" s="37"/>
      <c r="U150" s="37"/>
      <c r="V150" s="37"/>
      <c r="W150" s="37"/>
    </row>
    <row r="151" spans="13:23" hidden="1" x14ac:dyDescent="0.25">
      <c r="M151" s="37"/>
      <c r="N151" s="37"/>
      <c r="P151" s="37"/>
      <c r="Q151" s="37"/>
      <c r="R151" s="37"/>
      <c r="S151" s="37"/>
      <c r="T151" s="37"/>
      <c r="U151" s="37"/>
      <c r="V151" s="37"/>
      <c r="W151" s="37"/>
    </row>
    <row r="152" spans="13:23" hidden="1" x14ac:dyDescent="0.25">
      <c r="M152" s="37"/>
      <c r="N152" s="37"/>
      <c r="P152" s="37"/>
      <c r="Q152" s="37"/>
      <c r="R152" s="37"/>
      <c r="S152" s="37"/>
      <c r="T152" s="37"/>
      <c r="U152" s="37"/>
      <c r="V152" s="37"/>
      <c r="W152" s="37"/>
    </row>
    <row r="153" spans="13:23" hidden="1" x14ac:dyDescent="0.25">
      <c r="M153" s="37"/>
      <c r="N153" s="37"/>
      <c r="P153" s="37"/>
      <c r="Q153" s="37"/>
      <c r="R153" s="37"/>
      <c r="S153" s="37"/>
      <c r="T153" s="37"/>
      <c r="U153" s="37"/>
      <c r="V153" s="37"/>
      <c r="W153" s="37"/>
    </row>
    <row r="154" spans="13:23" hidden="1" x14ac:dyDescent="0.25">
      <c r="M154" s="37"/>
      <c r="N154" s="37"/>
      <c r="P154" s="37"/>
      <c r="Q154" s="37"/>
      <c r="R154" s="37"/>
      <c r="S154" s="37"/>
      <c r="T154" s="37"/>
      <c r="U154" s="37"/>
      <c r="V154" s="37"/>
      <c r="W154" s="37"/>
    </row>
    <row r="155" spans="13:23" hidden="1" x14ac:dyDescent="0.25">
      <c r="M155" s="37"/>
      <c r="N155" s="37"/>
      <c r="P155" s="37"/>
      <c r="Q155" s="37"/>
      <c r="R155" s="37"/>
      <c r="S155" s="37"/>
      <c r="T155" s="37"/>
      <c r="U155" s="37"/>
      <c r="V155" s="37"/>
      <c r="W155" s="37"/>
    </row>
    <row r="156" spans="13:23" hidden="1" x14ac:dyDescent="0.25">
      <c r="M156" s="37"/>
      <c r="N156" s="37"/>
      <c r="P156" s="37"/>
      <c r="Q156" s="37"/>
      <c r="R156" s="37"/>
      <c r="S156" s="37"/>
      <c r="T156" s="37"/>
      <c r="U156" s="37"/>
      <c r="V156" s="37"/>
      <c r="W156" s="37"/>
    </row>
    <row r="157" spans="13:23" hidden="1" x14ac:dyDescent="0.25">
      <c r="M157" s="37"/>
      <c r="N157" s="37"/>
      <c r="P157" s="37"/>
      <c r="Q157" s="37"/>
      <c r="R157" s="37"/>
      <c r="S157" s="37"/>
      <c r="T157" s="37"/>
      <c r="U157" s="37"/>
      <c r="V157" s="37"/>
      <c r="W157" s="37"/>
    </row>
    <row r="158" spans="13:23" hidden="1" x14ac:dyDescent="0.25">
      <c r="M158" s="37"/>
      <c r="N158" s="37"/>
      <c r="P158" s="37"/>
      <c r="Q158" s="37"/>
      <c r="R158" s="37"/>
      <c r="S158" s="37"/>
      <c r="T158" s="37"/>
      <c r="U158" s="37"/>
      <c r="V158" s="37"/>
      <c r="W158" s="37"/>
    </row>
    <row r="159" spans="13:23" hidden="1" x14ac:dyDescent="0.25">
      <c r="M159" s="37"/>
      <c r="N159" s="37"/>
      <c r="P159" s="37"/>
      <c r="Q159" s="37"/>
      <c r="R159" s="37"/>
      <c r="S159" s="37"/>
      <c r="T159" s="37"/>
      <c r="U159" s="37"/>
      <c r="V159" s="37"/>
      <c r="W159" s="37"/>
    </row>
  </sheetData>
  <mergeCells count="29">
    <mergeCell ref="B3:W3"/>
    <mergeCell ref="B4:W4"/>
    <mergeCell ref="B5:W5"/>
    <mergeCell ref="P7:W7"/>
    <mergeCell ref="B21:E21"/>
    <mergeCell ref="B23:F23"/>
    <mergeCell ref="I23:L23"/>
    <mergeCell ref="I7:N7"/>
    <mergeCell ref="I21:M21"/>
    <mergeCell ref="B37:C37"/>
    <mergeCell ref="B7:G7"/>
    <mergeCell ref="B46:E46"/>
    <mergeCell ref="B47:C47"/>
    <mergeCell ref="D47:E47"/>
    <mergeCell ref="B40:E40"/>
    <mergeCell ref="B41:C41"/>
    <mergeCell ref="B42:C42"/>
    <mergeCell ref="B43:C43"/>
    <mergeCell ref="D41:E41"/>
    <mergeCell ref="D42:E42"/>
    <mergeCell ref="D43:E43"/>
    <mergeCell ref="B48:C48"/>
    <mergeCell ref="D48:E48"/>
    <mergeCell ref="B49:C49"/>
    <mergeCell ref="D49:E49"/>
    <mergeCell ref="B51:C51"/>
    <mergeCell ref="D51:E51"/>
    <mergeCell ref="B50:C50"/>
    <mergeCell ref="D50:E5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C806-E7BC-4275-B6E9-398FEA40FBDB}">
  <dimension ref="A1:AF79"/>
  <sheetViews>
    <sheetView topLeftCell="A6" workbookViewId="0">
      <selection activeCell="B8" sqref="B8:H8"/>
    </sheetView>
  </sheetViews>
  <sheetFormatPr baseColWidth="10" defaultColWidth="0" defaultRowHeight="15" zeroHeight="1" x14ac:dyDescent="0.25"/>
  <cols>
    <col min="1" max="1" width="11.42578125" style="37" customWidth="1"/>
    <col min="2" max="2" width="11.42578125" customWidth="1"/>
    <col min="3" max="4" width="22.42578125" customWidth="1"/>
    <col min="5" max="5" width="19" customWidth="1"/>
    <col min="6" max="6" width="20.7109375" style="3" customWidth="1"/>
    <col min="7" max="7" width="19.5703125" customWidth="1"/>
    <col min="8" max="8" width="20" customWidth="1"/>
    <col min="9" max="9" width="20.5703125" style="37" customWidth="1"/>
    <col min="10" max="32" width="0" style="37" hidden="1"/>
    <col min="33" max="16384" width="11.42578125" hidden="1"/>
  </cols>
  <sheetData>
    <row r="1" spans="2:8" s="37" customFormat="1" x14ac:dyDescent="0.25">
      <c r="F1" s="103"/>
    </row>
    <row r="2" spans="2:8" s="37" customFormat="1" x14ac:dyDescent="0.25">
      <c r="F2" s="103"/>
    </row>
    <row r="3" spans="2:8" s="37" customFormat="1" x14ac:dyDescent="0.25">
      <c r="F3" s="103"/>
    </row>
    <row r="4" spans="2:8" s="37" customFormat="1" x14ac:dyDescent="0.25">
      <c r="F4" s="103"/>
    </row>
    <row r="5" spans="2:8" s="37" customFormat="1" x14ac:dyDescent="0.25">
      <c r="F5" s="103"/>
    </row>
    <row r="6" spans="2:8" s="388" customFormat="1" ht="23.25" x14ac:dyDescent="0.35">
      <c r="B6" s="1373" t="s">
        <v>71</v>
      </c>
      <c r="C6" s="1373"/>
      <c r="D6" s="1373"/>
      <c r="E6" s="1373"/>
      <c r="F6" s="1373"/>
      <c r="G6" s="1373"/>
      <c r="H6" s="1373"/>
    </row>
    <row r="7" spans="2:8" s="388" customFormat="1" ht="23.25" x14ac:dyDescent="0.35">
      <c r="B7" s="1373" t="s">
        <v>592</v>
      </c>
      <c r="C7" s="1373"/>
      <c r="D7" s="1373"/>
      <c r="E7" s="1373"/>
      <c r="F7" s="1373"/>
      <c r="G7" s="1373"/>
      <c r="H7" s="1373"/>
    </row>
    <row r="8" spans="2:8" s="388" customFormat="1" ht="23.25" x14ac:dyDescent="0.35">
      <c r="B8" s="1373" t="s">
        <v>601</v>
      </c>
      <c r="C8" s="1373"/>
      <c r="D8" s="1373"/>
      <c r="E8" s="1373"/>
      <c r="F8" s="1373"/>
      <c r="G8" s="1373"/>
      <c r="H8" s="1373"/>
    </row>
    <row r="9" spans="2:8" s="37" customFormat="1" x14ac:dyDescent="0.25">
      <c r="F9" s="103"/>
    </row>
    <row r="10" spans="2:8" s="37" customFormat="1" x14ac:dyDescent="0.25">
      <c r="F10" s="103"/>
    </row>
    <row r="11" spans="2:8" x14ac:dyDescent="0.25">
      <c r="B11" s="1667" t="s">
        <v>560</v>
      </c>
      <c r="C11" s="1667"/>
      <c r="D11" s="1667"/>
      <c r="E11" s="1667"/>
      <c r="F11" s="1667"/>
      <c r="G11" s="1667"/>
      <c r="H11" s="1667"/>
    </row>
    <row r="12" spans="2:8" ht="15.75" thickBot="1" x14ac:dyDescent="0.3">
      <c r="B12" s="1668"/>
      <c r="C12" s="1668"/>
      <c r="D12" s="1668"/>
      <c r="E12" s="1668"/>
      <c r="F12" s="1668"/>
      <c r="G12" s="1668"/>
      <c r="H12" s="1668"/>
    </row>
    <row r="13" spans="2:8" ht="30" x14ac:dyDescent="0.25">
      <c r="B13" s="160" t="s">
        <v>516</v>
      </c>
      <c r="C13" s="161" t="s">
        <v>517</v>
      </c>
      <c r="D13" s="162" t="s">
        <v>522</v>
      </c>
      <c r="E13" s="161" t="s">
        <v>520</v>
      </c>
      <c r="F13" s="163" t="s">
        <v>518</v>
      </c>
      <c r="G13" s="161" t="s">
        <v>519</v>
      </c>
      <c r="H13" s="164" t="s">
        <v>523</v>
      </c>
    </row>
    <row r="14" spans="2:8" x14ac:dyDescent="0.25">
      <c r="B14" s="165">
        <v>44348</v>
      </c>
      <c r="C14" s="18">
        <f>+SUM('VTA- UTILIDAD ANUAL '!W9)</f>
        <v>184710000</v>
      </c>
      <c r="D14" s="18">
        <f>+'COMPRA DE MP ANUAL'!C40</f>
        <v>116696000</v>
      </c>
      <c r="E14" s="18">
        <f>+SUM(CIF!C33+CIF!D42)</f>
        <v>6641806.666666667</v>
      </c>
      <c r="F14" s="4">
        <f>+SUM('GASTOS ANUALES'!D89)-'GASTOS ANUALES'!D88</f>
        <v>889008.33333333349</v>
      </c>
      <c r="G14" s="4">
        <f>+'NOMINA   MENSUAL'!N32</f>
        <v>6349813.8568000002</v>
      </c>
      <c r="H14" s="166">
        <f>+C14-(D14+E14+F14++G14)</f>
        <v>54133371.143199995</v>
      </c>
    </row>
    <row r="15" spans="2:8" x14ac:dyDescent="0.25">
      <c r="B15" s="165">
        <v>44378</v>
      </c>
      <c r="C15" s="18">
        <f>+SUM('VTA- UTILIDAD ANUAL '!W10)</f>
        <v>181200000</v>
      </c>
      <c r="D15" s="18">
        <f>+'COMPRA DE MP ANUAL'!F40</f>
        <v>119802000</v>
      </c>
      <c r="E15" s="18">
        <f>+SUM(CIF!D33+CIF!E42)</f>
        <v>6660886.666666667</v>
      </c>
      <c r="F15" s="4">
        <f t="shared" ref="F15:F25" si="0">+$F$14</f>
        <v>889008.33333333349</v>
      </c>
      <c r="G15" s="4">
        <f t="shared" ref="G15:G25" si="1">+$G$14</f>
        <v>6349813.8568000002</v>
      </c>
      <c r="H15" s="166">
        <f t="shared" ref="H15:H25" si="2">+C15-(D15+E15+F15++G15)</f>
        <v>47498291.143199995</v>
      </c>
    </row>
    <row r="16" spans="2:8" x14ac:dyDescent="0.25">
      <c r="B16" s="165">
        <v>44409</v>
      </c>
      <c r="C16" s="18">
        <f>+SUM('VTA- UTILIDAD ANUAL '!W11)</f>
        <v>182610000</v>
      </c>
      <c r="D16" s="18">
        <f>+'COMPRA DE MP ANUAL'!J40</f>
        <v>115834000</v>
      </c>
      <c r="E16" s="18">
        <f>SUM(CIF!E33+CIF!F42)</f>
        <v>6632770.666666667</v>
      </c>
      <c r="F16" s="4">
        <f t="shared" si="0"/>
        <v>889008.33333333349</v>
      </c>
      <c r="G16" s="4">
        <f t="shared" si="1"/>
        <v>6349813.8568000002</v>
      </c>
      <c r="H16" s="166">
        <f t="shared" si="2"/>
        <v>52904407.143199995</v>
      </c>
    </row>
    <row r="17" spans="2:8" x14ac:dyDescent="0.25">
      <c r="B17" s="165">
        <v>44440</v>
      </c>
      <c r="C17" s="18">
        <f>+SUM('VTA- UTILIDAD ANUAL '!W12)</f>
        <v>178950000</v>
      </c>
      <c r="D17" s="18">
        <f>+'COMPRA DE MP ANUAL'!N40</f>
        <v>116364000</v>
      </c>
      <c r="E17" s="18">
        <f>SUM(CIF!F33+CIF!G42)</f>
        <v>6652514.666666667</v>
      </c>
      <c r="F17" s="4">
        <f t="shared" si="0"/>
        <v>889008.33333333349</v>
      </c>
      <c r="G17" s="4">
        <f t="shared" si="1"/>
        <v>6349813.8568000002</v>
      </c>
      <c r="H17" s="166">
        <f t="shared" si="2"/>
        <v>48694663.143199995</v>
      </c>
    </row>
    <row r="18" spans="2:8" x14ac:dyDescent="0.25">
      <c r="B18" s="165">
        <v>44470</v>
      </c>
      <c r="C18" s="18">
        <f>+SUM('VTA- UTILIDAD ANUAL '!W13)</f>
        <v>186180000</v>
      </c>
      <c r="D18" s="18">
        <f>+'COMPRA DE MP ANUAL'!R40</f>
        <v>115918000</v>
      </c>
      <c r="E18" s="18">
        <f>SUM(CIF!G33+CIF!H42)</f>
        <v>6608366.666666667</v>
      </c>
      <c r="F18" s="4">
        <f t="shared" si="0"/>
        <v>889008.33333333349</v>
      </c>
      <c r="G18" s="4">
        <f t="shared" si="1"/>
        <v>6349813.8568000002</v>
      </c>
      <c r="H18" s="166">
        <f t="shared" si="2"/>
        <v>56414811.143199995</v>
      </c>
    </row>
    <row r="19" spans="2:8" x14ac:dyDescent="0.25">
      <c r="B19" s="165">
        <v>44501</v>
      </c>
      <c r="C19" s="18">
        <f>+SUM('VTA- UTILIDAD ANUAL '!W14)</f>
        <v>180600000</v>
      </c>
      <c r="D19" s="18">
        <f>+'COMPRA DE MP ANUAL'!V40</f>
        <v>120482000</v>
      </c>
      <c r="E19" s="18">
        <f>SUM(CIF!H33+CIF!I42)</f>
        <v>6588390.666666667</v>
      </c>
      <c r="F19" s="4">
        <f t="shared" si="0"/>
        <v>889008.33333333349</v>
      </c>
      <c r="G19" s="4">
        <f t="shared" si="1"/>
        <v>6349813.8568000002</v>
      </c>
      <c r="H19" s="166">
        <f t="shared" si="2"/>
        <v>46290787.14320001</v>
      </c>
    </row>
    <row r="20" spans="2:8" x14ac:dyDescent="0.25">
      <c r="B20" s="165">
        <v>44531</v>
      </c>
      <c r="C20" s="18">
        <f>+SUM('VTA- UTILIDAD ANUAL '!W15)</f>
        <v>180720000</v>
      </c>
      <c r="D20" s="18">
        <f>+'COMPRA DE MP ANUAL'!Z40</f>
        <v>119336000</v>
      </c>
      <c r="E20" s="18">
        <f>SUM(CIF!I33+CIF!J42)</f>
        <v>6608159.666666667</v>
      </c>
      <c r="F20" s="4">
        <f t="shared" si="0"/>
        <v>889008.33333333349</v>
      </c>
      <c r="G20" s="4">
        <f t="shared" si="1"/>
        <v>6349813.8568000002</v>
      </c>
      <c r="H20" s="166">
        <f t="shared" si="2"/>
        <v>47537018.143199995</v>
      </c>
    </row>
    <row r="21" spans="2:8" x14ac:dyDescent="0.25">
      <c r="B21" s="165">
        <v>44562</v>
      </c>
      <c r="C21" s="18">
        <f>+SUM('VTA- UTILIDAD ANUAL '!W16)</f>
        <v>182160000</v>
      </c>
      <c r="D21" s="18">
        <f>+'COMPRA DE MP ANUAL'!AD40</f>
        <v>118988000</v>
      </c>
      <c r="E21" s="18">
        <f>SUM(CIF!J33+CIF!L42)</f>
        <v>7216325</v>
      </c>
      <c r="F21" s="4">
        <f t="shared" si="0"/>
        <v>889008.33333333349</v>
      </c>
      <c r="G21" s="4">
        <f t="shared" si="1"/>
        <v>6349813.8568000002</v>
      </c>
      <c r="H21" s="166">
        <f t="shared" si="2"/>
        <v>48716852.809866667</v>
      </c>
    </row>
    <row r="22" spans="2:8" x14ac:dyDescent="0.25">
      <c r="B22" s="165">
        <v>44593</v>
      </c>
      <c r="C22" s="18">
        <f>+SUM('VTA- UTILIDAD ANUAL '!W17)</f>
        <v>182760000</v>
      </c>
      <c r="D22" s="18">
        <f>+'COMPRA DE MP ANUAL'!AH40</f>
        <v>121006000</v>
      </c>
      <c r="E22" s="18">
        <f>SUM(CIF!K33+CIF!M42)</f>
        <v>7197295</v>
      </c>
      <c r="F22" s="4">
        <f t="shared" si="0"/>
        <v>889008.33333333349</v>
      </c>
      <c r="G22" s="4">
        <f t="shared" si="1"/>
        <v>6349813.8568000002</v>
      </c>
      <c r="H22" s="166">
        <f t="shared" si="2"/>
        <v>47317882.809866667</v>
      </c>
    </row>
    <row r="23" spans="2:8" x14ac:dyDescent="0.25">
      <c r="B23" s="165">
        <v>44621</v>
      </c>
      <c r="C23" s="18">
        <f>+SUM('VTA- UTILIDAD ANUAL '!W18)</f>
        <v>174810000</v>
      </c>
      <c r="D23" s="18">
        <f>+'COMPRA DE MP ANUAL'!AL40</f>
        <v>117124000</v>
      </c>
      <c r="E23" s="18">
        <f>SUM(CIF!L33+CIF!N42)</f>
        <v>7230225</v>
      </c>
      <c r="F23" s="4">
        <f t="shared" si="0"/>
        <v>889008.33333333349</v>
      </c>
      <c r="G23" s="4">
        <f t="shared" si="1"/>
        <v>6349813.8568000002</v>
      </c>
      <c r="H23" s="166">
        <f t="shared" si="2"/>
        <v>43216952.809866667</v>
      </c>
    </row>
    <row r="24" spans="2:8" x14ac:dyDescent="0.25">
      <c r="B24" s="165">
        <v>44652</v>
      </c>
      <c r="C24" s="18">
        <f>+SUM('VTA- UTILIDAD ANUAL '!W19)</f>
        <v>177090000</v>
      </c>
      <c r="D24" s="18">
        <f>+'COMPRA DE MP ANUAL'!AP40</f>
        <v>116150000</v>
      </c>
      <c r="E24" s="18">
        <f>SUM(CIF!M33+CIF!O42)</f>
        <v>7250045</v>
      </c>
      <c r="F24" s="4">
        <f t="shared" si="0"/>
        <v>889008.33333333349</v>
      </c>
      <c r="G24" s="4">
        <f t="shared" si="1"/>
        <v>6349813.8568000002</v>
      </c>
      <c r="H24" s="166">
        <f t="shared" si="2"/>
        <v>46451132.809866667</v>
      </c>
    </row>
    <row r="25" spans="2:8" x14ac:dyDescent="0.25">
      <c r="B25" s="165">
        <v>44682</v>
      </c>
      <c r="C25" s="18">
        <f>+SUM('VTA- UTILIDAD ANUAL '!W20)</f>
        <v>177870000</v>
      </c>
      <c r="D25" s="18">
        <f>+'COMPRA DE MP ANUAL'!AT40</f>
        <v>120190000</v>
      </c>
      <c r="E25" s="18">
        <f>SUM(CIF!N33+CIF!P42)</f>
        <v>7265645</v>
      </c>
      <c r="F25" s="4">
        <f t="shared" si="0"/>
        <v>889008.33333333349</v>
      </c>
      <c r="G25" s="4">
        <f t="shared" si="1"/>
        <v>6349813.8568000002</v>
      </c>
      <c r="H25" s="166">
        <f t="shared" si="2"/>
        <v>43175532.809866667</v>
      </c>
    </row>
    <row r="26" spans="2:8" ht="16.5" thickBot="1" x14ac:dyDescent="0.3">
      <c r="B26" s="906" t="s">
        <v>49</v>
      </c>
      <c r="C26" s="907">
        <f t="shared" ref="C26:H26" si="3">SUM(C14:C25)</f>
        <v>2169660000</v>
      </c>
      <c r="D26" s="907">
        <f t="shared" si="3"/>
        <v>1417890000</v>
      </c>
      <c r="E26" s="907">
        <f t="shared" si="3"/>
        <v>82552430.666666657</v>
      </c>
      <c r="F26" s="907">
        <f t="shared" si="3"/>
        <v>10668100.000000006</v>
      </c>
      <c r="G26" s="907">
        <f t="shared" si="3"/>
        <v>76197766.281599998</v>
      </c>
      <c r="H26" s="908">
        <f t="shared" si="3"/>
        <v>582351703.05173326</v>
      </c>
    </row>
    <row r="27" spans="2:8" s="37" customFormat="1" x14ac:dyDescent="0.25">
      <c r="F27" s="103"/>
    </row>
    <row r="28" spans="2:8" s="37" customFormat="1" x14ac:dyDescent="0.25">
      <c r="C28" s="348"/>
      <c r="F28" s="103"/>
    </row>
    <row r="29" spans="2:8" s="37" customFormat="1" hidden="1" x14ac:dyDescent="0.25">
      <c r="F29" s="103"/>
    </row>
    <row r="30" spans="2:8" s="37" customFormat="1" hidden="1" x14ac:dyDescent="0.25">
      <c r="F30" s="103"/>
    </row>
    <row r="31" spans="2:8" s="37" customFormat="1" hidden="1" x14ac:dyDescent="0.25">
      <c r="F31" s="103"/>
    </row>
    <row r="32" spans="2:8" s="37" customFormat="1" hidden="1" x14ac:dyDescent="0.25">
      <c r="F32" s="103"/>
    </row>
    <row r="33" spans="6:6" s="37" customFormat="1" hidden="1" x14ac:dyDescent="0.25">
      <c r="F33" s="103"/>
    </row>
    <row r="34" spans="6:6" s="37" customFormat="1" hidden="1" x14ac:dyDescent="0.25">
      <c r="F34" s="103"/>
    </row>
    <row r="35" spans="6:6" s="37" customFormat="1" hidden="1" x14ac:dyDescent="0.25">
      <c r="F35" s="103"/>
    </row>
    <row r="36" spans="6:6" s="37" customFormat="1" hidden="1" x14ac:dyDescent="0.25">
      <c r="F36" s="103"/>
    </row>
    <row r="37" spans="6:6" s="37" customFormat="1" hidden="1" x14ac:dyDescent="0.25">
      <c r="F37" s="103"/>
    </row>
    <row r="38" spans="6:6" s="37" customFormat="1" hidden="1" x14ac:dyDescent="0.25">
      <c r="F38" s="103"/>
    </row>
    <row r="39" spans="6:6" s="37" customFormat="1" hidden="1" x14ac:dyDescent="0.25">
      <c r="F39" s="103"/>
    </row>
    <row r="40" spans="6:6" s="37" customFormat="1" hidden="1" x14ac:dyDescent="0.25">
      <c r="F40" s="103"/>
    </row>
    <row r="41" spans="6:6" s="37" customFormat="1" hidden="1" x14ac:dyDescent="0.25">
      <c r="F41" s="103"/>
    </row>
    <row r="42" spans="6:6" s="37" customFormat="1" hidden="1" x14ac:dyDescent="0.25">
      <c r="F42" s="103"/>
    </row>
    <row r="43" spans="6:6" s="37" customFormat="1" hidden="1" x14ac:dyDescent="0.25">
      <c r="F43" s="103"/>
    </row>
    <row r="44" spans="6:6" s="37" customFormat="1" hidden="1" x14ac:dyDescent="0.25">
      <c r="F44" s="103"/>
    </row>
    <row r="45" spans="6:6" s="37" customFormat="1" hidden="1" x14ac:dyDescent="0.25">
      <c r="F45" s="103"/>
    </row>
    <row r="46" spans="6:6" s="37" customFormat="1" hidden="1" x14ac:dyDescent="0.25">
      <c r="F46" s="103"/>
    </row>
    <row r="47" spans="6:6" s="37" customFormat="1" hidden="1" x14ac:dyDescent="0.25">
      <c r="F47" s="103"/>
    </row>
    <row r="48" spans="6:6" s="37" customFormat="1" hidden="1" x14ac:dyDescent="0.25">
      <c r="F48" s="103"/>
    </row>
    <row r="49" spans="6:6" s="37" customFormat="1" hidden="1" x14ac:dyDescent="0.25">
      <c r="F49" s="103"/>
    </row>
    <row r="50" spans="6:6" s="37" customFormat="1" hidden="1" x14ac:dyDescent="0.25">
      <c r="F50" s="103"/>
    </row>
    <row r="51" spans="6:6" s="37" customFormat="1" hidden="1" x14ac:dyDescent="0.25">
      <c r="F51" s="103"/>
    </row>
    <row r="52" spans="6:6" s="37" customFormat="1" hidden="1" x14ac:dyDescent="0.25">
      <c r="F52" s="103"/>
    </row>
    <row r="53" spans="6:6" s="37" customFormat="1" hidden="1" x14ac:dyDescent="0.25">
      <c r="F53" s="103"/>
    </row>
    <row r="54" spans="6:6" s="37" customFormat="1" hidden="1" x14ac:dyDescent="0.25">
      <c r="F54" s="103"/>
    </row>
    <row r="55" spans="6:6" s="37" customFormat="1" hidden="1" x14ac:dyDescent="0.25">
      <c r="F55" s="103"/>
    </row>
    <row r="56" spans="6:6" s="37" customFormat="1" hidden="1" x14ac:dyDescent="0.25">
      <c r="F56" s="103"/>
    </row>
    <row r="57" spans="6:6" s="37" customFormat="1" hidden="1" x14ac:dyDescent="0.25">
      <c r="F57" s="103"/>
    </row>
    <row r="58" spans="6:6" s="37" customFormat="1" hidden="1" x14ac:dyDescent="0.25">
      <c r="F58" s="103"/>
    </row>
    <row r="59" spans="6:6" s="37" customFormat="1" hidden="1" x14ac:dyDescent="0.25">
      <c r="F59" s="103"/>
    </row>
    <row r="60" spans="6:6" s="37" customFormat="1" hidden="1" x14ac:dyDescent="0.25">
      <c r="F60" s="103"/>
    </row>
    <row r="61" spans="6:6" s="37" customFormat="1" hidden="1" x14ac:dyDescent="0.25">
      <c r="F61" s="103"/>
    </row>
    <row r="62" spans="6:6" s="37" customFormat="1" hidden="1" x14ac:dyDescent="0.25">
      <c r="F62" s="103"/>
    </row>
    <row r="63" spans="6:6" s="37" customFormat="1" hidden="1" x14ac:dyDescent="0.25">
      <c r="F63" s="103"/>
    </row>
    <row r="64" spans="6:6" s="37" customFormat="1" hidden="1" x14ac:dyDescent="0.25">
      <c r="F64" s="103"/>
    </row>
    <row r="65" spans="6:6" s="37" customFormat="1" hidden="1" x14ac:dyDescent="0.25">
      <c r="F65" s="103"/>
    </row>
    <row r="66" spans="6:6" s="37" customFormat="1" hidden="1" x14ac:dyDescent="0.25">
      <c r="F66" s="103"/>
    </row>
    <row r="67" spans="6:6" s="37" customFormat="1" hidden="1" x14ac:dyDescent="0.25">
      <c r="F67" s="103"/>
    </row>
    <row r="68" spans="6:6" s="37" customFormat="1" hidden="1" x14ac:dyDescent="0.25">
      <c r="F68" s="103"/>
    </row>
    <row r="69" spans="6:6" s="37" customFormat="1" hidden="1" x14ac:dyDescent="0.25">
      <c r="F69" s="103"/>
    </row>
    <row r="70" spans="6:6" s="37" customFormat="1" hidden="1" x14ac:dyDescent="0.25">
      <c r="F70" s="103"/>
    </row>
    <row r="71" spans="6:6" s="37" customFormat="1" hidden="1" x14ac:dyDescent="0.25">
      <c r="F71" s="103"/>
    </row>
    <row r="72" spans="6:6" s="37" customFormat="1" hidden="1" x14ac:dyDescent="0.25">
      <c r="F72" s="103"/>
    </row>
    <row r="73" spans="6:6" s="37" customFormat="1" hidden="1" x14ac:dyDescent="0.25">
      <c r="F73" s="103"/>
    </row>
    <row r="74" spans="6:6" s="37" customFormat="1" hidden="1" x14ac:dyDescent="0.25">
      <c r="F74" s="103"/>
    </row>
    <row r="75" spans="6:6" s="37" customFormat="1" hidden="1" x14ac:dyDescent="0.25">
      <c r="F75" s="103"/>
    </row>
    <row r="76" spans="6:6" s="37" customFormat="1" hidden="1" x14ac:dyDescent="0.25">
      <c r="F76" s="103"/>
    </row>
    <row r="77" spans="6:6" s="37" customFormat="1" hidden="1" x14ac:dyDescent="0.25">
      <c r="F77" s="103"/>
    </row>
    <row r="78" spans="6:6" s="37" customFormat="1" hidden="1" x14ac:dyDescent="0.25">
      <c r="F78" s="103"/>
    </row>
    <row r="79" spans="6:6" s="37" customFormat="1" hidden="1" x14ac:dyDescent="0.25">
      <c r="F79" s="103"/>
    </row>
  </sheetData>
  <mergeCells count="4">
    <mergeCell ref="B11:H12"/>
    <mergeCell ref="B6:H6"/>
    <mergeCell ref="B7:H7"/>
    <mergeCell ref="B8:H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B7CC-E80D-474C-82EE-14326C59677F}">
  <sheetPr>
    <tabColor rgb="FF00B050"/>
  </sheetPr>
  <dimension ref="A1:AI41"/>
  <sheetViews>
    <sheetView topLeftCell="A31" zoomScale="85" zoomScaleNormal="85" zoomScaleSheetLayoutView="50" workbookViewId="0">
      <selection activeCell="V1" sqref="V1:XFD1048576"/>
    </sheetView>
  </sheetViews>
  <sheetFormatPr baseColWidth="10" defaultColWidth="0" defaultRowHeight="15" zeroHeight="1" x14ac:dyDescent="0.25"/>
  <cols>
    <col min="1" max="1" width="8.28515625" style="37" customWidth="1"/>
    <col min="2" max="2" width="16.42578125" style="37" customWidth="1"/>
    <col min="3" max="3" width="32.85546875" style="37" customWidth="1"/>
    <col min="4" max="4" width="16.42578125" style="37" customWidth="1"/>
    <col min="5" max="5" width="22.85546875" style="37" customWidth="1"/>
    <col min="6" max="6" width="18.28515625" style="37" customWidth="1"/>
    <col min="7" max="7" width="15.85546875" style="37" customWidth="1"/>
    <col min="8" max="8" width="19.140625" style="37" customWidth="1"/>
    <col min="9" max="9" width="21" style="37" customWidth="1"/>
    <col min="10" max="10" width="15.42578125" style="37" customWidth="1"/>
    <col min="11" max="11" width="12.42578125" style="37" customWidth="1"/>
    <col min="12" max="12" width="14" style="37" customWidth="1"/>
    <col min="13" max="13" width="12.7109375" style="37" bestFit="1" customWidth="1"/>
    <col min="14" max="14" width="17.42578125" style="37" customWidth="1"/>
    <col min="15" max="21" width="11.42578125" style="37" customWidth="1"/>
    <col min="22" max="35" width="0" style="37" hidden="1"/>
    <col min="36" max="16384" width="11.42578125" hidden="1"/>
  </cols>
  <sheetData>
    <row r="1" spans="1:18" s="37" customFormat="1" ht="14.25" customHeight="1" x14ac:dyDescent="0.25"/>
    <row r="2" spans="1:18" s="37" customFormat="1" x14ac:dyDescent="0.25"/>
    <row r="3" spans="1:18" s="37" customFormat="1" x14ac:dyDescent="0.25"/>
    <row r="4" spans="1:18" s="37" customFormat="1" ht="26.25" x14ac:dyDescent="0.4">
      <c r="A4" s="1645" t="s">
        <v>71</v>
      </c>
      <c r="B4" s="1645"/>
      <c r="C4" s="1645"/>
      <c r="D4" s="1645"/>
      <c r="E4" s="1645"/>
      <c r="F4" s="1645"/>
      <c r="G4" s="1645"/>
      <c r="H4" s="1645"/>
      <c r="I4" s="1645"/>
      <c r="J4" s="1645"/>
      <c r="K4" s="1645"/>
      <c r="L4" s="1645"/>
      <c r="M4" s="1645"/>
      <c r="N4" s="1645"/>
      <c r="O4" s="1645"/>
      <c r="P4" s="1645"/>
      <c r="Q4" s="1645"/>
      <c r="R4" s="1645"/>
    </row>
    <row r="5" spans="1:18" s="37" customFormat="1" ht="26.25" x14ac:dyDescent="0.4">
      <c r="A5" s="1645" t="s">
        <v>580</v>
      </c>
      <c r="B5" s="1645"/>
      <c r="C5" s="1645"/>
      <c r="D5" s="1645"/>
      <c r="E5" s="1645"/>
      <c r="F5" s="1645"/>
      <c r="G5" s="1645"/>
      <c r="H5" s="1645"/>
      <c r="I5" s="1645"/>
      <c r="J5" s="1645"/>
      <c r="K5" s="1645"/>
      <c r="L5" s="1645"/>
      <c r="M5" s="1645"/>
      <c r="N5" s="1645"/>
      <c r="O5" s="1645"/>
      <c r="P5" s="1645"/>
      <c r="Q5" s="1645"/>
      <c r="R5" s="1645"/>
    </row>
    <row r="6" spans="1:18" s="37" customFormat="1" ht="26.25" x14ac:dyDescent="0.4">
      <c r="A6" s="1645" t="s">
        <v>605</v>
      </c>
      <c r="B6" s="1645"/>
      <c r="C6" s="1645"/>
      <c r="D6" s="1645"/>
      <c r="E6" s="1645"/>
      <c r="F6" s="1645"/>
      <c r="G6" s="1645"/>
      <c r="H6" s="1645"/>
      <c r="I6" s="1645"/>
      <c r="J6" s="1645"/>
      <c r="K6" s="1645"/>
      <c r="L6" s="1645"/>
      <c r="M6" s="1645"/>
      <c r="N6" s="1645"/>
      <c r="O6" s="1645"/>
      <c r="P6" s="1645"/>
      <c r="Q6" s="1645"/>
      <c r="R6" s="1645"/>
    </row>
    <row r="7" spans="1:18" s="37" customFormat="1" x14ac:dyDescent="0.25"/>
    <row r="8" spans="1:18" s="37" customFormat="1" x14ac:dyDescent="0.25"/>
    <row r="9" spans="1:18" s="37" customFormat="1" ht="18.75" x14ac:dyDescent="0.3">
      <c r="A9" s="1437"/>
      <c r="B9" s="1437"/>
      <c r="C9" s="1437"/>
      <c r="D9" s="1437"/>
      <c r="E9" s="1437"/>
      <c r="F9" s="1437"/>
      <c r="G9" s="1437"/>
      <c r="H9" s="1437"/>
      <c r="I9" s="1437"/>
    </row>
    <row r="10" spans="1:18" s="37" customFormat="1" x14ac:dyDescent="0.25">
      <c r="A10" s="1064"/>
      <c r="B10" s="1064"/>
      <c r="C10" s="1064"/>
      <c r="D10" s="1064"/>
      <c r="E10" s="1064"/>
      <c r="F10" s="1064"/>
      <c r="G10" s="1064"/>
      <c r="H10" s="1064"/>
      <c r="I10" s="1064"/>
    </row>
    <row r="11" spans="1:18" ht="37.5" customHeight="1" x14ac:dyDescent="0.25">
      <c r="A11" s="1669" t="s">
        <v>34</v>
      </c>
      <c r="B11" s="1669"/>
      <c r="C11" s="1669"/>
      <c r="D11" s="1669"/>
      <c r="E11" s="1669"/>
      <c r="F11" s="1669"/>
      <c r="G11" s="1669"/>
      <c r="H11" s="1669"/>
      <c r="I11" s="1669"/>
    </row>
    <row r="12" spans="1:18" ht="30" x14ac:dyDescent="0.25">
      <c r="A12" s="1042" t="s">
        <v>35</v>
      </c>
      <c r="B12" s="342" t="s">
        <v>36</v>
      </c>
      <c r="C12" s="342" t="s">
        <v>37</v>
      </c>
      <c r="D12" s="1042" t="s">
        <v>38</v>
      </c>
      <c r="E12" s="576" t="s">
        <v>39</v>
      </c>
      <c r="F12" s="576" t="s">
        <v>40</v>
      </c>
      <c r="G12" s="44" t="s">
        <v>41</v>
      </c>
      <c r="H12" s="576" t="s">
        <v>42</v>
      </c>
      <c r="I12" s="576" t="s">
        <v>43</v>
      </c>
    </row>
    <row r="13" spans="1:18" x14ac:dyDescent="0.25">
      <c r="A13" s="391">
        <v>1</v>
      </c>
      <c r="B13" s="581" t="s">
        <v>44</v>
      </c>
      <c r="C13" s="581" t="s">
        <v>72</v>
      </c>
      <c r="D13" s="14">
        <v>44444444</v>
      </c>
      <c r="E13" s="1043">
        <v>2000000</v>
      </c>
      <c r="F13" s="581">
        <v>30</v>
      </c>
      <c r="G13" s="14">
        <f>(E13/30)*F13</f>
        <v>2000000.0000000002</v>
      </c>
      <c r="H13" s="14"/>
      <c r="I13" s="1044">
        <f>SUM(G13:H13)</f>
        <v>2000000.0000000002</v>
      </c>
    </row>
    <row r="14" spans="1:18" x14ac:dyDescent="0.25">
      <c r="A14" s="391">
        <v>2</v>
      </c>
      <c r="B14" s="581" t="s">
        <v>45</v>
      </c>
      <c r="C14" s="581" t="s">
        <v>46</v>
      </c>
      <c r="D14" s="14">
        <v>11111111</v>
      </c>
      <c r="E14" s="1043">
        <v>1000000</v>
      </c>
      <c r="F14" s="581">
        <v>30</v>
      </c>
      <c r="G14" s="14">
        <f t="shared" ref="G14:G15" si="0">(E14/30)*F14</f>
        <v>1000000.0000000001</v>
      </c>
      <c r="H14" s="14">
        <v>117174</v>
      </c>
      <c r="I14" s="1044">
        <f>SUM(G14:H14)</f>
        <v>1117174</v>
      </c>
    </row>
    <row r="15" spans="1:18" x14ac:dyDescent="0.25">
      <c r="A15" s="391">
        <v>3</v>
      </c>
      <c r="B15" s="581" t="s">
        <v>47</v>
      </c>
      <c r="C15" s="581" t="s">
        <v>48</v>
      </c>
      <c r="D15" s="14">
        <v>22222222</v>
      </c>
      <c r="E15" s="1043">
        <v>1000000</v>
      </c>
      <c r="F15" s="581">
        <v>30</v>
      </c>
      <c r="G15" s="14">
        <f t="shared" si="0"/>
        <v>1000000.0000000001</v>
      </c>
      <c r="H15" s="14">
        <v>117174</v>
      </c>
      <c r="I15" s="1044">
        <f>SUM(G15:H15)</f>
        <v>1117174</v>
      </c>
    </row>
    <row r="16" spans="1:18" x14ac:dyDescent="0.25">
      <c r="A16" s="1499" t="s">
        <v>49</v>
      </c>
      <c r="B16" s="1500"/>
      <c r="C16" s="1501"/>
      <c r="D16" s="144"/>
      <c r="E16" s="1021">
        <f>SUM(E13:E15)</f>
        <v>4000000</v>
      </c>
      <c r="F16" s="144"/>
      <c r="G16" s="12">
        <f>SUM(G13:G15)</f>
        <v>4000000.0000000005</v>
      </c>
      <c r="H16" s="13">
        <f>SUM(H14:H15)</f>
        <v>234348</v>
      </c>
      <c r="I16" s="13">
        <f t="shared" ref="I16" si="1">SUM(I13:I15)</f>
        <v>4234348</v>
      </c>
    </row>
    <row r="17" spans="1:18" s="37" customFormat="1" x14ac:dyDescent="0.25">
      <c r="H17" s="909"/>
      <c r="I17" s="909"/>
      <c r="J17" s="909"/>
      <c r="K17" s="909"/>
      <c r="L17" s="909"/>
    </row>
    <row r="18" spans="1:18" s="37" customFormat="1" x14ac:dyDescent="0.25"/>
    <row r="19" spans="1:18" ht="21" customHeight="1" x14ac:dyDescent="0.25">
      <c r="A19" s="1670" t="s">
        <v>50</v>
      </c>
      <c r="B19" s="1670"/>
      <c r="C19" s="1670"/>
      <c r="D19" s="1670"/>
      <c r="E19" s="1670"/>
      <c r="F19" s="1670"/>
      <c r="G19" s="1670"/>
      <c r="H19" s="1670"/>
      <c r="I19" s="1670"/>
    </row>
    <row r="20" spans="1:18" ht="30" x14ac:dyDescent="0.25">
      <c r="A20" s="1042" t="s">
        <v>35</v>
      </c>
      <c r="B20" s="342" t="s">
        <v>36</v>
      </c>
      <c r="C20" s="342" t="s">
        <v>37</v>
      </c>
      <c r="D20" s="342" t="s">
        <v>38</v>
      </c>
      <c r="E20" s="44" t="s">
        <v>51</v>
      </c>
      <c r="F20" s="44" t="s">
        <v>52</v>
      </c>
      <c r="G20" s="44" t="s">
        <v>53</v>
      </c>
      <c r="H20" s="44" t="s">
        <v>54</v>
      </c>
      <c r="I20" s="44" t="s">
        <v>486</v>
      </c>
    </row>
    <row r="21" spans="1:18" x14ac:dyDescent="0.25">
      <c r="A21" s="391">
        <v>1</v>
      </c>
      <c r="B21" s="581" t="s">
        <v>44</v>
      </c>
      <c r="C21" s="581" t="s">
        <v>72</v>
      </c>
      <c r="D21" s="14">
        <v>4897654123</v>
      </c>
      <c r="E21" s="1043">
        <f>+(I13-H13)*4%</f>
        <v>80000.000000000015</v>
      </c>
      <c r="F21" s="14">
        <f>+(I13-H13)*4%</f>
        <v>80000.000000000015</v>
      </c>
      <c r="G21" s="1045">
        <f>SUM(E21:F21)</f>
        <v>160000.00000000003</v>
      </c>
      <c r="H21" s="1044">
        <f>I13-G21</f>
        <v>1840000.0000000002</v>
      </c>
      <c r="I21" s="1044">
        <f>+H21</f>
        <v>1840000.0000000002</v>
      </c>
    </row>
    <row r="22" spans="1:18" x14ac:dyDescent="0.25">
      <c r="A22" s="391">
        <v>2</v>
      </c>
      <c r="B22" s="581" t="s">
        <v>45</v>
      </c>
      <c r="C22" s="581" t="s">
        <v>46</v>
      </c>
      <c r="D22" s="14">
        <v>10258964</v>
      </c>
      <c r="E22" s="1043">
        <f t="shared" ref="E22:E23" si="2">+(I14-H14)*4%</f>
        <v>40000</v>
      </c>
      <c r="F22" s="14">
        <f t="shared" ref="F22:F23" si="3">+(I14-H14)*4%</f>
        <v>40000</v>
      </c>
      <c r="G22" s="1045">
        <f>SUM(E22:F22)</f>
        <v>80000</v>
      </c>
      <c r="H22" s="1044">
        <f>I14-G22</f>
        <v>1037174</v>
      </c>
      <c r="I22" s="1044">
        <f>+H22-H14</f>
        <v>920000</v>
      </c>
    </row>
    <row r="23" spans="1:18" x14ac:dyDescent="0.25">
      <c r="A23" s="391">
        <v>3</v>
      </c>
      <c r="B23" s="581" t="s">
        <v>47</v>
      </c>
      <c r="C23" s="581" t="s">
        <v>48</v>
      </c>
      <c r="D23" s="14">
        <v>4569852</v>
      </c>
      <c r="E23" s="1043">
        <f t="shared" si="2"/>
        <v>40000</v>
      </c>
      <c r="F23" s="14">
        <f t="shared" si="3"/>
        <v>40000</v>
      </c>
      <c r="G23" s="1045">
        <f>SUM(E23:F23)</f>
        <v>80000</v>
      </c>
      <c r="H23" s="1044">
        <f>I15-G23</f>
        <v>1037174</v>
      </c>
      <c r="I23" s="1044">
        <f>+H23-H15</f>
        <v>920000</v>
      </c>
    </row>
    <row r="24" spans="1:18" x14ac:dyDescent="0.25">
      <c r="A24" s="1499" t="s">
        <v>49</v>
      </c>
      <c r="B24" s="1500"/>
      <c r="C24" s="1501"/>
      <c r="D24" s="144"/>
      <c r="E24" s="1023">
        <f>SUM(E21:E23)</f>
        <v>160000</v>
      </c>
      <c r="F24" s="1023">
        <f>SUM(F21:F23)</f>
        <v>160000</v>
      </c>
      <c r="G24" s="1021">
        <f>SUM(E24:F24)</f>
        <v>320000</v>
      </c>
      <c r="H24" s="12">
        <f>I16-G24</f>
        <v>3914348</v>
      </c>
      <c r="I24" s="12">
        <f>+SUM(I21:I23)</f>
        <v>3680000</v>
      </c>
    </row>
    <row r="25" spans="1:18" s="37" customFormat="1" x14ac:dyDescent="0.25">
      <c r="I25" s="103"/>
    </row>
    <row r="26" spans="1:18" s="37" customFormat="1" x14ac:dyDescent="0.25"/>
    <row r="27" spans="1:18" ht="18.75" x14ac:dyDescent="0.25">
      <c r="A27" s="1671" t="s">
        <v>55</v>
      </c>
      <c r="B27" s="1671"/>
      <c r="C27" s="1671"/>
      <c r="D27" s="1671"/>
      <c r="E27" s="1671"/>
      <c r="F27" s="1671"/>
      <c r="G27" s="1671"/>
      <c r="H27" s="1671"/>
      <c r="I27" s="1671"/>
      <c r="J27" s="1671"/>
      <c r="K27" s="1671"/>
      <c r="L27" s="1671"/>
      <c r="M27" s="1671"/>
      <c r="N27" s="1671"/>
      <c r="O27" s="1671"/>
      <c r="P27" s="1671"/>
      <c r="Q27" s="1671"/>
      <c r="R27" s="1671"/>
    </row>
    <row r="28" spans="1:18" ht="60" x14ac:dyDescent="0.25">
      <c r="A28" s="1042" t="s">
        <v>35</v>
      </c>
      <c r="B28" s="342" t="s">
        <v>36</v>
      </c>
      <c r="C28" s="342" t="s">
        <v>37</v>
      </c>
      <c r="D28" s="44" t="s">
        <v>56</v>
      </c>
      <c r="E28" s="44" t="s">
        <v>57</v>
      </c>
      <c r="F28" s="44" t="s">
        <v>58</v>
      </c>
      <c r="G28" s="44" t="s">
        <v>59</v>
      </c>
      <c r="H28" s="44" t="s">
        <v>60</v>
      </c>
      <c r="I28" s="44" t="s">
        <v>61</v>
      </c>
      <c r="J28" s="44" t="s">
        <v>62</v>
      </c>
      <c r="K28" s="44" t="s">
        <v>63</v>
      </c>
      <c r="L28" s="44" t="s">
        <v>64</v>
      </c>
      <c r="M28" s="44" t="s">
        <v>65</v>
      </c>
      <c r="N28" s="44" t="s">
        <v>66</v>
      </c>
      <c r="O28" s="44" t="s">
        <v>67</v>
      </c>
      <c r="P28" s="44" t="s">
        <v>68</v>
      </c>
      <c r="Q28" s="44" t="s">
        <v>69</v>
      </c>
      <c r="R28" s="44" t="s">
        <v>70</v>
      </c>
    </row>
    <row r="29" spans="1:18" x14ac:dyDescent="0.25">
      <c r="A29" s="391">
        <v>1</v>
      </c>
      <c r="B29" s="581" t="s">
        <v>44</v>
      </c>
      <c r="C29" s="581" t="s">
        <v>72</v>
      </c>
      <c r="D29" s="1046">
        <f>(I13-H13)*8.5%</f>
        <v>170000.00000000003</v>
      </c>
      <c r="E29" s="14">
        <f>(I13-H13)*12%</f>
        <v>240000.00000000003</v>
      </c>
      <c r="F29" s="14">
        <f>(I13-H13)*0.522%</f>
        <v>10440</v>
      </c>
      <c r="G29" s="14">
        <f>(I13-H13)*3%</f>
        <v>60000.000000000007</v>
      </c>
      <c r="H29" s="14">
        <f>(I13-H13)*2%</f>
        <v>40000.000000000007</v>
      </c>
      <c r="I29" s="14">
        <f>(I13-H13)*4%</f>
        <v>80000.000000000015</v>
      </c>
      <c r="J29" s="1044">
        <f>I13*8.33%</f>
        <v>166600.00000000003</v>
      </c>
      <c r="K29" s="1045">
        <f>I13*1%</f>
        <v>20000.000000000004</v>
      </c>
      <c r="L29" s="14">
        <f>I13*8.33%</f>
        <v>166600.00000000003</v>
      </c>
      <c r="M29" s="14">
        <f>(I13-H13)*4.17%</f>
        <v>83400.000000000015</v>
      </c>
      <c r="N29" s="14">
        <f>(I13+D29+E29+F29+G29+H29+I29+J29+K29+L29+M29)</f>
        <v>3037040.0000000005</v>
      </c>
      <c r="O29" s="14">
        <f>N29/30</f>
        <v>101234.66666666669</v>
      </c>
      <c r="P29" s="14">
        <f>O29/8</f>
        <v>12654.333333333336</v>
      </c>
      <c r="Q29" s="1047">
        <f>+P29/60</f>
        <v>210.90555555555559</v>
      </c>
      <c r="R29" s="1047">
        <f>+Q29/60</f>
        <v>3.5150925925925933</v>
      </c>
    </row>
    <row r="30" spans="1:18" x14ac:dyDescent="0.25">
      <c r="A30" s="391">
        <v>2</v>
      </c>
      <c r="B30" s="581" t="s">
        <v>45</v>
      </c>
      <c r="C30" s="581" t="s">
        <v>46</v>
      </c>
      <c r="D30" s="1046">
        <f t="shared" ref="D30:D31" si="4">(I14-H14)*8.5%</f>
        <v>85000</v>
      </c>
      <c r="E30" s="14">
        <f t="shared" ref="E30:E31" si="5">(I14-H14)*12%</f>
        <v>120000</v>
      </c>
      <c r="F30" s="14">
        <f>(I14-H14)*0.522%</f>
        <v>5220</v>
      </c>
      <c r="G30" s="14">
        <f t="shared" ref="G30:G31" si="6">(I14-H14)*3%</f>
        <v>30000</v>
      </c>
      <c r="H30" s="14">
        <f t="shared" ref="H30:H31" si="7">(I14-H14)*2%</f>
        <v>20000</v>
      </c>
      <c r="I30" s="14">
        <f t="shared" ref="I30:I31" si="8">(I14-H14)*4%</f>
        <v>40000</v>
      </c>
      <c r="J30" s="1044">
        <f>I14*8.33%</f>
        <v>93060.594199999992</v>
      </c>
      <c r="K30" s="1045">
        <f>I14*1%</f>
        <v>11171.74</v>
      </c>
      <c r="L30" s="14">
        <f>I14*8.33%</f>
        <v>93060.594199999992</v>
      </c>
      <c r="M30" s="14">
        <f>(I14-H14)*4.17%</f>
        <v>41700</v>
      </c>
      <c r="N30" s="14">
        <f>(I14+D30+E30+F30+G30+H30+I30+J30+K30+L30+M30)</f>
        <v>1656386.9283999999</v>
      </c>
      <c r="O30" s="14">
        <f t="shared" ref="O30:O31" si="9">N30/30</f>
        <v>55212.897613333327</v>
      </c>
      <c r="P30" s="14">
        <f t="shared" ref="P30:P31" si="10">O30/8</f>
        <v>6901.6122016666659</v>
      </c>
      <c r="Q30" s="1047">
        <f t="shared" ref="Q30:R31" si="11">+P30/60</f>
        <v>115.02687002777776</v>
      </c>
      <c r="R30" s="1047">
        <f t="shared" si="11"/>
        <v>1.9171145004629626</v>
      </c>
    </row>
    <row r="31" spans="1:18" x14ac:dyDescent="0.25">
      <c r="A31" s="391">
        <v>3</v>
      </c>
      <c r="B31" s="581" t="s">
        <v>47</v>
      </c>
      <c r="C31" s="581" t="s">
        <v>48</v>
      </c>
      <c r="D31" s="1046">
        <f t="shared" si="4"/>
        <v>85000</v>
      </c>
      <c r="E31" s="14">
        <f t="shared" si="5"/>
        <v>120000</v>
      </c>
      <c r="F31" s="14">
        <f>(I15-H15)*0.522%</f>
        <v>5220</v>
      </c>
      <c r="G31" s="14">
        <f t="shared" si="6"/>
        <v>30000</v>
      </c>
      <c r="H31" s="14">
        <f t="shared" si="7"/>
        <v>20000</v>
      </c>
      <c r="I31" s="14">
        <f t="shared" si="8"/>
        <v>40000</v>
      </c>
      <c r="J31" s="1044">
        <f>I15*8.33%</f>
        <v>93060.594199999992</v>
      </c>
      <c r="K31" s="1045">
        <f>I15*1%</f>
        <v>11171.74</v>
      </c>
      <c r="L31" s="14">
        <f>I15*8.33%</f>
        <v>93060.594199999992</v>
      </c>
      <c r="M31" s="14">
        <f>(I15-H15)*4.17%</f>
        <v>41700</v>
      </c>
      <c r="N31" s="14">
        <f>(I15+D31+E31+F31+G31+H31+I31+J31+K31+L31+M31)</f>
        <v>1656386.9283999999</v>
      </c>
      <c r="O31" s="14">
        <f t="shared" si="9"/>
        <v>55212.897613333327</v>
      </c>
      <c r="P31" s="14">
        <f t="shared" si="10"/>
        <v>6901.6122016666659</v>
      </c>
      <c r="Q31" s="1047">
        <f t="shared" si="11"/>
        <v>115.02687002777776</v>
      </c>
      <c r="R31" s="1047">
        <f t="shared" si="11"/>
        <v>1.9171145004629626</v>
      </c>
    </row>
    <row r="32" spans="1:18" x14ac:dyDescent="0.25">
      <c r="A32" s="1499" t="s">
        <v>49</v>
      </c>
      <c r="B32" s="1500"/>
      <c r="C32" s="1501"/>
      <c r="D32" s="12">
        <f t="shared" ref="D32:R32" si="12">SUM(D29:D31)</f>
        <v>340000</v>
      </c>
      <c r="E32" s="12">
        <f t="shared" si="12"/>
        <v>480000</v>
      </c>
      <c r="F32" s="12">
        <f t="shared" si="12"/>
        <v>20880</v>
      </c>
      <c r="G32" s="12">
        <f t="shared" si="12"/>
        <v>120000</v>
      </c>
      <c r="H32" s="12">
        <f t="shared" si="12"/>
        <v>80000</v>
      </c>
      <c r="I32" s="12">
        <f t="shared" si="12"/>
        <v>160000</v>
      </c>
      <c r="J32" s="12">
        <f t="shared" si="12"/>
        <v>352721.18839999998</v>
      </c>
      <c r="K32" s="12">
        <f t="shared" si="12"/>
        <v>42343.48</v>
      </c>
      <c r="L32" s="13">
        <f t="shared" si="12"/>
        <v>352721.18839999998</v>
      </c>
      <c r="M32" s="13">
        <f t="shared" si="12"/>
        <v>166800</v>
      </c>
      <c r="N32" s="13">
        <f>SUM(N29:N31)</f>
        <v>6349813.8568000002</v>
      </c>
      <c r="O32" s="13">
        <f t="shared" si="12"/>
        <v>211660.46189333335</v>
      </c>
      <c r="P32" s="13">
        <f t="shared" si="12"/>
        <v>26457.557736666669</v>
      </c>
      <c r="Q32" s="1026">
        <f t="shared" si="12"/>
        <v>440.95929561111114</v>
      </c>
      <c r="R32" s="1026">
        <f t="shared" si="12"/>
        <v>7.3493215935185185</v>
      </c>
    </row>
    <row r="33" spans="1:35" s="37" customFormat="1" x14ac:dyDescent="0.25"/>
    <row r="34" spans="1:35" s="37" customFormat="1" x14ac:dyDescent="0.25"/>
    <row r="35" spans="1:35" ht="19.5" customHeight="1" x14ac:dyDescent="0.25">
      <c r="B35" s="1669" t="s">
        <v>205</v>
      </c>
      <c r="C35" s="1669"/>
      <c r="D35" s="1669"/>
      <c r="E35" s="1669"/>
      <c r="F35" s="1669"/>
      <c r="G35" s="1669"/>
      <c r="H35" s="1669"/>
    </row>
    <row r="36" spans="1:35" s="22" customFormat="1" ht="79.5" customHeight="1" x14ac:dyDescent="0.25">
      <c r="A36" s="34"/>
      <c r="B36" s="342" t="s">
        <v>36</v>
      </c>
      <c r="C36" s="342" t="s">
        <v>37</v>
      </c>
      <c r="D36" s="44" t="s">
        <v>206</v>
      </c>
      <c r="E36" s="44" t="s">
        <v>207</v>
      </c>
      <c r="F36" s="44" t="s">
        <v>211</v>
      </c>
      <c r="G36" s="44" t="s">
        <v>68</v>
      </c>
      <c r="H36" s="44" t="s">
        <v>69</v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25">
      <c r="B37" s="391" t="s">
        <v>210</v>
      </c>
      <c r="C37" s="391" t="s">
        <v>209</v>
      </c>
      <c r="D37" s="574" t="s">
        <v>208</v>
      </c>
      <c r="E37" s="391">
        <v>4</v>
      </c>
      <c r="F37" s="391">
        <v>240</v>
      </c>
      <c r="G37" s="343">
        <v>6901.6122016666704</v>
      </c>
      <c r="H37" s="343">
        <v>115.026870027778</v>
      </c>
    </row>
    <row r="38" spans="1:35" ht="29.25" customHeight="1" x14ac:dyDescent="0.25">
      <c r="B38" s="391" t="s">
        <v>210</v>
      </c>
      <c r="C38" s="391" t="s">
        <v>209</v>
      </c>
      <c r="D38" s="574" t="s">
        <v>153</v>
      </c>
      <c r="E38" s="391">
        <v>4</v>
      </c>
      <c r="F38" s="391">
        <v>240</v>
      </c>
      <c r="G38" s="343">
        <v>6901.6122016666659</v>
      </c>
      <c r="H38" s="343">
        <v>115.02687002777776</v>
      </c>
    </row>
    <row r="39" spans="1:35" x14ac:dyDescent="0.25"/>
    <row r="40" spans="1:35" x14ac:dyDescent="0.25"/>
    <row r="41" spans="1:35" x14ac:dyDescent="0.25"/>
  </sheetData>
  <mergeCells count="12">
    <mergeCell ref="A4:R4"/>
    <mergeCell ref="A5:R5"/>
    <mergeCell ref="A6:R6"/>
    <mergeCell ref="A19:I19"/>
    <mergeCell ref="A27:R27"/>
    <mergeCell ref="A24:C24"/>
    <mergeCell ref="A16:C16"/>
    <mergeCell ref="B35:H35"/>
    <mergeCell ref="A11:I11"/>
    <mergeCell ref="A9:I9"/>
    <mergeCell ref="A10:I10"/>
    <mergeCell ref="A32:C32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E2B3-54E7-46EA-8F99-23F4B77AA7E2}">
  <sheetPr>
    <tabColor theme="5" tint="-0.249977111117893"/>
  </sheetPr>
  <dimension ref="A1:AC478"/>
  <sheetViews>
    <sheetView topLeftCell="A119" zoomScale="80" zoomScaleNormal="80" zoomScaleSheetLayoutView="50" workbookViewId="0">
      <selection activeCell="V248" sqref="V1:XFD1048576"/>
    </sheetView>
  </sheetViews>
  <sheetFormatPr baseColWidth="10" defaultColWidth="0" defaultRowHeight="15" zeroHeight="1" x14ac:dyDescent="0.25"/>
  <cols>
    <col min="1" max="1" width="8.28515625" customWidth="1"/>
    <col min="2" max="2" width="16.42578125" customWidth="1"/>
    <col min="3" max="3" width="32.85546875" customWidth="1"/>
    <col min="4" max="4" width="16.42578125" customWidth="1"/>
    <col min="5" max="5" width="22.85546875" customWidth="1"/>
    <col min="6" max="6" width="18.28515625" customWidth="1"/>
    <col min="7" max="7" width="15.85546875" customWidth="1"/>
    <col min="8" max="8" width="19.140625" customWidth="1"/>
    <col min="9" max="9" width="21" customWidth="1"/>
    <col min="10" max="10" width="15.42578125" customWidth="1"/>
    <col min="11" max="11" width="20.7109375" customWidth="1"/>
    <col min="12" max="12" width="14" customWidth="1"/>
    <col min="13" max="13" width="19.28515625" customWidth="1"/>
    <col min="14" max="14" width="17.42578125" customWidth="1"/>
    <col min="15" max="16" width="11.42578125" customWidth="1"/>
    <col min="17" max="17" width="15.42578125" customWidth="1"/>
    <col min="18" max="18" width="18.5703125" customWidth="1"/>
    <col min="19" max="21" width="11.42578125" style="37" customWidth="1"/>
    <col min="22" max="29" width="0" style="37" hidden="1"/>
    <col min="30" max="16384" width="11.42578125" hidden="1"/>
  </cols>
  <sheetData>
    <row r="1" spans="1:18" s="37" customFormat="1" x14ac:dyDescent="0.25"/>
    <row r="2" spans="1:18" s="37" customFormat="1" x14ac:dyDescent="0.25"/>
    <row r="3" spans="1:18" s="37" customFormat="1" x14ac:dyDescent="0.25"/>
    <row r="4" spans="1:18" s="37" customFormat="1" x14ac:dyDescent="0.25"/>
    <row r="5" spans="1:18" s="954" customFormat="1" ht="26.25" x14ac:dyDescent="0.4">
      <c r="A5" s="1645" t="s">
        <v>71</v>
      </c>
      <c r="B5" s="1645"/>
      <c r="C5" s="1645"/>
      <c r="D5" s="1645"/>
      <c r="E5" s="1645"/>
      <c r="F5" s="1645"/>
      <c r="G5" s="1645"/>
      <c r="H5" s="1645"/>
      <c r="I5" s="1645"/>
      <c r="J5" s="1645"/>
      <c r="K5" s="1645"/>
      <c r="L5" s="1645"/>
      <c r="M5" s="1645"/>
      <c r="N5" s="1645"/>
      <c r="O5" s="1645"/>
      <c r="P5" s="1645"/>
      <c r="Q5" s="1645"/>
      <c r="R5" s="1645"/>
    </row>
    <row r="6" spans="1:18" s="954" customFormat="1" ht="26.25" x14ac:dyDescent="0.4">
      <c r="A6" s="1645" t="s">
        <v>580</v>
      </c>
      <c r="B6" s="1645"/>
      <c r="C6" s="1645"/>
      <c r="D6" s="1645"/>
      <c r="E6" s="1645"/>
      <c r="F6" s="1645"/>
      <c r="G6" s="1645"/>
      <c r="H6" s="1645"/>
      <c r="I6" s="1645"/>
      <c r="J6" s="1645"/>
      <c r="K6" s="1645"/>
      <c r="L6" s="1645"/>
      <c r="M6" s="1645"/>
      <c r="N6" s="1645"/>
      <c r="O6" s="1645"/>
      <c r="P6" s="1645"/>
      <c r="Q6" s="1645"/>
      <c r="R6" s="1645"/>
    </row>
    <row r="7" spans="1:18" s="954" customFormat="1" ht="26.25" x14ac:dyDescent="0.4">
      <c r="A7" s="1645" t="s">
        <v>604</v>
      </c>
      <c r="B7" s="1645"/>
      <c r="C7" s="1645"/>
      <c r="D7" s="1645"/>
      <c r="E7" s="1645"/>
      <c r="F7" s="1645"/>
      <c r="G7" s="1645"/>
      <c r="H7" s="1645"/>
      <c r="I7" s="1645"/>
      <c r="J7" s="1645"/>
      <c r="K7" s="1645"/>
      <c r="L7" s="1645"/>
      <c r="M7" s="1645"/>
      <c r="N7" s="1645"/>
      <c r="O7" s="1645"/>
      <c r="P7" s="1645"/>
      <c r="Q7" s="1645"/>
      <c r="R7" s="1645"/>
    </row>
    <row r="8" spans="1:18" s="37" customFormat="1" x14ac:dyDescent="0.25"/>
    <row r="9" spans="1:18" s="37" customFormat="1" ht="15.75" thickBot="1" x14ac:dyDescent="0.3"/>
    <row r="10" spans="1:18" s="953" customFormat="1" ht="23.25" x14ac:dyDescent="0.35">
      <c r="A10" s="1690" t="s">
        <v>298</v>
      </c>
      <c r="B10" s="1691"/>
      <c r="C10" s="1691"/>
      <c r="D10" s="1691"/>
      <c r="E10" s="1691"/>
      <c r="F10" s="1691"/>
      <c r="G10" s="1691"/>
      <c r="H10" s="1691"/>
      <c r="I10" s="1691"/>
      <c r="J10" s="1691"/>
      <c r="K10" s="1691"/>
      <c r="L10" s="1691"/>
      <c r="M10" s="1691"/>
      <c r="N10" s="1691"/>
      <c r="O10" s="1691"/>
      <c r="P10" s="1691"/>
      <c r="Q10" s="1691"/>
      <c r="R10" s="1692"/>
    </row>
    <row r="11" spans="1:18" ht="37.5" customHeight="1" x14ac:dyDescent="0.25">
      <c r="A11" s="1686" t="s">
        <v>34</v>
      </c>
      <c r="B11" s="1687"/>
      <c r="C11" s="1687"/>
      <c r="D11" s="1687"/>
      <c r="E11" s="1687"/>
      <c r="F11" s="1687"/>
      <c r="G11" s="1687"/>
      <c r="H11" s="1687"/>
      <c r="I11" s="1687"/>
      <c r="J11" s="673"/>
      <c r="K11" s="673"/>
      <c r="L11" s="673"/>
      <c r="M11" s="673"/>
      <c r="N11" s="673"/>
      <c r="O11" s="673"/>
      <c r="P11" s="673"/>
      <c r="Q11" s="673"/>
      <c r="R11" s="674"/>
    </row>
    <row r="12" spans="1:18" ht="30" x14ac:dyDescent="0.25">
      <c r="A12" s="880" t="s">
        <v>35</v>
      </c>
      <c r="B12" s="219" t="s">
        <v>36</v>
      </c>
      <c r="C12" s="219" t="s">
        <v>37</v>
      </c>
      <c r="D12" s="921" t="s">
        <v>38</v>
      </c>
      <c r="E12" s="839" t="s">
        <v>39</v>
      </c>
      <c r="F12" s="839" t="s">
        <v>40</v>
      </c>
      <c r="G12" s="100" t="s">
        <v>41</v>
      </c>
      <c r="H12" s="839" t="s">
        <v>42</v>
      </c>
      <c r="I12" s="839" t="s">
        <v>43</v>
      </c>
      <c r="J12" s="673"/>
      <c r="K12" s="673"/>
      <c r="L12" s="673"/>
      <c r="M12" s="673"/>
      <c r="N12" s="673"/>
      <c r="O12" s="673"/>
      <c r="P12" s="673"/>
      <c r="Q12" s="673"/>
      <c r="R12" s="674"/>
    </row>
    <row r="13" spans="1:18" x14ac:dyDescent="0.25">
      <c r="A13" s="881">
        <v>1</v>
      </c>
      <c r="B13" s="895" t="s">
        <v>44</v>
      </c>
      <c r="C13" s="895" t="s">
        <v>72</v>
      </c>
      <c r="D13" s="922">
        <v>4897654123</v>
      </c>
      <c r="E13" s="923">
        <v>2000000</v>
      </c>
      <c r="F13" s="895">
        <v>30</v>
      </c>
      <c r="G13" s="922">
        <f>(E13/30)*F13</f>
        <v>2000000.0000000002</v>
      </c>
      <c r="H13" s="922"/>
      <c r="I13" s="924">
        <f>SUM(G13:H13)</f>
        <v>2000000.0000000002</v>
      </c>
      <c r="J13" s="673"/>
      <c r="K13" s="673"/>
      <c r="L13" s="673"/>
      <c r="M13" s="673"/>
      <c r="N13" s="673"/>
      <c r="O13" s="673"/>
      <c r="P13" s="673"/>
      <c r="Q13" s="673"/>
      <c r="R13" s="674"/>
    </row>
    <row r="14" spans="1:18" x14ac:dyDescent="0.25">
      <c r="A14" s="881">
        <v>2</v>
      </c>
      <c r="B14" s="895" t="s">
        <v>45</v>
      </c>
      <c r="C14" s="895" t="s">
        <v>46</v>
      </c>
      <c r="D14" s="922">
        <v>10258964</v>
      </c>
      <c r="E14" s="923">
        <v>1000000</v>
      </c>
      <c r="F14" s="895">
        <v>30</v>
      </c>
      <c r="G14" s="922">
        <f t="shared" ref="G14:G15" si="0">(E14/30)*F14</f>
        <v>1000000.0000000001</v>
      </c>
      <c r="H14" s="922">
        <v>117174</v>
      </c>
      <c r="I14" s="924">
        <f>SUM(G14:H14)</f>
        <v>1117174</v>
      </c>
      <c r="J14" s="673"/>
      <c r="K14" s="673"/>
      <c r="L14" s="673"/>
      <c r="M14" s="673"/>
      <c r="N14" s="673"/>
      <c r="O14" s="673"/>
      <c r="P14" s="673"/>
      <c r="Q14" s="673"/>
      <c r="R14" s="674"/>
    </row>
    <row r="15" spans="1:18" x14ac:dyDescent="0.25">
      <c r="A15" s="881">
        <v>3</v>
      </c>
      <c r="B15" s="895" t="s">
        <v>47</v>
      </c>
      <c r="C15" s="895" t="s">
        <v>48</v>
      </c>
      <c r="D15" s="922">
        <v>4569852</v>
      </c>
      <c r="E15" s="923">
        <v>1000000</v>
      </c>
      <c r="F15" s="895">
        <v>30</v>
      </c>
      <c r="G15" s="922">
        <f t="shared" si="0"/>
        <v>1000000.0000000001</v>
      </c>
      <c r="H15" s="922">
        <v>117174</v>
      </c>
      <c r="I15" s="924">
        <f>SUM(G15:H15)</f>
        <v>1117174</v>
      </c>
      <c r="J15" s="673"/>
      <c r="K15" s="673"/>
      <c r="L15" s="673"/>
      <c r="M15" s="673"/>
      <c r="N15" s="673"/>
      <c r="O15" s="673"/>
      <c r="P15" s="673"/>
      <c r="Q15" s="673"/>
      <c r="R15" s="674"/>
    </row>
    <row r="16" spans="1:18" ht="15.75" customHeight="1" x14ac:dyDescent="0.25">
      <c r="A16" s="569"/>
      <c r="B16" s="895"/>
      <c r="C16" s="695" t="s">
        <v>49</v>
      </c>
      <c r="D16" s="895"/>
      <c r="E16" s="925">
        <f>SUM(E13:E15)</f>
        <v>4000000</v>
      </c>
      <c r="F16" s="895"/>
      <c r="G16" s="926">
        <f>SUM(G13:G15)</f>
        <v>4000000.0000000005</v>
      </c>
      <c r="H16" s="927">
        <f>SUM(H15:H15)</f>
        <v>117174</v>
      </c>
      <c r="I16" s="927">
        <f t="shared" ref="I16" si="1">SUM(I13:I15)</f>
        <v>4234348</v>
      </c>
      <c r="J16" s="673"/>
      <c r="K16" s="673"/>
      <c r="L16" s="673"/>
      <c r="M16" s="673"/>
      <c r="N16" s="673"/>
      <c r="O16" s="673"/>
      <c r="P16" s="673"/>
      <c r="Q16" s="673"/>
      <c r="R16" s="674"/>
    </row>
    <row r="17" spans="1:18" s="37" customFormat="1" x14ac:dyDescent="0.25">
      <c r="A17" s="688"/>
      <c r="B17" s="673"/>
      <c r="C17" s="673"/>
      <c r="D17" s="673"/>
      <c r="E17" s="673"/>
      <c r="F17" s="673"/>
      <c r="G17" s="673"/>
      <c r="H17" s="932"/>
      <c r="I17" s="932"/>
      <c r="J17" s="932"/>
      <c r="K17" s="932"/>
      <c r="L17" s="932"/>
      <c r="M17" s="673"/>
      <c r="N17" s="673"/>
      <c r="O17" s="673"/>
      <c r="P17" s="673"/>
      <c r="Q17" s="673"/>
      <c r="R17" s="674"/>
    </row>
    <row r="18" spans="1:18" s="37" customFormat="1" x14ac:dyDescent="0.25">
      <c r="A18" s="688"/>
      <c r="B18" s="673"/>
      <c r="C18" s="673"/>
      <c r="D18" s="673"/>
      <c r="E18" s="673"/>
      <c r="F18" s="673"/>
      <c r="G18" s="673"/>
      <c r="H18" s="673"/>
      <c r="I18" s="673"/>
      <c r="J18" s="673"/>
      <c r="K18" s="673"/>
      <c r="L18" s="673"/>
      <c r="M18" s="673"/>
      <c r="N18" s="673"/>
      <c r="O18" s="673"/>
      <c r="P18" s="673"/>
      <c r="Q18" s="673"/>
      <c r="R18" s="674"/>
    </row>
    <row r="19" spans="1:18" ht="21" customHeight="1" x14ac:dyDescent="0.25">
      <c r="A19" s="1680" t="s">
        <v>50</v>
      </c>
      <c r="B19" s="1681"/>
      <c r="C19" s="1681"/>
      <c r="D19" s="1681"/>
      <c r="E19" s="1681"/>
      <c r="F19" s="1681"/>
      <c r="G19" s="1681"/>
      <c r="H19" s="1681"/>
      <c r="I19" s="673"/>
      <c r="J19" s="673"/>
      <c r="K19" s="673"/>
      <c r="L19" s="673"/>
      <c r="M19" s="673"/>
      <c r="N19" s="673"/>
      <c r="O19" s="673"/>
      <c r="P19" s="673"/>
      <c r="Q19" s="673"/>
      <c r="R19" s="674"/>
    </row>
    <row r="20" spans="1:18" ht="30" x14ac:dyDescent="0.25">
      <c r="A20" s="880" t="s">
        <v>35</v>
      </c>
      <c r="B20" s="219" t="s">
        <v>36</v>
      </c>
      <c r="C20" s="219" t="s">
        <v>37</v>
      </c>
      <c r="D20" s="219" t="s">
        <v>38</v>
      </c>
      <c r="E20" s="100" t="s">
        <v>51</v>
      </c>
      <c r="F20" s="100" t="s">
        <v>52</v>
      </c>
      <c r="G20" s="100" t="s">
        <v>53</v>
      </c>
      <c r="H20" s="100" t="s">
        <v>54</v>
      </c>
      <c r="I20" s="673"/>
      <c r="J20" s="673"/>
      <c r="K20" s="673"/>
      <c r="L20" s="673"/>
      <c r="M20" s="673"/>
      <c r="N20" s="673"/>
      <c r="O20" s="673"/>
      <c r="P20" s="673"/>
      <c r="Q20" s="673"/>
      <c r="R20" s="674"/>
    </row>
    <row r="21" spans="1:18" x14ac:dyDescent="0.25">
      <c r="A21" s="881">
        <v>1</v>
      </c>
      <c r="B21" s="895" t="s">
        <v>44</v>
      </c>
      <c r="C21" s="895" t="s">
        <v>72</v>
      </c>
      <c r="D21" s="922">
        <v>4897654123</v>
      </c>
      <c r="E21" s="923">
        <f>+(I13-H13)*4%</f>
        <v>80000.000000000015</v>
      </c>
      <c r="F21" s="922">
        <f>+(I13-H13)*4%</f>
        <v>80000.000000000015</v>
      </c>
      <c r="G21" s="928">
        <f>SUM(E21:F21)</f>
        <v>160000.00000000003</v>
      </c>
      <c r="H21" s="924">
        <f>I13-G21</f>
        <v>1840000.0000000002</v>
      </c>
      <c r="I21" s="673"/>
      <c r="J21" s="673"/>
      <c r="K21" s="673"/>
      <c r="L21" s="673"/>
      <c r="M21" s="673"/>
      <c r="N21" s="673"/>
      <c r="O21" s="673"/>
      <c r="P21" s="673"/>
      <c r="Q21" s="673"/>
      <c r="R21" s="674"/>
    </row>
    <row r="22" spans="1:18" x14ac:dyDescent="0.25">
      <c r="A22" s="881">
        <v>2</v>
      </c>
      <c r="B22" s="895" t="s">
        <v>45</v>
      </c>
      <c r="C22" s="895" t="s">
        <v>46</v>
      </c>
      <c r="D22" s="922">
        <v>10258964</v>
      </c>
      <c r="E22" s="923">
        <f t="shared" ref="E22:E23" si="2">+(I14-H14)*4%</f>
        <v>40000</v>
      </c>
      <c r="F22" s="922">
        <f t="shared" ref="F22:F23" si="3">+(I14-H14)*4%</f>
        <v>40000</v>
      </c>
      <c r="G22" s="928">
        <f>SUM(E22:F22)</f>
        <v>80000</v>
      </c>
      <c r="H22" s="924">
        <f>I14-G22</f>
        <v>1037174</v>
      </c>
      <c r="I22" s="673"/>
      <c r="J22" s="673"/>
      <c r="K22" s="673"/>
      <c r="L22" s="673"/>
      <c r="M22" s="673"/>
      <c r="N22" s="673"/>
      <c r="O22" s="673"/>
      <c r="P22" s="673"/>
      <c r="Q22" s="673"/>
      <c r="R22" s="674"/>
    </row>
    <row r="23" spans="1:18" x14ac:dyDescent="0.25">
      <c r="A23" s="881">
        <v>3</v>
      </c>
      <c r="B23" s="895" t="s">
        <v>47</v>
      </c>
      <c r="C23" s="895" t="s">
        <v>48</v>
      </c>
      <c r="D23" s="922">
        <v>4569852</v>
      </c>
      <c r="E23" s="923">
        <f t="shared" si="2"/>
        <v>40000</v>
      </c>
      <c r="F23" s="922">
        <f t="shared" si="3"/>
        <v>40000</v>
      </c>
      <c r="G23" s="928">
        <f>SUM(E23:F23)</f>
        <v>80000</v>
      </c>
      <c r="H23" s="924">
        <f>I15-G23</f>
        <v>1037174</v>
      </c>
      <c r="I23" s="673"/>
      <c r="J23" s="673"/>
      <c r="K23" s="673"/>
      <c r="L23" s="673"/>
      <c r="M23" s="673"/>
      <c r="N23" s="673"/>
      <c r="O23" s="673"/>
      <c r="P23" s="673"/>
      <c r="Q23" s="673"/>
      <c r="R23" s="674"/>
    </row>
    <row r="24" spans="1:18" x14ac:dyDescent="0.25">
      <c r="A24" s="569"/>
      <c r="B24" s="895"/>
      <c r="C24" s="695" t="s">
        <v>49</v>
      </c>
      <c r="D24" s="895"/>
      <c r="E24" s="929">
        <f>SUM(E21:E23)</f>
        <v>160000</v>
      </c>
      <c r="F24" s="929">
        <f>SUM(F21:F23)</f>
        <v>160000</v>
      </c>
      <c r="G24" s="925">
        <f>SUM(E24:F24)</f>
        <v>320000</v>
      </c>
      <c r="H24" s="926">
        <f>I16-G24</f>
        <v>3914348</v>
      </c>
      <c r="I24" s="673"/>
      <c r="J24" s="673"/>
      <c r="K24" s="673"/>
      <c r="L24" s="673"/>
      <c r="M24" s="673"/>
      <c r="N24" s="673"/>
      <c r="O24" s="673"/>
      <c r="P24" s="673"/>
      <c r="Q24" s="673"/>
      <c r="R24" s="674"/>
    </row>
    <row r="25" spans="1:18" s="37" customFormat="1" x14ac:dyDescent="0.25">
      <c r="A25" s="688"/>
      <c r="B25" s="673"/>
      <c r="C25" s="673"/>
      <c r="D25" s="673"/>
      <c r="E25" s="673"/>
      <c r="F25" s="673"/>
      <c r="G25" s="673"/>
      <c r="H25" s="673"/>
      <c r="I25" s="673"/>
      <c r="J25" s="673"/>
      <c r="K25" s="673"/>
      <c r="L25" s="673"/>
      <c r="M25" s="673"/>
      <c r="N25" s="673"/>
      <c r="O25" s="673"/>
      <c r="P25" s="673"/>
      <c r="Q25" s="673"/>
      <c r="R25" s="674"/>
    </row>
    <row r="26" spans="1:18" s="37" customFormat="1" x14ac:dyDescent="0.25">
      <c r="A26" s="688"/>
      <c r="B26" s="673"/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4"/>
    </row>
    <row r="27" spans="1:18" ht="18.75" x14ac:dyDescent="0.25">
      <c r="A27" s="1733" t="s">
        <v>55</v>
      </c>
      <c r="B27" s="1688"/>
      <c r="C27" s="1688"/>
      <c r="D27" s="1688"/>
      <c r="E27" s="1688"/>
      <c r="F27" s="1688"/>
      <c r="G27" s="1688"/>
      <c r="H27" s="1688"/>
      <c r="I27" s="1688"/>
      <c r="J27" s="1688"/>
      <c r="K27" s="1688"/>
      <c r="L27" s="1688"/>
      <c r="M27" s="1688"/>
      <c r="N27" s="1688"/>
      <c r="O27" s="1688"/>
      <c r="P27" s="1688"/>
      <c r="Q27" s="1688"/>
      <c r="R27" s="1689"/>
    </row>
    <row r="28" spans="1:18" ht="60" x14ac:dyDescent="0.25">
      <c r="A28" s="880" t="s">
        <v>35</v>
      </c>
      <c r="B28" s="219" t="s">
        <v>36</v>
      </c>
      <c r="C28" s="219" t="s">
        <v>37</v>
      </c>
      <c r="D28" s="100" t="s">
        <v>56</v>
      </c>
      <c r="E28" s="100" t="s">
        <v>57</v>
      </c>
      <c r="F28" s="100" t="s">
        <v>58</v>
      </c>
      <c r="G28" s="100" t="s">
        <v>59</v>
      </c>
      <c r="H28" s="100" t="s">
        <v>60</v>
      </c>
      <c r="I28" s="100" t="s">
        <v>61</v>
      </c>
      <c r="J28" s="100" t="s">
        <v>62</v>
      </c>
      <c r="K28" s="100" t="s">
        <v>63</v>
      </c>
      <c r="L28" s="100" t="s">
        <v>64</v>
      </c>
      <c r="M28" s="100" t="s">
        <v>65</v>
      </c>
      <c r="N28" s="100" t="s">
        <v>66</v>
      </c>
      <c r="O28" s="100" t="s">
        <v>67</v>
      </c>
      <c r="P28" s="100" t="s">
        <v>68</v>
      </c>
      <c r="Q28" s="100" t="s">
        <v>69</v>
      </c>
      <c r="R28" s="689" t="s">
        <v>70</v>
      </c>
    </row>
    <row r="29" spans="1:18" x14ac:dyDescent="0.25">
      <c r="A29" s="881">
        <v>1</v>
      </c>
      <c r="B29" s="895" t="s">
        <v>44</v>
      </c>
      <c r="C29" s="895" t="s">
        <v>72</v>
      </c>
      <c r="D29" s="930">
        <f>(I13-H13)*8.5%</f>
        <v>170000.00000000003</v>
      </c>
      <c r="E29" s="922">
        <f>(I13-H13)*12%</f>
        <v>240000.00000000003</v>
      </c>
      <c r="F29" s="922">
        <f>(I13-H13)*0.522%</f>
        <v>10440</v>
      </c>
      <c r="G29" s="922">
        <f>(I13-H13)*3%</f>
        <v>60000.000000000007</v>
      </c>
      <c r="H29" s="922">
        <f>(I13-H13)*2%</f>
        <v>40000.000000000007</v>
      </c>
      <c r="I29" s="922">
        <f>(I13-H13)*4%</f>
        <v>80000.000000000015</v>
      </c>
      <c r="J29" s="924">
        <f>I13*8.33%</f>
        <v>166600.00000000003</v>
      </c>
      <c r="K29" s="928">
        <f>I13*1%</f>
        <v>20000.000000000004</v>
      </c>
      <c r="L29" s="922">
        <f>I13*8.33%</f>
        <v>166600.00000000003</v>
      </c>
      <c r="M29" s="922">
        <f>(I13-H13)*4.17%</f>
        <v>83400.000000000015</v>
      </c>
      <c r="N29" s="922">
        <f>(I13+D29+E29+F29+G29+H29+I29+J29+K29+L29+M29)</f>
        <v>3037040.0000000005</v>
      </c>
      <c r="O29" s="922">
        <f>N29/30</f>
        <v>101234.66666666669</v>
      </c>
      <c r="P29" s="922">
        <f>O29/8</f>
        <v>12654.333333333336</v>
      </c>
      <c r="Q29" s="931">
        <f>+P29/60</f>
        <v>210.90555555555559</v>
      </c>
      <c r="R29" s="933">
        <f>+Q29/60</f>
        <v>3.5150925925925933</v>
      </c>
    </row>
    <row r="30" spans="1:18" x14ac:dyDescent="0.25">
      <c r="A30" s="881">
        <v>2</v>
      </c>
      <c r="B30" s="895" t="s">
        <v>45</v>
      </c>
      <c r="C30" s="895" t="s">
        <v>46</v>
      </c>
      <c r="D30" s="930">
        <f t="shared" ref="D30:D31" si="4">(I14-H14)*8.5%</f>
        <v>85000</v>
      </c>
      <c r="E30" s="922">
        <f t="shared" ref="E30:E31" si="5">(I14-H14)*12%</f>
        <v>120000</v>
      </c>
      <c r="F30" s="922">
        <f>(I14-H14)*0.522%</f>
        <v>5220</v>
      </c>
      <c r="G30" s="922">
        <f t="shared" ref="G30:G31" si="6">(I14-H14)*3%</f>
        <v>30000</v>
      </c>
      <c r="H30" s="922">
        <f t="shared" ref="H30:H31" si="7">(I14-H14)*2%</f>
        <v>20000</v>
      </c>
      <c r="I30" s="922">
        <f t="shared" ref="I30:I31" si="8">(I14-H14)*4%</f>
        <v>40000</v>
      </c>
      <c r="J30" s="924">
        <f>I14*8.33%</f>
        <v>93060.594199999992</v>
      </c>
      <c r="K30" s="928">
        <f>I14*1%</f>
        <v>11171.74</v>
      </c>
      <c r="L30" s="922">
        <f>I14*8.33%</f>
        <v>93060.594199999992</v>
      </c>
      <c r="M30" s="922">
        <f>(I14-H14)*4.17%</f>
        <v>41700</v>
      </c>
      <c r="N30" s="922">
        <f>(I14+D30+E30+F30+G30+H30+I30+J30+K30+L30+M30)</f>
        <v>1656386.9283999999</v>
      </c>
      <c r="O30" s="922">
        <f t="shared" ref="O30:O31" si="9">N30/30</f>
        <v>55212.897613333327</v>
      </c>
      <c r="P30" s="922">
        <f t="shared" ref="P30:P31" si="10">O30/8</f>
        <v>6901.6122016666659</v>
      </c>
      <c r="Q30" s="931">
        <f t="shared" ref="Q30:R31" si="11">+P30/60</f>
        <v>115.02687002777776</v>
      </c>
      <c r="R30" s="933">
        <f t="shared" si="11"/>
        <v>1.9171145004629626</v>
      </c>
    </row>
    <row r="31" spans="1:18" x14ac:dyDescent="0.25">
      <c r="A31" s="881">
        <v>3</v>
      </c>
      <c r="B31" s="895" t="s">
        <v>47</v>
      </c>
      <c r="C31" s="895" t="s">
        <v>48</v>
      </c>
      <c r="D31" s="930">
        <f t="shared" si="4"/>
        <v>85000</v>
      </c>
      <c r="E31" s="922">
        <f t="shared" si="5"/>
        <v>120000</v>
      </c>
      <c r="F31" s="922">
        <f>(I15-H15)*0.522%</f>
        <v>5220</v>
      </c>
      <c r="G31" s="922">
        <f t="shared" si="6"/>
        <v>30000</v>
      </c>
      <c r="H31" s="922">
        <f t="shared" si="7"/>
        <v>20000</v>
      </c>
      <c r="I31" s="922">
        <f t="shared" si="8"/>
        <v>40000</v>
      </c>
      <c r="J31" s="924">
        <f>I15*8.33%</f>
        <v>93060.594199999992</v>
      </c>
      <c r="K31" s="928">
        <f>I15*1%</f>
        <v>11171.74</v>
      </c>
      <c r="L31" s="922">
        <f>I15*8.33%</f>
        <v>93060.594199999992</v>
      </c>
      <c r="M31" s="922">
        <f>(I15-H15)*4.17%</f>
        <v>41700</v>
      </c>
      <c r="N31" s="922">
        <f>(I15+D31+E31+F31+G31+H31+I31+J31+K31+L31+M31)</f>
        <v>1656386.9283999999</v>
      </c>
      <c r="O31" s="922">
        <f t="shared" si="9"/>
        <v>55212.897613333327</v>
      </c>
      <c r="P31" s="922">
        <f t="shared" si="10"/>
        <v>6901.6122016666659</v>
      </c>
      <c r="Q31" s="931">
        <f t="shared" si="11"/>
        <v>115.02687002777776</v>
      </c>
      <c r="R31" s="933">
        <f t="shared" si="11"/>
        <v>1.9171145004629626</v>
      </c>
    </row>
    <row r="32" spans="1:18" ht="15.75" thickBot="1" x14ac:dyDescent="0.3">
      <c r="A32" s="934"/>
      <c r="B32" s="935"/>
      <c r="C32" s="936" t="s">
        <v>49</v>
      </c>
      <c r="D32" s="937">
        <f t="shared" ref="D32:R32" si="12">SUM(D29:D31)</f>
        <v>340000</v>
      </c>
      <c r="E32" s="937">
        <f t="shared" si="12"/>
        <v>480000</v>
      </c>
      <c r="F32" s="937">
        <f t="shared" si="12"/>
        <v>20880</v>
      </c>
      <c r="G32" s="937">
        <f t="shared" si="12"/>
        <v>120000</v>
      </c>
      <c r="H32" s="937">
        <f t="shared" si="12"/>
        <v>80000</v>
      </c>
      <c r="I32" s="937">
        <f t="shared" si="12"/>
        <v>160000</v>
      </c>
      <c r="J32" s="937">
        <f t="shared" si="12"/>
        <v>352721.18839999998</v>
      </c>
      <c r="K32" s="937">
        <f t="shared" si="12"/>
        <v>42343.48</v>
      </c>
      <c r="L32" s="938">
        <f t="shared" si="12"/>
        <v>352721.18839999998</v>
      </c>
      <c r="M32" s="938">
        <f t="shared" si="12"/>
        <v>166800</v>
      </c>
      <c r="N32" s="938">
        <f>SUM(N29:N31)</f>
        <v>6349813.8568000002</v>
      </c>
      <c r="O32" s="938">
        <f t="shared" si="12"/>
        <v>211660.46189333335</v>
      </c>
      <c r="P32" s="938">
        <f t="shared" si="12"/>
        <v>26457.557736666669</v>
      </c>
      <c r="Q32" s="939">
        <f t="shared" si="12"/>
        <v>440.95929561111114</v>
      </c>
      <c r="R32" s="940">
        <f t="shared" si="12"/>
        <v>7.3493215935185185</v>
      </c>
    </row>
    <row r="33" spans="1:18" s="37" customFormat="1" ht="15.75" thickBot="1" x14ac:dyDescent="0.3">
      <c r="C33" s="96"/>
      <c r="D33" s="910"/>
      <c r="E33" s="910"/>
      <c r="F33" s="910"/>
      <c r="G33" s="910"/>
      <c r="H33" s="910"/>
      <c r="I33" s="910"/>
      <c r="J33" s="910"/>
      <c r="K33" s="910"/>
      <c r="L33" s="42"/>
      <c r="M33" s="42"/>
      <c r="N33" s="42"/>
      <c r="O33" s="42"/>
      <c r="P33" s="42"/>
      <c r="Q33" s="43"/>
      <c r="R33" s="43"/>
    </row>
    <row r="34" spans="1:18" s="953" customFormat="1" ht="23.25" x14ac:dyDescent="0.35">
      <c r="A34" s="1724" t="s">
        <v>299</v>
      </c>
      <c r="B34" s="1725"/>
      <c r="C34" s="1725"/>
      <c r="D34" s="1725"/>
      <c r="E34" s="1725"/>
      <c r="F34" s="1725"/>
      <c r="G34" s="1725"/>
      <c r="H34" s="1725"/>
      <c r="I34" s="1725"/>
      <c r="J34" s="1725"/>
      <c r="K34" s="1725"/>
      <c r="L34" s="1725"/>
      <c r="M34" s="1725"/>
      <c r="N34" s="1725"/>
      <c r="O34" s="1725"/>
      <c r="P34" s="1725"/>
      <c r="Q34" s="1725"/>
      <c r="R34" s="1726"/>
    </row>
    <row r="35" spans="1:18" ht="18.75" x14ac:dyDescent="0.25">
      <c r="A35" s="1729" t="s">
        <v>34</v>
      </c>
      <c r="B35" s="1730"/>
      <c r="C35" s="1730"/>
      <c r="D35" s="1730"/>
      <c r="E35" s="1730"/>
      <c r="F35" s="1730"/>
      <c r="G35" s="1730"/>
      <c r="H35" s="1730"/>
      <c r="I35" s="1730"/>
      <c r="J35" s="68"/>
      <c r="K35" s="68"/>
      <c r="L35" s="68"/>
      <c r="M35" s="68"/>
      <c r="N35" s="68"/>
      <c r="O35" s="68"/>
      <c r="P35" s="68"/>
      <c r="Q35" s="68"/>
      <c r="R35" s="619"/>
    </row>
    <row r="36" spans="1:18" ht="30" x14ac:dyDescent="0.25">
      <c r="A36" s="957" t="s">
        <v>35</v>
      </c>
      <c r="B36" s="107" t="s">
        <v>36</v>
      </c>
      <c r="C36" s="107" t="s">
        <v>37</v>
      </c>
      <c r="D36" s="941" t="s">
        <v>38</v>
      </c>
      <c r="E36" s="114" t="s">
        <v>39</v>
      </c>
      <c r="F36" s="114" t="s">
        <v>40</v>
      </c>
      <c r="G36" s="225" t="s">
        <v>41</v>
      </c>
      <c r="H36" s="114" t="s">
        <v>42</v>
      </c>
      <c r="I36" s="114" t="s">
        <v>43</v>
      </c>
      <c r="J36" s="68"/>
      <c r="K36" s="68"/>
      <c r="L36" s="68"/>
      <c r="M36" s="68"/>
      <c r="N36" s="68"/>
      <c r="O36" s="68"/>
      <c r="P36" s="68"/>
      <c r="Q36" s="68"/>
      <c r="R36" s="619"/>
    </row>
    <row r="37" spans="1:18" x14ac:dyDescent="0.25">
      <c r="A37" s="958">
        <v>1</v>
      </c>
      <c r="B37" s="120" t="s">
        <v>44</v>
      </c>
      <c r="C37" s="120" t="s">
        <v>72</v>
      </c>
      <c r="D37" s="942">
        <v>4897654123</v>
      </c>
      <c r="E37" s="943">
        <v>2000000</v>
      </c>
      <c r="F37" s="120">
        <v>30</v>
      </c>
      <c r="G37" s="942">
        <f>(E37/30)*F37</f>
        <v>2000000.0000000002</v>
      </c>
      <c r="H37" s="942"/>
      <c r="I37" s="944">
        <f>SUM(G37:H37)</f>
        <v>2000000.0000000002</v>
      </c>
      <c r="J37" s="68"/>
      <c r="K37" s="68"/>
      <c r="L37" s="68"/>
      <c r="M37" s="68"/>
      <c r="N37" s="68"/>
      <c r="O37" s="68"/>
      <c r="P37" s="68"/>
      <c r="Q37" s="68"/>
      <c r="R37" s="619"/>
    </row>
    <row r="38" spans="1:18" x14ac:dyDescent="0.25">
      <c r="A38" s="958">
        <v>2</v>
      </c>
      <c r="B38" s="120" t="s">
        <v>45</v>
      </c>
      <c r="C38" s="120" t="s">
        <v>46</v>
      </c>
      <c r="D38" s="942">
        <v>10258964</v>
      </c>
      <c r="E38" s="943">
        <v>1000000</v>
      </c>
      <c r="F38" s="120">
        <v>30</v>
      </c>
      <c r="G38" s="942">
        <f t="shared" ref="G38:G39" si="13">(E38/30)*F38</f>
        <v>1000000.0000000001</v>
      </c>
      <c r="H38" s="942">
        <v>117174</v>
      </c>
      <c r="I38" s="944">
        <f>SUM(G38:H38)</f>
        <v>1117174</v>
      </c>
      <c r="J38" s="68"/>
      <c r="K38" s="68"/>
      <c r="L38" s="68"/>
      <c r="M38" s="68"/>
      <c r="N38" s="68"/>
      <c r="O38" s="68"/>
      <c r="P38" s="68"/>
      <c r="Q38" s="68"/>
      <c r="R38" s="619"/>
    </row>
    <row r="39" spans="1:18" x14ac:dyDescent="0.25">
      <c r="A39" s="958">
        <v>3</v>
      </c>
      <c r="B39" s="120" t="s">
        <v>47</v>
      </c>
      <c r="C39" s="120" t="s">
        <v>48</v>
      </c>
      <c r="D39" s="942">
        <v>4569852</v>
      </c>
      <c r="E39" s="943">
        <v>1000000</v>
      </c>
      <c r="F39" s="120">
        <v>30</v>
      </c>
      <c r="G39" s="942">
        <f t="shared" si="13"/>
        <v>1000000.0000000001</v>
      </c>
      <c r="H39" s="942">
        <v>117174</v>
      </c>
      <c r="I39" s="944">
        <f>SUM(G39:H39)</f>
        <v>1117174</v>
      </c>
      <c r="J39" s="68"/>
      <c r="K39" s="68"/>
      <c r="L39" s="68"/>
      <c r="M39" s="68"/>
      <c r="N39" s="68"/>
      <c r="O39" s="68"/>
      <c r="P39" s="68"/>
      <c r="Q39" s="68"/>
      <c r="R39" s="619"/>
    </row>
    <row r="40" spans="1:18" x14ac:dyDescent="0.25">
      <c r="A40" s="565"/>
      <c r="B40" s="120"/>
      <c r="C40" s="121" t="s">
        <v>49</v>
      </c>
      <c r="D40" s="120"/>
      <c r="E40" s="945">
        <f>SUM(E37:E39)</f>
        <v>4000000</v>
      </c>
      <c r="F40" s="120"/>
      <c r="G40" s="946">
        <f>SUM(G37:G39)</f>
        <v>4000000.0000000005</v>
      </c>
      <c r="H40" s="947">
        <f>SUM(H39:H39)</f>
        <v>117174</v>
      </c>
      <c r="I40" s="947">
        <f t="shared" ref="I40" si="14">SUM(I37:I39)</f>
        <v>4234348</v>
      </c>
      <c r="J40" s="68"/>
      <c r="K40" s="68"/>
      <c r="L40" s="68"/>
      <c r="M40" s="68"/>
      <c r="N40" s="68"/>
      <c r="O40" s="68"/>
      <c r="P40" s="68"/>
      <c r="Q40" s="68"/>
      <c r="R40" s="619"/>
    </row>
    <row r="41" spans="1:18" x14ac:dyDescent="0.25">
      <c r="A41" s="623"/>
      <c r="B41" s="68"/>
      <c r="C41" s="68"/>
      <c r="D41" s="68"/>
      <c r="E41" s="68"/>
      <c r="F41" s="68"/>
      <c r="G41" s="68"/>
      <c r="H41" s="959"/>
      <c r="I41" s="959"/>
      <c r="J41" s="959"/>
      <c r="K41" s="959"/>
      <c r="L41" s="959"/>
      <c r="M41" s="68"/>
      <c r="N41" s="68"/>
      <c r="O41" s="68"/>
      <c r="P41" s="68"/>
      <c r="Q41" s="68"/>
      <c r="R41" s="619"/>
    </row>
    <row r="42" spans="1:18" x14ac:dyDescent="0.25">
      <c r="A42" s="623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19"/>
    </row>
    <row r="43" spans="1:18" ht="21" x14ac:dyDescent="0.25">
      <c r="A43" s="1731" t="s">
        <v>50</v>
      </c>
      <c r="B43" s="1732"/>
      <c r="C43" s="1732"/>
      <c r="D43" s="1732"/>
      <c r="E43" s="1732"/>
      <c r="F43" s="1732"/>
      <c r="G43" s="1732"/>
      <c r="H43" s="1732"/>
      <c r="I43" s="68"/>
      <c r="J43" s="68"/>
      <c r="K43" s="68"/>
      <c r="L43" s="68"/>
      <c r="M43" s="68"/>
      <c r="N43" s="68"/>
      <c r="O43" s="68"/>
      <c r="P43" s="68"/>
      <c r="Q43" s="68"/>
      <c r="R43" s="619"/>
    </row>
    <row r="44" spans="1:18" ht="30" x14ac:dyDescent="0.25">
      <c r="A44" s="957" t="s">
        <v>35</v>
      </c>
      <c r="B44" s="107" t="s">
        <v>36</v>
      </c>
      <c r="C44" s="107" t="s">
        <v>37</v>
      </c>
      <c r="D44" s="107" t="s">
        <v>38</v>
      </c>
      <c r="E44" s="225" t="s">
        <v>51</v>
      </c>
      <c r="F44" s="225" t="s">
        <v>52</v>
      </c>
      <c r="G44" s="225" t="s">
        <v>53</v>
      </c>
      <c r="H44" s="225" t="s">
        <v>54</v>
      </c>
      <c r="I44" s="68"/>
      <c r="J44" s="68"/>
      <c r="K44" s="68"/>
      <c r="L44" s="68"/>
      <c r="M44" s="68"/>
      <c r="N44" s="68"/>
      <c r="O44" s="68"/>
      <c r="P44" s="68"/>
      <c r="Q44" s="68"/>
      <c r="R44" s="619"/>
    </row>
    <row r="45" spans="1:18" x14ac:dyDescent="0.25">
      <c r="A45" s="958">
        <v>1</v>
      </c>
      <c r="B45" s="120" t="s">
        <v>44</v>
      </c>
      <c r="C45" s="120" t="s">
        <v>72</v>
      </c>
      <c r="D45" s="942">
        <v>4897654123</v>
      </c>
      <c r="E45" s="943">
        <f>+(I37-H37)*4%</f>
        <v>80000.000000000015</v>
      </c>
      <c r="F45" s="942">
        <f>+(I37-H37)*4%</f>
        <v>80000.000000000015</v>
      </c>
      <c r="G45" s="948">
        <f>SUM(E45:F45)</f>
        <v>160000.00000000003</v>
      </c>
      <c r="H45" s="944">
        <f>I37-G45</f>
        <v>1840000.0000000002</v>
      </c>
      <c r="I45" s="68"/>
      <c r="J45" s="68"/>
      <c r="K45" s="68"/>
      <c r="L45" s="68"/>
      <c r="M45" s="68"/>
      <c r="N45" s="68"/>
      <c r="O45" s="68"/>
      <c r="P45" s="68"/>
      <c r="Q45" s="68"/>
      <c r="R45" s="619"/>
    </row>
    <row r="46" spans="1:18" x14ac:dyDescent="0.25">
      <c r="A46" s="958">
        <v>2</v>
      </c>
      <c r="B46" s="120" t="s">
        <v>45</v>
      </c>
      <c r="C46" s="120" t="s">
        <v>46</v>
      </c>
      <c r="D46" s="942">
        <v>10258964</v>
      </c>
      <c r="E46" s="943">
        <f t="shared" ref="E46:E47" si="15">+(I38-H38)*4%</f>
        <v>40000</v>
      </c>
      <c r="F46" s="942">
        <f t="shared" ref="F46:F47" si="16">+(I38-H38)*4%</f>
        <v>40000</v>
      </c>
      <c r="G46" s="948">
        <f>SUM(E46:F46)</f>
        <v>80000</v>
      </c>
      <c r="H46" s="944">
        <f>I38-G46</f>
        <v>1037174</v>
      </c>
      <c r="I46" s="68"/>
      <c r="J46" s="68"/>
      <c r="K46" s="68"/>
      <c r="L46" s="68"/>
      <c r="M46" s="68"/>
      <c r="N46" s="68"/>
      <c r="O46" s="68"/>
      <c r="P46" s="68"/>
      <c r="Q46" s="68"/>
      <c r="R46" s="619"/>
    </row>
    <row r="47" spans="1:18" x14ac:dyDescent="0.25">
      <c r="A47" s="958">
        <v>3</v>
      </c>
      <c r="B47" s="120" t="s">
        <v>47</v>
      </c>
      <c r="C47" s="120" t="s">
        <v>48</v>
      </c>
      <c r="D47" s="942">
        <v>4569852</v>
      </c>
      <c r="E47" s="943">
        <f t="shared" si="15"/>
        <v>40000</v>
      </c>
      <c r="F47" s="942">
        <f t="shared" si="16"/>
        <v>40000</v>
      </c>
      <c r="G47" s="948">
        <f>SUM(E47:F47)</f>
        <v>80000</v>
      </c>
      <c r="H47" s="944">
        <f>I39-G47</f>
        <v>1037174</v>
      </c>
      <c r="I47" s="68"/>
      <c r="J47" s="68"/>
      <c r="K47" s="68"/>
      <c r="L47" s="68"/>
      <c r="M47" s="68"/>
      <c r="N47" s="68"/>
      <c r="O47" s="68"/>
      <c r="P47" s="68"/>
      <c r="Q47" s="68"/>
      <c r="R47" s="619"/>
    </row>
    <row r="48" spans="1:18" x14ac:dyDescent="0.25">
      <c r="A48" s="565"/>
      <c r="B48" s="120"/>
      <c r="C48" s="121" t="s">
        <v>49</v>
      </c>
      <c r="D48" s="120"/>
      <c r="E48" s="949">
        <f>SUM(E45:E47)</f>
        <v>160000</v>
      </c>
      <c r="F48" s="949">
        <f>SUM(F45:F47)</f>
        <v>160000</v>
      </c>
      <c r="G48" s="945">
        <f>SUM(E48:F48)</f>
        <v>320000</v>
      </c>
      <c r="H48" s="946">
        <f>I40-G48</f>
        <v>3914348</v>
      </c>
      <c r="I48" s="68"/>
      <c r="J48" s="68"/>
      <c r="K48" s="68"/>
      <c r="L48" s="68"/>
      <c r="M48" s="68"/>
      <c r="N48" s="68"/>
      <c r="O48" s="68"/>
      <c r="P48" s="68"/>
      <c r="Q48" s="68"/>
      <c r="R48" s="619"/>
    </row>
    <row r="49" spans="1:29" x14ac:dyDescent="0.25">
      <c r="A49" s="623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19"/>
    </row>
    <row r="50" spans="1:29" x14ac:dyDescent="0.25">
      <c r="A50" s="623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19"/>
    </row>
    <row r="51" spans="1:29" ht="18.75" x14ac:dyDescent="0.25">
      <c r="A51" s="1734" t="s">
        <v>55</v>
      </c>
      <c r="B51" s="1735"/>
      <c r="C51" s="1735"/>
      <c r="D51" s="1735"/>
      <c r="E51" s="1735"/>
      <c r="F51" s="1735"/>
      <c r="G51" s="1735"/>
      <c r="H51" s="1735"/>
      <c r="I51" s="1735"/>
      <c r="J51" s="1735"/>
      <c r="K51" s="1735"/>
      <c r="L51" s="1735"/>
      <c r="M51" s="1735"/>
      <c r="N51" s="1735"/>
      <c r="O51" s="1735"/>
      <c r="P51" s="1735"/>
      <c r="Q51" s="1735"/>
      <c r="R51" s="1736"/>
    </row>
    <row r="52" spans="1:29" ht="60" x14ac:dyDescent="0.25">
      <c r="A52" s="957" t="s">
        <v>35</v>
      </c>
      <c r="B52" s="107" t="s">
        <v>36</v>
      </c>
      <c r="C52" s="107" t="s">
        <v>37</v>
      </c>
      <c r="D52" s="225" t="s">
        <v>56</v>
      </c>
      <c r="E52" s="225" t="s">
        <v>57</v>
      </c>
      <c r="F52" s="225" t="s">
        <v>58</v>
      </c>
      <c r="G52" s="225" t="s">
        <v>59</v>
      </c>
      <c r="H52" s="225" t="s">
        <v>60</v>
      </c>
      <c r="I52" s="225" t="s">
        <v>61</v>
      </c>
      <c r="J52" s="225" t="s">
        <v>62</v>
      </c>
      <c r="K52" s="225" t="s">
        <v>63</v>
      </c>
      <c r="L52" s="225" t="s">
        <v>64</v>
      </c>
      <c r="M52" s="225" t="s">
        <v>65</v>
      </c>
      <c r="N52" s="225" t="s">
        <v>66</v>
      </c>
      <c r="O52" s="225" t="s">
        <v>67</v>
      </c>
      <c r="P52" s="225" t="s">
        <v>68</v>
      </c>
      <c r="Q52" s="225" t="s">
        <v>69</v>
      </c>
      <c r="R52" s="625" t="s">
        <v>70</v>
      </c>
    </row>
    <row r="53" spans="1:29" x14ac:dyDescent="0.25">
      <c r="A53" s="958">
        <v>1</v>
      </c>
      <c r="B53" s="120" t="s">
        <v>44</v>
      </c>
      <c r="C53" s="120" t="s">
        <v>72</v>
      </c>
      <c r="D53" s="950">
        <f>(I37-H37)*8.5%</f>
        <v>170000.00000000003</v>
      </c>
      <c r="E53" s="942">
        <f>(I37-H37)*12%</f>
        <v>240000.00000000003</v>
      </c>
      <c r="F53" s="942">
        <f>(I37-H37)*0.522%</f>
        <v>10440</v>
      </c>
      <c r="G53" s="942">
        <f>(I37-H37)*3%</f>
        <v>60000.000000000007</v>
      </c>
      <c r="H53" s="942">
        <f>(I37-H37)*2%</f>
        <v>40000.000000000007</v>
      </c>
      <c r="I53" s="942">
        <f>(I37-H37)*4%</f>
        <v>80000.000000000015</v>
      </c>
      <c r="J53" s="944">
        <f>I37*8.33%</f>
        <v>166600.00000000003</v>
      </c>
      <c r="K53" s="948">
        <f>I37*1%</f>
        <v>20000.000000000004</v>
      </c>
      <c r="L53" s="942">
        <f>I37*8.33%</f>
        <v>166600.00000000003</v>
      </c>
      <c r="M53" s="942">
        <f>(I37-H37)*4.17%</f>
        <v>83400.000000000015</v>
      </c>
      <c r="N53" s="942">
        <f>(I37+D53+E53+F53+G53+H53+I53+J53+K53+L53+M53)</f>
        <v>3037040.0000000005</v>
      </c>
      <c r="O53" s="942">
        <f>N53/30</f>
        <v>101234.66666666669</v>
      </c>
      <c r="P53" s="942">
        <f>O53/8</f>
        <v>12654.333333333336</v>
      </c>
      <c r="Q53" s="951">
        <f>+P53/60</f>
        <v>210.90555555555559</v>
      </c>
      <c r="R53" s="960">
        <f>+Q53/60</f>
        <v>3.5150925925925933</v>
      </c>
    </row>
    <row r="54" spans="1:29" x14ac:dyDescent="0.25">
      <c r="A54" s="958">
        <v>2</v>
      </c>
      <c r="B54" s="120" t="s">
        <v>45</v>
      </c>
      <c r="C54" s="120" t="s">
        <v>46</v>
      </c>
      <c r="D54" s="950">
        <f t="shared" ref="D54:D55" si="17">(I38-H38)*8.5%</f>
        <v>85000</v>
      </c>
      <c r="E54" s="942">
        <f t="shared" ref="E54:E55" si="18">(I38-H38)*12%</f>
        <v>120000</v>
      </c>
      <c r="F54" s="942">
        <f>(I38-H38)*0.522%</f>
        <v>5220</v>
      </c>
      <c r="G54" s="942">
        <f t="shared" ref="G54:G55" si="19">(I38-H38)*3%</f>
        <v>30000</v>
      </c>
      <c r="H54" s="942">
        <f t="shared" ref="H54:H55" si="20">(I38-H38)*2%</f>
        <v>20000</v>
      </c>
      <c r="I54" s="942">
        <f t="shared" ref="I54:I55" si="21">(I38-H38)*4%</f>
        <v>40000</v>
      </c>
      <c r="J54" s="944">
        <f>I38*8.33%</f>
        <v>93060.594199999992</v>
      </c>
      <c r="K54" s="948">
        <f>I38*1%</f>
        <v>11171.74</v>
      </c>
      <c r="L54" s="942">
        <f>I38*8.33%</f>
        <v>93060.594199999992</v>
      </c>
      <c r="M54" s="942">
        <f>(I38-H38)*4.17%</f>
        <v>41700</v>
      </c>
      <c r="N54" s="942">
        <f>(I38+D54+E54+F54+G54+H54+I54+J54+K54+L54+M54)</f>
        <v>1656386.9283999999</v>
      </c>
      <c r="O54" s="942">
        <f t="shared" ref="O54:O55" si="22">N54/30</f>
        <v>55212.897613333327</v>
      </c>
      <c r="P54" s="942">
        <f t="shared" ref="P54:P55" si="23">O54/8</f>
        <v>6901.6122016666659</v>
      </c>
      <c r="Q54" s="951">
        <f t="shared" ref="Q54:Q55" si="24">+P54/60</f>
        <v>115.02687002777776</v>
      </c>
      <c r="R54" s="960">
        <f t="shared" ref="R54:R55" si="25">+Q54/60</f>
        <v>1.9171145004629626</v>
      </c>
    </row>
    <row r="55" spans="1:29" x14ac:dyDescent="0.25">
      <c r="A55" s="958">
        <v>3</v>
      </c>
      <c r="B55" s="120" t="s">
        <v>47</v>
      </c>
      <c r="C55" s="120" t="s">
        <v>48</v>
      </c>
      <c r="D55" s="950">
        <f t="shared" si="17"/>
        <v>85000</v>
      </c>
      <c r="E55" s="942">
        <f t="shared" si="18"/>
        <v>120000</v>
      </c>
      <c r="F55" s="942">
        <f>(I39-H39)*0.522%</f>
        <v>5220</v>
      </c>
      <c r="G55" s="942">
        <f t="shared" si="19"/>
        <v>30000</v>
      </c>
      <c r="H55" s="942">
        <f t="shared" si="20"/>
        <v>20000</v>
      </c>
      <c r="I55" s="942">
        <f t="shared" si="21"/>
        <v>40000</v>
      </c>
      <c r="J55" s="944">
        <f>I39*8.33%</f>
        <v>93060.594199999992</v>
      </c>
      <c r="K55" s="948">
        <f>I39*1%</f>
        <v>11171.74</v>
      </c>
      <c r="L55" s="942">
        <f>I39*8.33%</f>
        <v>93060.594199999992</v>
      </c>
      <c r="M55" s="942">
        <f>(I39-H39)*4.17%</f>
        <v>41700</v>
      </c>
      <c r="N55" s="942">
        <f>(I39+D55+E55+F55+G55+H55+I55+J55+K55+L55+M55)</f>
        <v>1656386.9283999999</v>
      </c>
      <c r="O55" s="942">
        <f t="shared" si="22"/>
        <v>55212.897613333327</v>
      </c>
      <c r="P55" s="942">
        <f t="shared" si="23"/>
        <v>6901.6122016666659</v>
      </c>
      <c r="Q55" s="951">
        <f t="shared" si="24"/>
        <v>115.02687002777776</v>
      </c>
      <c r="R55" s="960">
        <f t="shared" si="25"/>
        <v>1.9171145004629626</v>
      </c>
    </row>
    <row r="56" spans="1:29" ht="15.75" thickBot="1" x14ac:dyDescent="0.3">
      <c r="A56" s="961"/>
      <c r="B56" s="962"/>
      <c r="C56" s="963" t="s">
        <v>49</v>
      </c>
      <c r="D56" s="964">
        <f t="shared" ref="D56:M56" si="26">SUM(D53:D55)</f>
        <v>340000</v>
      </c>
      <c r="E56" s="964">
        <f t="shared" si="26"/>
        <v>480000</v>
      </c>
      <c r="F56" s="964">
        <f t="shared" si="26"/>
        <v>20880</v>
      </c>
      <c r="G56" s="964">
        <f t="shared" si="26"/>
        <v>120000</v>
      </c>
      <c r="H56" s="964">
        <f t="shared" si="26"/>
        <v>80000</v>
      </c>
      <c r="I56" s="964">
        <f t="shared" si="26"/>
        <v>160000</v>
      </c>
      <c r="J56" s="964">
        <f t="shared" si="26"/>
        <v>352721.18839999998</v>
      </c>
      <c r="K56" s="964">
        <f t="shared" si="26"/>
        <v>42343.48</v>
      </c>
      <c r="L56" s="965">
        <f t="shared" si="26"/>
        <v>352721.18839999998</v>
      </c>
      <c r="M56" s="965">
        <f t="shared" si="26"/>
        <v>166800</v>
      </c>
      <c r="N56" s="965">
        <f>SUM(N53:N55)</f>
        <v>6349813.8568000002</v>
      </c>
      <c r="O56" s="965">
        <f t="shared" ref="O56:R56" si="27">SUM(O53:O55)</f>
        <v>211660.46189333335</v>
      </c>
      <c r="P56" s="965">
        <f t="shared" si="27"/>
        <v>26457.557736666669</v>
      </c>
      <c r="Q56" s="966">
        <f t="shared" si="27"/>
        <v>440.95929561111114</v>
      </c>
      <c r="R56" s="967">
        <f t="shared" si="27"/>
        <v>7.3493215935185185</v>
      </c>
    </row>
    <row r="57" spans="1:29" ht="15.75" thickBot="1" x14ac:dyDescent="0.3"/>
    <row r="58" spans="1:29" s="956" customFormat="1" ht="23.25" x14ac:dyDescent="0.35">
      <c r="A58" s="1715" t="s">
        <v>300</v>
      </c>
      <c r="B58" s="1716"/>
      <c r="C58" s="1716"/>
      <c r="D58" s="1716"/>
      <c r="E58" s="1716"/>
      <c r="F58" s="1716"/>
      <c r="G58" s="1716"/>
      <c r="H58" s="1716"/>
      <c r="I58" s="1716"/>
      <c r="J58" s="1716"/>
      <c r="K58" s="1716"/>
      <c r="L58" s="1716"/>
      <c r="M58" s="1716"/>
      <c r="N58" s="1716"/>
      <c r="O58" s="1716"/>
      <c r="P58" s="1716"/>
      <c r="Q58" s="1716"/>
      <c r="R58" s="1717"/>
      <c r="S58" s="953"/>
      <c r="T58" s="953"/>
      <c r="U58" s="953"/>
      <c r="V58" s="953"/>
      <c r="W58" s="953"/>
      <c r="X58" s="953"/>
      <c r="Y58" s="953"/>
      <c r="Z58" s="953"/>
      <c r="AA58" s="953"/>
      <c r="AB58" s="953"/>
      <c r="AC58" s="953"/>
    </row>
    <row r="59" spans="1:29" ht="18.75" x14ac:dyDescent="0.25">
      <c r="A59" s="1721" t="s">
        <v>34</v>
      </c>
      <c r="B59" s="1722"/>
      <c r="C59" s="1722"/>
      <c r="D59" s="1722"/>
      <c r="E59" s="1722"/>
      <c r="F59" s="1722"/>
      <c r="G59" s="1722"/>
      <c r="H59" s="1722"/>
      <c r="I59" s="1722"/>
      <c r="J59" s="708"/>
      <c r="K59" s="708"/>
      <c r="L59" s="708"/>
      <c r="M59" s="708"/>
      <c r="N59" s="708"/>
      <c r="O59" s="708"/>
      <c r="P59" s="708"/>
      <c r="Q59" s="708"/>
      <c r="R59" s="709"/>
    </row>
    <row r="60" spans="1:29" ht="30" x14ac:dyDescent="0.25">
      <c r="A60" s="885" t="s">
        <v>35</v>
      </c>
      <c r="B60" s="416" t="s">
        <v>36</v>
      </c>
      <c r="C60" s="416" t="s">
        <v>37</v>
      </c>
      <c r="D60" s="968" t="s">
        <v>38</v>
      </c>
      <c r="E60" s="969" t="s">
        <v>39</v>
      </c>
      <c r="F60" s="969" t="s">
        <v>40</v>
      </c>
      <c r="G60" s="421" t="s">
        <v>41</v>
      </c>
      <c r="H60" s="969" t="s">
        <v>42</v>
      </c>
      <c r="I60" s="969" t="s">
        <v>43</v>
      </c>
      <c r="J60" s="708"/>
      <c r="K60" s="708"/>
      <c r="L60" s="708"/>
      <c r="M60" s="708"/>
      <c r="N60" s="708"/>
      <c r="O60" s="708"/>
      <c r="P60" s="708"/>
      <c r="Q60" s="708"/>
      <c r="R60" s="709"/>
    </row>
    <row r="61" spans="1:29" x14ac:dyDescent="0.25">
      <c r="A61" s="970">
        <v>1</v>
      </c>
      <c r="B61" s="971" t="s">
        <v>44</v>
      </c>
      <c r="C61" s="971" t="s">
        <v>72</v>
      </c>
      <c r="D61" s="972">
        <v>4897654123</v>
      </c>
      <c r="E61" s="973">
        <v>2000000</v>
      </c>
      <c r="F61" s="971">
        <v>30</v>
      </c>
      <c r="G61" s="972">
        <f>(E61/30)*F61</f>
        <v>2000000.0000000002</v>
      </c>
      <c r="H61" s="972"/>
      <c r="I61" s="974">
        <f>SUM(G61:H61)</f>
        <v>2000000.0000000002</v>
      </c>
      <c r="J61" s="708"/>
      <c r="K61" s="708"/>
      <c r="L61" s="708"/>
      <c r="M61" s="708"/>
      <c r="N61" s="708"/>
      <c r="O61" s="708"/>
      <c r="P61" s="708"/>
      <c r="Q61" s="708"/>
      <c r="R61" s="709"/>
    </row>
    <row r="62" spans="1:29" x14ac:dyDescent="0.25">
      <c r="A62" s="970">
        <v>2</v>
      </c>
      <c r="B62" s="971" t="s">
        <v>45</v>
      </c>
      <c r="C62" s="971" t="s">
        <v>46</v>
      </c>
      <c r="D62" s="972">
        <v>10258964</v>
      </c>
      <c r="E62" s="973">
        <v>1000000</v>
      </c>
      <c r="F62" s="971">
        <v>30</v>
      </c>
      <c r="G62" s="972">
        <f t="shared" ref="G62:G63" si="28">(E62/30)*F62</f>
        <v>1000000.0000000001</v>
      </c>
      <c r="H62" s="972">
        <v>117174</v>
      </c>
      <c r="I62" s="974">
        <f>SUM(G62:H62)</f>
        <v>1117174</v>
      </c>
      <c r="J62" s="708"/>
      <c r="K62" s="708"/>
      <c r="L62" s="708"/>
      <c r="M62" s="708"/>
      <c r="N62" s="708"/>
      <c r="O62" s="708"/>
      <c r="P62" s="708"/>
      <c r="Q62" s="708"/>
      <c r="R62" s="709"/>
    </row>
    <row r="63" spans="1:29" x14ac:dyDescent="0.25">
      <c r="A63" s="970">
        <v>3</v>
      </c>
      <c r="B63" s="971" t="s">
        <v>47</v>
      </c>
      <c r="C63" s="971" t="s">
        <v>48</v>
      </c>
      <c r="D63" s="972">
        <v>4569852</v>
      </c>
      <c r="E63" s="973">
        <v>1000000</v>
      </c>
      <c r="F63" s="971">
        <v>30</v>
      </c>
      <c r="G63" s="972">
        <f t="shared" si="28"/>
        <v>1000000.0000000001</v>
      </c>
      <c r="H63" s="972">
        <v>117174</v>
      </c>
      <c r="I63" s="974">
        <f>SUM(G63:H63)</f>
        <v>1117174</v>
      </c>
      <c r="J63" s="708"/>
      <c r="K63" s="708"/>
      <c r="L63" s="708"/>
      <c r="M63" s="708"/>
      <c r="N63" s="708"/>
      <c r="O63" s="708"/>
      <c r="P63" s="708"/>
      <c r="Q63" s="708"/>
      <c r="R63" s="709"/>
    </row>
    <row r="64" spans="1:29" x14ac:dyDescent="0.25">
      <c r="A64" s="728"/>
      <c r="B64" s="971"/>
      <c r="C64" s="734" t="s">
        <v>49</v>
      </c>
      <c r="D64" s="971"/>
      <c r="E64" s="975">
        <f>SUM(E61:E63)</f>
        <v>4000000</v>
      </c>
      <c r="F64" s="971"/>
      <c r="G64" s="976">
        <f>SUM(G61:G63)</f>
        <v>4000000.0000000005</v>
      </c>
      <c r="H64" s="977">
        <f>SUM(H63:H63)</f>
        <v>117174</v>
      </c>
      <c r="I64" s="977">
        <f t="shared" ref="I64" si="29">SUM(I61:I63)</f>
        <v>4234348</v>
      </c>
      <c r="J64" s="708"/>
      <c r="K64" s="708"/>
      <c r="L64" s="708"/>
      <c r="M64" s="708"/>
      <c r="N64" s="708"/>
      <c r="O64" s="708"/>
      <c r="P64" s="708"/>
      <c r="Q64" s="708"/>
      <c r="R64" s="709"/>
    </row>
    <row r="65" spans="1:18" x14ac:dyDescent="0.25">
      <c r="A65" s="722"/>
      <c r="B65" s="708"/>
      <c r="C65" s="708"/>
      <c r="D65" s="708"/>
      <c r="E65" s="708"/>
      <c r="F65" s="708"/>
      <c r="G65" s="708"/>
      <c r="H65" s="978"/>
      <c r="I65" s="978"/>
      <c r="J65" s="978"/>
      <c r="K65" s="978"/>
      <c r="L65" s="978"/>
      <c r="M65" s="708"/>
      <c r="N65" s="708"/>
      <c r="O65" s="708"/>
      <c r="P65" s="708"/>
      <c r="Q65" s="708"/>
      <c r="R65" s="709"/>
    </row>
    <row r="66" spans="1:18" x14ac:dyDescent="0.25">
      <c r="A66" s="722"/>
      <c r="B66" s="708"/>
      <c r="C66" s="708"/>
      <c r="D66" s="708"/>
      <c r="E66" s="708"/>
      <c r="F66" s="708"/>
      <c r="G66" s="708"/>
      <c r="H66" s="708"/>
      <c r="I66" s="708"/>
      <c r="J66" s="708"/>
      <c r="K66" s="708"/>
      <c r="L66" s="708"/>
      <c r="M66" s="708"/>
      <c r="N66" s="708"/>
      <c r="O66" s="708"/>
      <c r="P66" s="708"/>
      <c r="Q66" s="708"/>
      <c r="R66" s="709"/>
    </row>
    <row r="67" spans="1:18" ht="21" x14ac:dyDescent="0.25">
      <c r="A67" s="1727" t="s">
        <v>50</v>
      </c>
      <c r="B67" s="1728"/>
      <c r="C67" s="1728"/>
      <c r="D67" s="1728"/>
      <c r="E67" s="1728"/>
      <c r="F67" s="1728"/>
      <c r="G67" s="1728"/>
      <c r="H67" s="1728"/>
      <c r="I67" s="708"/>
      <c r="J67" s="708"/>
      <c r="K67" s="708"/>
      <c r="L67" s="708"/>
      <c r="M67" s="708"/>
      <c r="N67" s="708"/>
      <c r="O67" s="708"/>
      <c r="P67" s="708"/>
      <c r="Q67" s="708"/>
      <c r="R67" s="709"/>
    </row>
    <row r="68" spans="1:18" ht="30" x14ac:dyDescent="0.25">
      <c r="A68" s="885" t="s">
        <v>35</v>
      </c>
      <c r="B68" s="416" t="s">
        <v>36</v>
      </c>
      <c r="C68" s="416" t="s">
        <v>37</v>
      </c>
      <c r="D68" s="416" t="s">
        <v>38</v>
      </c>
      <c r="E68" s="421" t="s">
        <v>51</v>
      </c>
      <c r="F68" s="421" t="s">
        <v>52</v>
      </c>
      <c r="G68" s="421" t="s">
        <v>53</v>
      </c>
      <c r="H68" s="421" t="s">
        <v>54</v>
      </c>
      <c r="I68" s="708"/>
      <c r="J68" s="708"/>
      <c r="K68" s="708"/>
      <c r="L68" s="708"/>
      <c r="M68" s="708"/>
      <c r="N68" s="708"/>
      <c r="O68" s="708"/>
      <c r="P68" s="708"/>
      <c r="Q68" s="708"/>
      <c r="R68" s="709"/>
    </row>
    <row r="69" spans="1:18" x14ac:dyDescent="0.25">
      <c r="A69" s="970">
        <v>1</v>
      </c>
      <c r="B69" s="971" t="s">
        <v>44</v>
      </c>
      <c r="C69" s="971" t="s">
        <v>72</v>
      </c>
      <c r="D69" s="972">
        <v>4897654123</v>
      </c>
      <c r="E69" s="973">
        <f>+(I61-H61)*4%</f>
        <v>80000.000000000015</v>
      </c>
      <c r="F69" s="972">
        <f>+(I61-H61)*4%</f>
        <v>80000.000000000015</v>
      </c>
      <c r="G69" s="979">
        <f>SUM(E69:F69)</f>
        <v>160000.00000000003</v>
      </c>
      <c r="H69" s="974">
        <f>I61-G69</f>
        <v>1840000.0000000002</v>
      </c>
      <c r="I69" s="708"/>
      <c r="J69" s="708"/>
      <c r="K69" s="708"/>
      <c r="L69" s="708"/>
      <c r="M69" s="708"/>
      <c r="N69" s="708"/>
      <c r="O69" s="708"/>
      <c r="P69" s="708"/>
      <c r="Q69" s="708"/>
      <c r="R69" s="709"/>
    </row>
    <row r="70" spans="1:18" x14ac:dyDescent="0.25">
      <c r="A70" s="970">
        <v>2</v>
      </c>
      <c r="B70" s="971" t="s">
        <v>45</v>
      </c>
      <c r="C70" s="971" t="s">
        <v>46</v>
      </c>
      <c r="D70" s="972">
        <v>10258964</v>
      </c>
      <c r="E70" s="973">
        <f t="shared" ref="E70:E71" si="30">+(I62-H62)*4%</f>
        <v>40000</v>
      </c>
      <c r="F70" s="972">
        <f t="shared" ref="F70:F71" si="31">+(I62-H62)*4%</f>
        <v>40000</v>
      </c>
      <c r="G70" s="979">
        <f>SUM(E70:F70)</f>
        <v>80000</v>
      </c>
      <c r="H70" s="974">
        <f>I62-G70</f>
        <v>1037174</v>
      </c>
      <c r="I70" s="708"/>
      <c r="J70" s="708"/>
      <c r="K70" s="708"/>
      <c r="L70" s="708"/>
      <c r="M70" s="708"/>
      <c r="N70" s="708"/>
      <c r="O70" s="708"/>
      <c r="P70" s="708"/>
      <c r="Q70" s="708"/>
      <c r="R70" s="709"/>
    </row>
    <row r="71" spans="1:18" x14ac:dyDescent="0.25">
      <c r="A71" s="970">
        <v>3</v>
      </c>
      <c r="B71" s="971" t="s">
        <v>47</v>
      </c>
      <c r="C71" s="971" t="s">
        <v>48</v>
      </c>
      <c r="D71" s="972">
        <v>4569852</v>
      </c>
      <c r="E71" s="973">
        <f t="shared" si="30"/>
        <v>40000</v>
      </c>
      <c r="F71" s="972">
        <f t="shared" si="31"/>
        <v>40000</v>
      </c>
      <c r="G71" s="979">
        <f>SUM(E71:F71)</f>
        <v>80000</v>
      </c>
      <c r="H71" s="974">
        <f>I63-G71</f>
        <v>1037174</v>
      </c>
      <c r="I71" s="708"/>
      <c r="J71" s="708"/>
      <c r="K71" s="708"/>
      <c r="L71" s="708"/>
      <c r="M71" s="708"/>
      <c r="N71" s="708"/>
      <c r="O71" s="708"/>
      <c r="P71" s="708"/>
      <c r="Q71" s="708"/>
      <c r="R71" s="709"/>
    </row>
    <row r="72" spans="1:18" x14ac:dyDescent="0.25">
      <c r="A72" s="728"/>
      <c r="B72" s="971"/>
      <c r="C72" s="734" t="s">
        <v>49</v>
      </c>
      <c r="D72" s="971"/>
      <c r="E72" s="980">
        <f>SUM(E69:E71)</f>
        <v>160000</v>
      </c>
      <c r="F72" s="980">
        <f>SUM(F69:F71)</f>
        <v>160000</v>
      </c>
      <c r="G72" s="975">
        <f>SUM(E72:F72)</f>
        <v>320000</v>
      </c>
      <c r="H72" s="976">
        <f>I64-G72</f>
        <v>3914348</v>
      </c>
      <c r="I72" s="708"/>
      <c r="J72" s="708"/>
      <c r="K72" s="708"/>
      <c r="L72" s="708"/>
      <c r="M72" s="708"/>
      <c r="N72" s="708"/>
      <c r="O72" s="708"/>
      <c r="P72" s="708"/>
      <c r="Q72" s="708"/>
      <c r="R72" s="709"/>
    </row>
    <row r="73" spans="1:18" x14ac:dyDescent="0.25">
      <c r="A73" s="722"/>
      <c r="B73" s="708"/>
      <c r="C73" s="708"/>
      <c r="D73" s="708"/>
      <c r="E73" s="708"/>
      <c r="F73" s="708"/>
      <c r="G73" s="708"/>
      <c r="H73" s="708"/>
      <c r="I73" s="708"/>
      <c r="J73" s="708"/>
      <c r="K73" s="708"/>
      <c r="L73" s="708"/>
      <c r="M73" s="708"/>
      <c r="N73" s="708"/>
      <c r="O73" s="708"/>
      <c r="P73" s="708"/>
      <c r="Q73" s="708"/>
      <c r="R73" s="709"/>
    </row>
    <row r="74" spans="1:18" x14ac:dyDescent="0.25">
      <c r="A74" s="722"/>
      <c r="B74" s="708"/>
      <c r="C74" s="708"/>
      <c r="D74" s="708"/>
      <c r="E74" s="708"/>
      <c r="F74" s="708"/>
      <c r="G74" s="708"/>
      <c r="H74" s="708"/>
      <c r="I74" s="708"/>
      <c r="J74" s="708"/>
      <c r="K74" s="708"/>
      <c r="L74" s="708"/>
      <c r="M74" s="708"/>
      <c r="N74" s="708"/>
      <c r="O74" s="708"/>
      <c r="P74" s="708"/>
      <c r="Q74" s="708"/>
      <c r="R74" s="709"/>
    </row>
    <row r="75" spans="1:18" ht="18.75" x14ac:dyDescent="0.25">
      <c r="A75" s="1701" t="s">
        <v>55</v>
      </c>
      <c r="B75" s="1702"/>
      <c r="C75" s="1702"/>
      <c r="D75" s="1702"/>
      <c r="E75" s="1702"/>
      <c r="F75" s="1702"/>
      <c r="G75" s="1702"/>
      <c r="H75" s="1702"/>
      <c r="I75" s="1702"/>
      <c r="J75" s="1702"/>
      <c r="K75" s="1702"/>
      <c r="L75" s="1702"/>
      <c r="M75" s="1702"/>
      <c r="N75" s="1702"/>
      <c r="O75" s="1702"/>
      <c r="P75" s="1702"/>
      <c r="Q75" s="1702"/>
      <c r="R75" s="1703"/>
    </row>
    <row r="76" spans="1:18" ht="60" x14ac:dyDescent="0.25">
      <c r="A76" s="885" t="s">
        <v>35</v>
      </c>
      <c r="B76" s="416" t="s">
        <v>36</v>
      </c>
      <c r="C76" s="416" t="s">
        <v>37</v>
      </c>
      <c r="D76" s="421" t="s">
        <v>56</v>
      </c>
      <c r="E76" s="421" t="s">
        <v>57</v>
      </c>
      <c r="F76" s="421" t="s">
        <v>58</v>
      </c>
      <c r="G76" s="421" t="s">
        <v>59</v>
      </c>
      <c r="H76" s="421" t="s">
        <v>60</v>
      </c>
      <c r="I76" s="421" t="s">
        <v>61</v>
      </c>
      <c r="J76" s="421" t="s">
        <v>62</v>
      </c>
      <c r="K76" s="421" t="s">
        <v>63</v>
      </c>
      <c r="L76" s="421" t="s">
        <v>64</v>
      </c>
      <c r="M76" s="421" t="s">
        <v>65</v>
      </c>
      <c r="N76" s="421" t="s">
        <v>66</v>
      </c>
      <c r="O76" s="421" t="s">
        <v>67</v>
      </c>
      <c r="P76" s="421" t="s">
        <v>68</v>
      </c>
      <c r="Q76" s="421" t="s">
        <v>69</v>
      </c>
      <c r="R76" s="724" t="s">
        <v>70</v>
      </c>
    </row>
    <row r="77" spans="1:18" x14ac:dyDescent="0.25">
      <c r="A77" s="970">
        <v>1</v>
      </c>
      <c r="B77" s="971" t="s">
        <v>44</v>
      </c>
      <c r="C77" s="971" t="s">
        <v>72</v>
      </c>
      <c r="D77" s="981">
        <f>(I61-H61)*8.5%</f>
        <v>170000.00000000003</v>
      </c>
      <c r="E77" s="972">
        <f>(I61-H61)*12%</f>
        <v>240000.00000000003</v>
      </c>
      <c r="F77" s="972">
        <f>(I61-H61)*0.522%</f>
        <v>10440</v>
      </c>
      <c r="G77" s="972">
        <f>(I61-H61)*3%</f>
        <v>60000.000000000007</v>
      </c>
      <c r="H77" s="972">
        <f>(I61-H61)*2%</f>
        <v>40000.000000000007</v>
      </c>
      <c r="I77" s="972">
        <f>(I61-H61)*4%</f>
        <v>80000.000000000015</v>
      </c>
      <c r="J77" s="974">
        <f>I61*8.33%</f>
        <v>166600.00000000003</v>
      </c>
      <c r="K77" s="979">
        <f>I61*1%</f>
        <v>20000.000000000004</v>
      </c>
      <c r="L77" s="972">
        <f>I61*8.33%</f>
        <v>166600.00000000003</v>
      </c>
      <c r="M77" s="972">
        <f>(I61-H61)*4.17%</f>
        <v>83400.000000000015</v>
      </c>
      <c r="N77" s="972">
        <f>(I61+D77+E77+F77+G77+H77+I77+J77+K77+L77+M77)</f>
        <v>3037040.0000000005</v>
      </c>
      <c r="O77" s="972">
        <f>N77/30</f>
        <v>101234.66666666669</v>
      </c>
      <c r="P77" s="972">
        <f>O77/8</f>
        <v>12654.333333333336</v>
      </c>
      <c r="Q77" s="982">
        <f>+P77/60</f>
        <v>210.90555555555559</v>
      </c>
      <c r="R77" s="983">
        <f>+Q77/60</f>
        <v>3.5150925925925933</v>
      </c>
    </row>
    <row r="78" spans="1:18" x14ac:dyDescent="0.25">
      <c r="A78" s="970">
        <v>2</v>
      </c>
      <c r="B78" s="971" t="s">
        <v>45</v>
      </c>
      <c r="C78" s="971" t="s">
        <v>46</v>
      </c>
      <c r="D78" s="981">
        <f t="shared" ref="D78:D79" si="32">(I62-H62)*8.5%</f>
        <v>85000</v>
      </c>
      <c r="E78" s="972">
        <f t="shared" ref="E78:E79" si="33">(I62-H62)*12%</f>
        <v>120000</v>
      </c>
      <c r="F78" s="972">
        <f>(I62-H62)*0.522%</f>
        <v>5220</v>
      </c>
      <c r="G78" s="972">
        <f t="shared" ref="G78:G79" si="34">(I62-H62)*3%</f>
        <v>30000</v>
      </c>
      <c r="H78" s="972">
        <f t="shared" ref="H78:H79" si="35">(I62-H62)*2%</f>
        <v>20000</v>
      </c>
      <c r="I78" s="972">
        <f t="shared" ref="I78:I79" si="36">(I62-H62)*4%</f>
        <v>40000</v>
      </c>
      <c r="J78" s="974">
        <f>I62*8.33%</f>
        <v>93060.594199999992</v>
      </c>
      <c r="K78" s="979">
        <f>I62*1%</f>
        <v>11171.74</v>
      </c>
      <c r="L78" s="972">
        <f>I62*8.33%</f>
        <v>93060.594199999992</v>
      </c>
      <c r="M78" s="972">
        <f>(I62-H62)*4.17%</f>
        <v>41700</v>
      </c>
      <c r="N78" s="972">
        <f>(I62+D78+E78+F78+G78+H78+I78+J78+K78+L78+M78)</f>
        <v>1656386.9283999999</v>
      </c>
      <c r="O78" s="972">
        <f t="shared" ref="O78:O79" si="37">N78/30</f>
        <v>55212.897613333327</v>
      </c>
      <c r="P78" s="972">
        <f t="shared" ref="P78:P79" si="38">O78/8</f>
        <v>6901.6122016666659</v>
      </c>
      <c r="Q78" s="982">
        <f t="shared" ref="Q78:Q79" si="39">+P78/60</f>
        <v>115.02687002777776</v>
      </c>
      <c r="R78" s="983">
        <f t="shared" ref="R78:R79" si="40">+Q78/60</f>
        <v>1.9171145004629626</v>
      </c>
    </row>
    <row r="79" spans="1:18" x14ac:dyDescent="0.25">
      <c r="A79" s="970">
        <v>3</v>
      </c>
      <c r="B79" s="971" t="s">
        <v>47</v>
      </c>
      <c r="C79" s="971" t="s">
        <v>48</v>
      </c>
      <c r="D79" s="981">
        <f t="shared" si="32"/>
        <v>85000</v>
      </c>
      <c r="E79" s="972">
        <f t="shared" si="33"/>
        <v>120000</v>
      </c>
      <c r="F79" s="972">
        <f>(I63-H63)*0.522%</f>
        <v>5220</v>
      </c>
      <c r="G79" s="972">
        <f t="shared" si="34"/>
        <v>30000</v>
      </c>
      <c r="H79" s="972">
        <f t="shared" si="35"/>
        <v>20000</v>
      </c>
      <c r="I79" s="972">
        <f t="shared" si="36"/>
        <v>40000</v>
      </c>
      <c r="J79" s="974">
        <f>I63*8.33%</f>
        <v>93060.594199999992</v>
      </c>
      <c r="K79" s="979">
        <f>I63*1%</f>
        <v>11171.74</v>
      </c>
      <c r="L79" s="972">
        <f>I63*8.33%</f>
        <v>93060.594199999992</v>
      </c>
      <c r="M79" s="972">
        <f>(I63-H63)*4.17%</f>
        <v>41700</v>
      </c>
      <c r="N79" s="972">
        <f>(I63+D79+E79+F79+G79+H79+I79+J79+K79+L79+M79)</f>
        <v>1656386.9283999999</v>
      </c>
      <c r="O79" s="972">
        <f t="shared" si="37"/>
        <v>55212.897613333327</v>
      </c>
      <c r="P79" s="972">
        <f t="shared" si="38"/>
        <v>6901.6122016666659</v>
      </c>
      <c r="Q79" s="982">
        <f t="shared" si="39"/>
        <v>115.02687002777776</v>
      </c>
      <c r="R79" s="983">
        <f t="shared" si="40"/>
        <v>1.9171145004629626</v>
      </c>
    </row>
    <row r="80" spans="1:18" ht="15.75" thickBot="1" x14ac:dyDescent="0.3">
      <c r="A80" s="984"/>
      <c r="B80" s="985"/>
      <c r="C80" s="986" t="s">
        <v>49</v>
      </c>
      <c r="D80" s="987">
        <f t="shared" ref="D80:M80" si="41">SUM(D77:D79)</f>
        <v>340000</v>
      </c>
      <c r="E80" s="987">
        <f t="shared" si="41"/>
        <v>480000</v>
      </c>
      <c r="F80" s="987">
        <f t="shared" si="41"/>
        <v>20880</v>
      </c>
      <c r="G80" s="987">
        <f t="shared" si="41"/>
        <v>120000</v>
      </c>
      <c r="H80" s="987">
        <f t="shared" si="41"/>
        <v>80000</v>
      </c>
      <c r="I80" s="987">
        <f t="shared" si="41"/>
        <v>160000</v>
      </c>
      <c r="J80" s="987">
        <f t="shared" si="41"/>
        <v>352721.18839999998</v>
      </c>
      <c r="K80" s="987">
        <f t="shared" si="41"/>
        <v>42343.48</v>
      </c>
      <c r="L80" s="988">
        <f t="shared" si="41"/>
        <v>352721.18839999998</v>
      </c>
      <c r="M80" s="988">
        <f t="shared" si="41"/>
        <v>166800</v>
      </c>
      <c r="N80" s="988">
        <f>SUM(N77:N79)</f>
        <v>6349813.8568000002</v>
      </c>
      <c r="O80" s="988">
        <f t="shared" ref="O80:R80" si="42">SUM(O77:O79)</f>
        <v>211660.46189333335</v>
      </c>
      <c r="P80" s="988">
        <f t="shared" si="42"/>
        <v>26457.557736666669</v>
      </c>
      <c r="Q80" s="989">
        <f t="shared" si="42"/>
        <v>440.95929561111114</v>
      </c>
      <c r="R80" s="990">
        <f t="shared" si="42"/>
        <v>7.3493215935185185</v>
      </c>
    </row>
    <row r="81" spans="1:29" ht="15.75" thickBot="1" x14ac:dyDescent="0.3"/>
    <row r="82" spans="1:29" s="956" customFormat="1" ht="23.25" x14ac:dyDescent="0.35">
      <c r="A82" s="1704" t="s">
        <v>301</v>
      </c>
      <c r="B82" s="1705"/>
      <c r="C82" s="1705"/>
      <c r="D82" s="1705"/>
      <c r="E82" s="1705"/>
      <c r="F82" s="1705"/>
      <c r="G82" s="1705"/>
      <c r="H82" s="1705"/>
      <c r="I82" s="1705"/>
      <c r="J82" s="1705"/>
      <c r="K82" s="1705"/>
      <c r="L82" s="1705"/>
      <c r="M82" s="1705"/>
      <c r="N82" s="1705"/>
      <c r="O82" s="1705"/>
      <c r="P82" s="1705"/>
      <c r="Q82" s="1705"/>
      <c r="R82" s="1706"/>
      <c r="S82" s="953"/>
      <c r="T82" s="953"/>
      <c r="U82" s="953"/>
      <c r="V82" s="953"/>
      <c r="W82" s="953"/>
      <c r="X82" s="953"/>
      <c r="Y82" s="953"/>
      <c r="Z82" s="953"/>
      <c r="AA82" s="953"/>
      <c r="AB82" s="953"/>
      <c r="AC82" s="953"/>
    </row>
    <row r="83" spans="1:29" ht="18.75" x14ac:dyDescent="0.25">
      <c r="A83" s="1676" t="s">
        <v>34</v>
      </c>
      <c r="B83" s="1676"/>
      <c r="C83" s="1676"/>
      <c r="D83" s="1676"/>
      <c r="E83" s="1676"/>
      <c r="F83" s="1676"/>
      <c r="G83" s="1676"/>
      <c r="H83" s="1676"/>
      <c r="I83" s="1676"/>
      <c r="J83" s="745"/>
      <c r="K83" s="745"/>
      <c r="L83" s="745"/>
      <c r="M83" s="745"/>
      <c r="N83" s="745"/>
      <c r="O83" s="745"/>
      <c r="P83" s="745"/>
      <c r="Q83" s="745"/>
      <c r="R83" s="746"/>
    </row>
    <row r="84" spans="1:29" ht="30" x14ac:dyDescent="0.25">
      <c r="A84" s="993" t="s">
        <v>35</v>
      </c>
      <c r="B84" s="221" t="s">
        <v>36</v>
      </c>
      <c r="C84" s="221" t="s">
        <v>37</v>
      </c>
      <c r="D84" s="994" t="s">
        <v>38</v>
      </c>
      <c r="E84" s="837" t="s">
        <v>39</v>
      </c>
      <c r="F84" s="837" t="s">
        <v>40</v>
      </c>
      <c r="G84" s="25" t="s">
        <v>41</v>
      </c>
      <c r="H84" s="837" t="s">
        <v>42</v>
      </c>
      <c r="I84" s="837" t="s">
        <v>43</v>
      </c>
      <c r="J84" s="745"/>
      <c r="K84" s="745"/>
      <c r="L84" s="745"/>
      <c r="M84" s="745"/>
      <c r="N84" s="745"/>
      <c r="O84" s="745"/>
      <c r="P84" s="745"/>
      <c r="Q84" s="745"/>
      <c r="R84" s="746"/>
    </row>
    <row r="85" spans="1:29" x14ac:dyDescent="0.25">
      <c r="A85" s="995">
        <v>1</v>
      </c>
      <c r="B85" s="996" t="s">
        <v>44</v>
      </c>
      <c r="C85" s="996" t="s">
        <v>72</v>
      </c>
      <c r="D85" s="997">
        <v>4897654123</v>
      </c>
      <c r="E85" s="998">
        <v>2000000</v>
      </c>
      <c r="F85" s="996">
        <v>30</v>
      </c>
      <c r="G85" s="997">
        <f>(E85/30)*F85</f>
        <v>2000000.0000000002</v>
      </c>
      <c r="H85" s="997"/>
      <c r="I85" s="999">
        <f>SUM(G85:H85)</f>
        <v>2000000.0000000002</v>
      </c>
      <c r="J85" s="745"/>
      <c r="K85" s="745"/>
      <c r="L85" s="745"/>
      <c r="M85" s="745"/>
      <c r="N85" s="745"/>
      <c r="O85" s="745"/>
      <c r="P85" s="745"/>
      <c r="Q85" s="745"/>
      <c r="R85" s="746"/>
    </row>
    <row r="86" spans="1:29" x14ac:dyDescent="0.25">
      <c r="A86" s="995">
        <v>2</v>
      </c>
      <c r="B86" s="996" t="s">
        <v>45</v>
      </c>
      <c r="C86" s="996" t="s">
        <v>46</v>
      </c>
      <c r="D86" s="997">
        <v>10258964</v>
      </c>
      <c r="E86" s="998">
        <v>1000000</v>
      </c>
      <c r="F86" s="996">
        <v>30</v>
      </c>
      <c r="G86" s="997">
        <f t="shared" ref="G86:G87" si="43">(E86/30)*F86</f>
        <v>1000000.0000000001</v>
      </c>
      <c r="H86" s="997">
        <v>117174</v>
      </c>
      <c r="I86" s="999">
        <f>SUM(G86:H86)</f>
        <v>1117174</v>
      </c>
      <c r="J86" s="745"/>
      <c r="K86" s="745"/>
      <c r="L86" s="745"/>
      <c r="M86" s="745"/>
      <c r="N86" s="745"/>
      <c r="O86" s="745"/>
      <c r="P86" s="745"/>
      <c r="Q86" s="745"/>
      <c r="R86" s="746"/>
    </row>
    <row r="87" spans="1:29" x14ac:dyDescent="0.25">
      <c r="A87" s="995">
        <v>3</v>
      </c>
      <c r="B87" s="996" t="s">
        <v>47</v>
      </c>
      <c r="C87" s="996" t="s">
        <v>48</v>
      </c>
      <c r="D87" s="997">
        <v>4569852</v>
      </c>
      <c r="E87" s="998">
        <v>1000000</v>
      </c>
      <c r="F87" s="996">
        <v>30</v>
      </c>
      <c r="G87" s="997">
        <f t="shared" si="43"/>
        <v>1000000.0000000001</v>
      </c>
      <c r="H87" s="997">
        <v>117174</v>
      </c>
      <c r="I87" s="999">
        <f>SUM(G87:H87)</f>
        <v>1117174</v>
      </c>
      <c r="J87" s="745"/>
      <c r="K87" s="745"/>
      <c r="L87" s="745"/>
      <c r="M87" s="745"/>
      <c r="N87" s="745"/>
      <c r="O87" s="745"/>
      <c r="P87" s="745"/>
      <c r="Q87" s="745"/>
      <c r="R87" s="746"/>
    </row>
    <row r="88" spans="1:29" x14ac:dyDescent="0.25">
      <c r="A88" s="761"/>
      <c r="B88" s="996"/>
      <c r="C88" s="426" t="s">
        <v>49</v>
      </c>
      <c r="D88" s="996"/>
      <c r="E88" s="1000">
        <f>SUM(E85:E87)</f>
        <v>4000000</v>
      </c>
      <c r="F88" s="996"/>
      <c r="G88" s="1001">
        <f>SUM(G85:G87)</f>
        <v>4000000.0000000005</v>
      </c>
      <c r="H88" s="1002">
        <f>SUM(H87:H87)</f>
        <v>117174</v>
      </c>
      <c r="I88" s="1002">
        <f t="shared" ref="I88" si="44">SUM(I85:I87)</f>
        <v>4234348</v>
      </c>
      <c r="J88" s="745"/>
      <c r="K88" s="745"/>
      <c r="L88" s="745"/>
      <c r="M88" s="745"/>
      <c r="N88" s="745"/>
      <c r="O88" s="745"/>
      <c r="P88" s="745"/>
      <c r="Q88" s="745"/>
      <c r="R88" s="746"/>
    </row>
    <row r="89" spans="1:29" x14ac:dyDescent="0.25">
      <c r="A89" s="757"/>
      <c r="B89" s="745"/>
      <c r="C89" s="745"/>
      <c r="D89" s="745"/>
      <c r="E89" s="745"/>
      <c r="F89" s="745"/>
      <c r="G89" s="745"/>
      <c r="H89" s="1003"/>
      <c r="I89" s="1003"/>
      <c r="J89" s="1003"/>
      <c r="K89" s="1003"/>
      <c r="L89" s="1003"/>
      <c r="M89" s="745"/>
      <c r="N89" s="745"/>
      <c r="O89" s="745"/>
      <c r="P89" s="745"/>
      <c r="Q89" s="745"/>
      <c r="R89" s="746"/>
    </row>
    <row r="90" spans="1:29" x14ac:dyDescent="0.25">
      <c r="A90" s="757"/>
      <c r="B90" s="745"/>
      <c r="C90" s="745"/>
      <c r="D90" s="745"/>
      <c r="E90" s="745"/>
      <c r="F90" s="745"/>
      <c r="G90" s="745"/>
      <c r="H90" s="745"/>
      <c r="I90" s="745"/>
      <c r="J90" s="745"/>
      <c r="K90" s="745"/>
      <c r="L90" s="745"/>
      <c r="M90" s="745"/>
      <c r="N90" s="745"/>
      <c r="O90" s="745"/>
      <c r="P90" s="745"/>
      <c r="Q90" s="745"/>
      <c r="R90" s="746"/>
    </row>
    <row r="91" spans="1:29" ht="21" x14ac:dyDescent="0.25">
      <c r="A91" s="1684" t="s">
        <v>50</v>
      </c>
      <c r="B91" s="1684"/>
      <c r="C91" s="1684"/>
      <c r="D91" s="1684"/>
      <c r="E91" s="1684"/>
      <c r="F91" s="1684"/>
      <c r="G91" s="1684"/>
      <c r="H91" s="1684"/>
      <c r="I91" s="745"/>
      <c r="J91" s="745"/>
      <c r="K91" s="745"/>
      <c r="L91" s="745"/>
      <c r="M91" s="745"/>
      <c r="N91" s="745"/>
      <c r="O91" s="745"/>
      <c r="P91" s="745"/>
      <c r="Q91" s="745"/>
      <c r="R91" s="746"/>
    </row>
    <row r="92" spans="1:29" ht="30" x14ac:dyDescent="0.25">
      <c r="A92" s="993" t="s">
        <v>35</v>
      </c>
      <c r="B92" s="221" t="s">
        <v>36</v>
      </c>
      <c r="C92" s="221" t="s">
        <v>37</v>
      </c>
      <c r="D92" s="221" t="s">
        <v>38</v>
      </c>
      <c r="E92" s="25" t="s">
        <v>51</v>
      </c>
      <c r="F92" s="25" t="s">
        <v>52</v>
      </c>
      <c r="G92" s="25" t="s">
        <v>53</v>
      </c>
      <c r="H92" s="25" t="s">
        <v>54</v>
      </c>
      <c r="I92" s="745"/>
      <c r="J92" s="745"/>
      <c r="K92" s="745"/>
      <c r="L92" s="745"/>
      <c r="M92" s="745"/>
      <c r="N92" s="745"/>
      <c r="O92" s="745"/>
      <c r="P92" s="745"/>
      <c r="Q92" s="745"/>
      <c r="R92" s="746"/>
    </row>
    <row r="93" spans="1:29" x14ac:dyDescent="0.25">
      <c r="A93" s="995">
        <v>1</v>
      </c>
      <c r="B93" s="996" t="s">
        <v>44</v>
      </c>
      <c r="C93" s="996" t="s">
        <v>72</v>
      </c>
      <c r="D93" s="997">
        <v>4897654123</v>
      </c>
      <c r="E93" s="998">
        <f>+(I85-H85)*4%</f>
        <v>80000.000000000015</v>
      </c>
      <c r="F93" s="997">
        <f>+(I85-H85)*4%</f>
        <v>80000.000000000015</v>
      </c>
      <c r="G93" s="1004">
        <f>SUM(E93:F93)</f>
        <v>160000.00000000003</v>
      </c>
      <c r="H93" s="999">
        <f>I85-G93</f>
        <v>1840000.0000000002</v>
      </c>
      <c r="I93" s="745"/>
      <c r="J93" s="745"/>
      <c r="K93" s="745"/>
      <c r="L93" s="745"/>
      <c r="M93" s="745"/>
      <c r="N93" s="745"/>
      <c r="O93" s="745"/>
      <c r="P93" s="745"/>
      <c r="Q93" s="745"/>
      <c r="R93" s="746"/>
    </row>
    <row r="94" spans="1:29" x14ac:dyDescent="0.25">
      <c r="A94" s="995">
        <v>2</v>
      </c>
      <c r="B94" s="996" t="s">
        <v>45</v>
      </c>
      <c r="C94" s="996" t="s">
        <v>46</v>
      </c>
      <c r="D94" s="997">
        <v>10258964</v>
      </c>
      <c r="E94" s="998">
        <f t="shared" ref="E94:E95" si="45">+(I86-H86)*4%</f>
        <v>40000</v>
      </c>
      <c r="F94" s="997">
        <f t="shared" ref="F94:F95" si="46">+(I86-H86)*4%</f>
        <v>40000</v>
      </c>
      <c r="G94" s="1004">
        <f>SUM(E94:F94)</f>
        <v>80000</v>
      </c>
      <c r="H94" s="999">
        <f>I86-G94</f>
        <v>1037174</v>
      </c>
      <c r="I94" s="745"/>
      <c r="J94" s="745"/>
      <c r="K94" s="745"/>
      <c r="L94" s="745"/>
      <c r="M94" s="745"/>
      <c r="N94" s="745"/>
      <c r="O94" s="745"/>
      <c r="P94" s="745"/>
      <c r="Q94" s="745"/>
      <c r="R94" s="746"/>
    </row>
    <row r="95" spans="1:29" x14ac:dyDescent="0.25">
      <c r="A95" s="995">
        <v>3</v>
      </c>
      <c r="B95" s="996" t="s">
        <v>47</v>
      </c>
      <c r="C95" s="996" t="s">
        <v>48</v>
      </c>
      <c r="D95" s="997">
        <v>4569852</v>
      </c>
      <c r="E95" s="998">
        <f t="shared" si="45"/>
        <v>40000</v>
      </c>
      <c r="F95" s="997">
        <f t="shared" si="46"/>
        <v>40000</v>
      </c>
      <c r="G95" s="1004">
        <f>SUM(E95:F95)</f>
        <v>80000</v>
      </c>
      <c r="H95" s="999">
        <f>I87-G95</f>
        <v>1037174</v>
      </c>
      <c r="I95" s="745"/>
      <c r="J95" s="745"/>
      <c r="K95" s="745"/>
      <c r="L95" s="745"/>
      <c r="M95" s="745"/>
      <c r="N95" s="745"/>
      <c r="O95" s="745"/>
      <c r="P95" s="745"/>
      <c r="Q95" s="745"/>
      <c r="R95" s="746"/>
    </row>
    <row r="96" spans="1:29" x14ac:dyDescent="0.25">
      <c r="A96" s="761"/>
      <c r="B96" s="996"/>
      <c r="C96" s="426" t="s">
        <v>49</v>
      </c>
      <c r="D96" s="996"/>
      <c r="E96" s="1005">
        <f>SUM(E93:E95)</f>
        <v>160000</v>
      </c>
      <c r="F96" s="1005">
        <f>SUM(F93:F95)</f>
        <v>160000</v>
      </c>
      <c r="G96" s="1000">
        <f>SUM(E96:F96)</f>
        <v>320000</v>
      </c>
      <c r="H96" s="1001">
        <f>I88-G96</f>
        <v>3914348</v>
      </c>
      <c r="I96" s="745"/>
      <c r="J96" s="745"/>
      <c r="K96" s="745"/>
      <c r="L96" s="745"/>
      <c r="M96" s="745"/>
      <c r="N96" s="745"/>
      <c r="O96" s="745"/>
      <c r="P96" s="745"/>
      <c r="Q96" s="745"/>
      <c r="R96" s="746"/>
    </row>
    <row r="97" spans="1:29" x14ac:dyDescent="0.25">
      <c r="A97" s="757"/>
      <c r="B97" s="745"/>
      <c r="C97" s="745"/>
      <c r="D97" s="745"/>
      <c r="E97" s="745"/>
      <c r="F97" s="745"/>
      <c r="G97" s="745"/>
      <c r="H97" s="745"/>
      <c r="I97" s="745"/>
      <c r="J97" s="745"/>
      <c r="K97" s="745"/>
      <c r="L97" s="745"/>
      <c r="M97" s="745"/>
      <c r="N97" s="745"/>
      <c r="O97" s="745"/>
      <c r="P97" s="745"/>
      <c r="Q97" s="745"/>
      <c r="R97" s="746"/>
    </row>
    <row r="98" spans="1:29" x14ac:dyDescent="0.25">
      <c r="A98" s="757"/>
      <c r="B98" s="745"/>
      <c r="C98" s="745"/>
      <c r="D98" s="745"/>
      <c r="E98" s="745"/>
      <c r="F98" s="745"/>
      <c r="G98" s="745"/>
      <c r="H98" s="745"/>
      <c r="I98" s="745"/>
      <c r="J98" s="745"/>
      <c r="K98" s="745"/>
      <c r="L98" s="745"/>
      <c r="M98" s="745"/>
      <c r="N98" s="745"/>
      <c r="O98" s="745"/>
      <c r="P98" s="745"/>
      <c r="Q98" s="745"/>
      <c r="R98" s="746"/>
    </row>
    <row r="99" spans="1:29" ht="18.75" x14ac:dyDescent="0.25">
      <c r="A99" s="757"/>
      <c r="B99" s="1685" t="s">
        <v>55</v>
      </c>
      <c r="C99" s="1685"/>
      <c r="D99" s="1685"/>
      <c r="E99" s="1685"/>
      <c r="F99" s="1685"/>
      <c r="G99" s="1685"/>
      <c r="H99" s="1685"/>
      <c r="I99" s="1685"/>
      <c r="J99" s="1685"/>
      <c r="K99" s="1685"/>
      <c r="L99" s="1685"/>
      <c r="M99" s="1685"/>
      <c r="N99" s="1685"/>
      <c r="O99" s="1685"/>
      <c r="P99" s="1685"/>
      <c r="Q99" s="1685"/>
      <c r="R99" s="1685"/>
    </row>
    <row r="100" spans="1:29" ht="60" x14ac:dyDescent="0.25">
      <c r="A100" s="993" t="s">
        <v>35</v>
      </c>
      <c r="B100" s="221" t="s">
        <v>36</v>
      </c>
      <c r="C100" s="221" t="s">
        <v>37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25" t="s">
        <v>60</v>
      </c>
      <c r="I100" s="25" t="s">
        <v>61</v>
      </c>
      <c r="J100" s="25" t="s">
        <v>62</v>
      </c>
      <c r="K100" s="25" t="s">
        <v>63</v>
      </c>
      <c r="L100" s="25" t="s">
        <v>64</v>
      </c>
      <c r="M100" s="25" t="s">
        <v>65</v>
      </c>
      <c r="N100" s="25" t="s">
        <v>66</v>
      </c>
      <c r="O100" s="25" t="s">
        <v>67</v>
      </c>
      <c r="P100" s="25" t="s">
        <v>68</v>
      </c>
      <c r="Q100" s="25" t="s">
        <v>69</v>
      </c>
      <c r="R100" s="423" t="s">
        <v>70</v>
      </c>
    </row>
    <row r="101" spans="1:29" x14ac:dyDescent="0.25">
      <c r="A101" s="995">
        <v>1</v>
      </c>
      <c r="B101" s="996" t="s">
        <v>44</v>
      </c>
      <c r="C101" s="996" t="s">
        <v>72</v>
      </c>
      <c r="D101" s="1006">
        <f>(I85-H85)*8.5%</f>
        <v>170000.00000000003</v>
      </c>
      <c r="E101" s="997">
        <f>(I85-H85)*12%</f>
        <v>240000.00000000003</v>
      </c>
      <c r="F101" s="997">
        <f>(I85-H85)*0.522%</f>
        <v>10440</v>
      </c>
      <c r="G101" s="997">
        <f>(I85-H85)*3%</f>
        <v>60000.000000000007</v>
      </c>
      <c r="H101" s="997">
        <f>(I85-H85)*2%</f>
        <v>40000.000000000007</v>
      </c>
      <c r="I101" s="997">
        <f>(I85-H85)*4%</f>
        <v>80000.000000000015</v>
      </c>
      <c r="J101" s="999">
        <f>I85*8.33%</f>
        <v>166600.00000000003</v>
      </c>
      <c r="K101" s="1004">
        <f>I85*1%</f>
        <v>20000.000000000004</v>
      </c>
      <c r="L101" s="997">
        <f>I85*8.33%</f>
        <v>166600.00000000003</v>
      </c>
      <c r="M101" s="997">
        <f>(I85-H85)*4.17%</f>
        <v>83400.000000000015</v>
      </c>
      <c r="N101" s="997">
        <f>(I85+D101+E101+F101+G101+H101+I101+J101+K101+L101+M101)</f>
        <v>3037040.0000000005</v>
      </c>
      <c r="O101" s="997">
        <f>N101/30</f>
        <v>101234.66666666669</v>
      </c>
      <c r="P101" s="997">
        <f>O101/8</f>
        <v>12654.333333333336</v>
      </c>
      <c r="Q101" s="1007">
        <f>+P101/60</f>
        <v>210.90555555555559</v>
      </c>
      <c r="R101" s="1008">
        <f>+Q101/60</f>
        <v>3.5150925925925933</v>
      </c>
    </row>
    <row r="102" spans="1:29" x14ac:dyDescent="0.25">
      <c r="A102" s="995">
        <v>2</v>
      </c>
      <c r="B102" s="996" t="s">
        <v>45</v>
      </c>
      <c r="C102" s="996" t="s">
        <v>46</v>
      </c>
      <c r="D102" s="1006">
        <f t="shared" ref="D102:D103" si="47">(I86-H86)*8.5%</f>
        <v>85000</v>
      </c>
      <c r="E102" s="997">
        <f t="shared" ref="E102:E103" si="48">(I86-H86)*12%</f>
        <v>120000</v>
      </c>
      <c r="F102" s="997">
        <f>(I86-H86)*0.522%</f>
        <v>5220</v>
      </c>
      <c r="G102" s="997">
        <f t="shared" ref="G102:G103" si="49">(I86-H86)*3%</f>
        <v>30000</v>
      </c>
      <c r="H102" s="997">
        <f t="shared" ref="H102:H103" si="50">(I86-H86)*2%</f>
        <v>20000</v>
      </c>
      <c r="I102" s="997">
        <f t="shared" ref="I102:I103" si="51">(I86-H86)*4%</f>
        <v>40000</v>
      </c>
      <c r="J102" s="999">
        <f>I86*8.33%</f>
        <v>93060.594199999992</v>
      </c>
      <c r="K102" s="1004">
        <f>I86*1%</f>
        <v>11171.74</v>
      </c>
      <c r="L102" s="997">
        <f>I86*8.33%</f>
        <v>93060.594199999992</v>
      </c>
      <c r="M102" s="997">
        <f>(I86-H86)*4.17%</f>
        <v>41700</v>
      </c>
      <c r="N102" s="997">
        <f>(I86+D102+E102+F102+G102+H102+I102+J102+K102+L102+M102)</f>
        <v>1656386.9283999999</v>
      </c>
      <c r="O102" s="997">
        <f t="shared" ref="O102:O103" si="52">N102/30</f>
        <v>55212.897613333327</v>
      </c>
      <c r="P102" s="997">
        <f t="shared" ref="P102:P103" si="53">O102/8</f>
        <v>6901.6122016666659</v>
      </c>
      <c r="Q102" s="1007">
        <f t="shared" ref="Q102:Q103" si="54">+P102/60</f>
        <v>115.02687002777776</v>
      </c>
      <c r="R102" s="1008">
        <f t="shared" ref="R102:R103" si="55">+Q102/60</f>
        <v>1.9171145004629626</v>
      </c>
    </row>
    <row r="103" spans="1:29" x14ac:dyDescent="0.25">
      <c r="A103" s="995">
        <v>3</v>
      </c>
      <c r="B103" s="996" t="s">
        <v>47</v>
      </c>
      <c r="C103" s="996" t="s">
        <v>48</v>
      </c>
      <c r="D103" s="1006">
        <f t="shared" si="47"/>
        <v>85000</v>
      </c>
      <c r="E103" s="997">
        <f t="shared" si="48"/>
        <v>120000</v>
      </c>
      <c r="F103" s="997">
        <f>(I87-H87)*0.522%</f>
        <v>5220</v>
      </c>
      <c r="G103" s="997">
        <f t="shared" si="49"/>
        <v>30000</v>
      </c>
      <c r="H103" s="997">
        <f t="shared" si="50"/>
        <v>20000</v>
      </c>
      <c r="I103" s="997">
        <f t="shared" si="51"/>
        <v>40000</v>
      </c>
      <c r="J103" s="999">
        <f>I87*8.33%</f>
        <v>93060.594199999992</v>
      </c>
      <c r="K103" s="1004">
        <f>I87*1%</f>
        <v>11171.74</v>
      </c>
      <c r="L103" s="997">
        <f>I87*8.33%</f>
        <v>93060.594199999992</v>
      </c>
      <c r="M103" s="997">
        <f>(I87-H87)*4.17%</f>
        <v>41700</v>
      </c>
      <c r="N103" s="997">
        <f>(I87+D103+E103+F103+G103+H103+I103+J103+K103+L103+M103)</f>
        <v>1656386.9283999999</v>
      </c>
      <c r="O103" s="997">
        <f t="shared" si="52"/>
        <v>55212.897613333327</v>
      </c>
      <c r="P103" s="997">
        <f t="shared" si="53"/>
        <v>6901.6122016666659</v>
      </c>
      <c r="Q103" s="1007">
        <f t="shared" si="54"/>
        <v>115.02687002777776</v>
      </c>
      <c r="R103" s="1008">
        <f t="shared" si="55"/>
        <v>1.9171145004629626</v>
      </c>
    </row>
    <row r="104" spans="1:29" ht="15.75" thickBot="1" x14ac:dyDescent="0.3">
      <c r="A104" s="1009"/>
      <c r="B104" s="1010"/>
      <c r="C104" s="1011" t="s">
        <v>49</v>
      </c>
      <c r="D104" s="1012">
        <f t="shared" ref="D104:M104" si="56">SUM(D101:D103)</f>
        <v>340000</v>
      </c>
      <c r="E104" s="1012">
        <f t="shared" si="56"/>
        <v>480000</v>
      </c>
      <c r="F104" s="1012">
        <f t="shared" si="56"/>
        <v>20880</v>
      </c>
      <c r="G104" s="1012">
        <f t="shared" si="56"/>
        <v>120000</v>
      </c>
      <c r="H104" s="1012">
        <f t="shared" si="56"/>
        <v>80000</v>
      </c>
      <c r="I104" s="1012">
        <f t="shared" si="56"/>
        <v>160000</v>
      </c>
      <c r="J104" s="1012">
        <f t="shared" si="56"/>
        <v>352721.18839999998</v>
      </c>
      <c r="K104" s="1012">
        <f t="shared" si="56"/>
        <v>42343.48</v>
      </c>
      <c r="L104" s="1013">
        <f t="shared" si="56"/>
        <v>352721.18839999998</v>
      </c>
      <c r="M104" s="1013">
        <f t="shared" si="56"/>
        <v>166800</v>
      </c>
      <c r="N104" s="1013">
        <f>SUM(N101:N103)</f>
        <v>6349813.8568000002</v>
      </c>
      <c r="O104" s="1013">
        <f t="shared" ref="O104:R104" si="57">SUM(O101:O103)</f>
        <v>211660.46189333335</v>
      </c>
      <c r="P104" s="1013">
        <f t="shared" si="57"/>
        <v>26457.557736666669</v>
      </c>
      <c r="Q104" s="1014">
        <f t="shared" si="57"/>
        <v>440.95929561111114</v>
      </c>
      <c r="R104" s="1015">
        <f t="shared" si="57"/>
        <v>7.3493215935185185</v>
      </c>
    </row>
    <row r="105" spans="1:29" s="37" customFormat="1" ht="15.75" thickBot="1" x14ac:dyDescent="0.3">
      <c r="A105" s="196"/>
      <c r="R105" s="227"/>
    </row>
    <row r="106" spans="1:29" s="956" customFormat="1" ht="23.25" x14ac:dyDescent="0.35">
      <c r="A106" s="1690" t="s">
        <v>302</v>
      </c>
      <c r="B106" s="1691"/>
      <c r="C106" s="1691"/>
      <c r="D106" s="1691"/>
      <c r="E106" s="1691"/>
      <c r="F106" s="1691"/>
      <c r="G106" s="1691"/>
      <c r="H106" s="1691"/>
      <c r="I106" s="1691"/>
      <c r="J106" s="1691"/>
      <c r="K106" s="1691"/>
      <c r="L106" s="1691"/>
      <c r="M106" s="1691"/>
      <c r="N106" s="1691"/>
      <c r="O106" s="1691"/>
      <c r="P106" s="1691"/>
      <c r="Q106" s="1691"/>
      <c r="R106" s="1692"/>
      <c r="S106" s="953"/>
      <c r="T106" s="953"/>
      <c r="U106" s="953"/>
      <c r="V106" s="953"/>
      <c r="W106" s="953"/>
      <c r="X106" s="953"/>
      <c r="Y106" s="953"/>
      <c r="Z106" s="953"/>
      <c r="AA106" s="953"/>
      <c r="AB106" s="953"/>
      <c r="AC106" s="953"/>
    </row>
    <row r="107" spans="1:29" ht="18.75" x14ac:dyDescent="0.25">
      <c r="A107" s="1686" t="s">
        <v>34</v>
      </c>
      <c r="B107" s="1687"/>
      <c r="C107" s="1687"/>
      <c r="D107" s="1687"/>
      <c r="E107" s="1687"/>
      <c r="F107" s="1687"/>
      <c r="G107" s="1687"/>
      <c r="H107" s="1687"/>
      <c r="I107" s="1687"/>
      <c r="J107" s="673"/>
      <c r="K107" s="673"/>
      <c r="L107" s="673"/>
      <c r="M107" s="673"/>
      <c r="N107" s="673"/>
      <c r="O107" s="673"/>
      <c r="P107" s="673"/>
      <c r="Q107" s="673"/>
      <c r="R107" s="674"/>
    </row>
    <row r="108" spans="1:29" ht="30" x14ac:dyDescent="0.25">
      <c r="A108" s="880" t="s">
        <v>35</v>
      </c>
      <c r="B108" s="219" t="s">
        <v>36</v>
      </c>
      <c r="C108" s="219" t="s">
        <v>37</v>
      </c>
      <c r="D108" s="921" t="s">
        <v>38</v>
      </c>
      <c r="E108" s="839" t="s">
        <v>39</v>
      </c>
      <c r="F108" s="839" t="s">
        <v>40</v>
      </c>
      <c r="G108" s="100" t="s">
        <v>41</v>
      </c>
      <c r="H108" s="839" t="s">
        <v>42</v>
      </c>
      <c r="I108" s="839" t="s">
        <v>43</v>
      </c>
      <c r="J108" s="673"/>
      <c r="K108" s="673"/>
      <c r="L108" s="673"/>
      <c r="M108" s="673"/>
      <c r="N108" s="673"/>
      <c r="O108" s="673"/>
      <c r="P108" s="673"/>
      <c r="Q108" s="673"/>
      <c r="R108" s="674"/>
    </row>
    <row r="109" spans="1:29" x14ac:dyDescent="0.25">
      <c r="A109" s="881">
        <v>1</v>
      </c>
      <c r="B109" s="895" t="s">
        <v>44</v>
      </c>
      <c r="C109" s="895" t="s">
        <v>72</v>
      </c>
      <c r="D109" s="922">
        <v>4897654123</v>
      </c>
      <c r="E109" s="923">
        <v>2000000</v>
      </c>
      <c r="F109" s="895">
        <v>30</v>
      </c>
      <c r="G109" s="922">
        <f>(E109/30)*F109</f>
        <v>2000000.0000000002</v>
      </c>
      <c r="H109" s="922"/>
      <c r="I109" s="924">
        <f>SUM(G109:H109)</f>
        <v>2000000.0000000002</v>
      </c>
      <c r="J109" s="673"/>
      <c r="K109" s="673"/>
      <c r="L109" s="673"/>
      <c r="M109" s="673"/>
      <c r="N109" s="673"/>
      <c r="O109" s="673"/>
      <c r="P109" s="673"/>
      <c r="Q109" s="673"/>
      <c r="R109" s="674"/>
    </row>
    <row r="110" spans="1:29" x14ac:dyDescent="0.25">
      <c r="A110" s="881">
        <v>2</v>
      </c>
      <c r="B110" s="895" t="s">
        <v>45</v>
      </c>
      <c r="C110" s="895" t="s">
        <v>46</v>
      </c>
      <c r="D110" s="922">
        <v>10258964</v>
      </c>
      <c r="E110" s="923">
        <v>1000000</v>
      </c>
      <c r="F110" s="895">
        <v>30</v>
      </c>
      <c r="G110" s="922">
        <f t="shared" ref="G110:G111" si="58">(E110/30)*F110</f>
        <v>1000000.0000000001</v>
      </c>
      <c r="H110" s="922">
        <v>117174</v>
      </c>
      <c r="I110" s="924">
        <f>SUM(G110:H110)</f>
        <v>1117174</v>
      </c>
      <c r="J110" s="673"/>
      <c r="K110" s="673"/>
      <c r="L110" s="673"/>
      <c r="M110" s="673"/>
      <c r="N110" s="673"/>
      <c r="O110" s="673"/>
      <c r="P110" s="673"/>
      <c r="Q110" s="673"/>
      <c r="R110" s="674"/>
    </row>
    <row r="111" spans="1:29" x14ac:dyDescent="0.25">
      <c r="A111" s="881">
        <v>3</v>
      </c>
      <c r="B111" s="895" t="s">
        <v>47</v>
      </c>
      <c r="C111" s="895" t="s">
        <v>48</v>
      </c>
      <c r="D111" s="922">
        <v>4569852</v>
      </c>
      <c r="E111" s="923">
        <v>1000000</v>
      </c>
      <c r="F111" s="895">
        <v>30</v>
      </c>
      <c r="G111" s="922">
        <f t="shared" si="58"/>
        <v>1000000.0000000001</v>
      </c>
      <c r="H111" s="922">
        <v>117174</v>
      </c>
      <c r="I111" s="924">
        <f>SUM(G111:H111)</f>
        <v>1117174</v>
      </c>
      <c r="J111" s="673"/>
      <c r="K111" s="673"/>
      <c r="L111" s="673"/>
      <c r="M111" s="673"/>
      <c r="N111" s="673"/>
      <c r="O111" s="673"/>
      <c r="P111" s="673"/>
      <c r="Q111" s="673"/>
      <c r="R111" s="674"/>
    </row>
    <row r="112" spans="1:29" x14ac:dyDescent="0.25">
      <c r="A112" s="569"/>
      <c r="B112" s="895"/>
      <c r="C112" s="695" t="s">
        <v>49</v>
      </c>
      <c r="D112" s="895"/>
      <c r="E112" s="925">
        <f>SUM(E109:E111)</f>
        <v>4000000</v>
      </c>
      <c r="F112" s="895"/>
      <c r="G112" s="926">
        <f>SUM(G109:G111)</f>
        <v>4000000.0000000005</v>
      </c>
      <c r="H112" s="927">
        <f>SUM(H111:H111)</f>
        <v>117174</v>
      </c>
      <c r="I112" s="927">
        <f t="shared" ref="I112" si="59">SUM(I109:I111)</f>
        <v>4234348</v>
      </c>
      <c r="J112" s="673"/>
      <c r="K112" s="673"/>
      <c r="L112" s="673"/>
      <c r="M112" s="673"/>
      <c r="N112" s="673"/>
      <c r="O112" s="673"/>
      <c r="P112" s="673"/>
      <c r="Q112" s="673"/>
      <c r="R112" s="674"/>
    </row>
    <row r="113" spans="1:18" x14ac:dyDescent="0.25">
      <c r="A113" s="688"/>
      <c r="B113" s="673"/>
      <c r="C113" s="673"/>
      <c r="D113" s="673"/>
      <c r="E113" s="673"/>
      <c r="F113" s="673"/>
      <c r="G113" s="673"/>
      <c r="H113" s="932"/>
      <c r="I113" s="932"/>
      <c r="J113" s="932"/>
      <c r="K113" s="932"/>
      <c r="L113" s="932"/>
      <c r="M113" s="673"/>
      <c r="N113" s="673"/>
      <c r="O113" s="673"/>
      <c r="P113" s="673"/>
      <c r="Q113" s="673"/>
      <c r="R113" s="674"/>
    </row>
    <row r="114" spans="1:18" x14ac:dyDescent="0.25">
      <c r="A114" s="688"/>
      <c r="B114" s="673"/>
      <c r="C114" s="673"/>
      <c r="D114" s="673"/>
      <c r="E114" s="673"/>
      <c r="F114" s="673"/>
      <c r="G114" s="673"/>
      <c r="H114" s="673"/>
      <c r="I114" s="673"/>
      <c r="J114" s="673"/>
      <c r="K114" s="673"/>
      <c r="L114" s="673"/>
      <c r="M114" s="673"/>
      <c r="N114" s="673"/>
      <c r="O114" s="673"/>
      <c r="P114" s="673"/>
      <c r="Q114" s="673"/>
      <c r="R114" s="674"/>
    </row>
    <row r="115" spans="1:18" ht="21" x14ac:dyDescent="0.25">
      <c r="A115" s="1680" t="s">
        <v>50</v>
      </c>
      <c r="B115" s="1681"/>
      <c r="C115" s="1681"/>
      <c r="D115" s="1681"/>
      <c r="E115" s="1681"/>
      <c r="F115" s="1681"/>
      <c r="G115" s="1681"/>
      <c r="H115" s="1681"/>
      <c r="I115" s="673"/>
      <c r="J115" s="673"/>
      <c r="K115" s="673"/>
      <c r="L115" s="673"/>
      <c r="M115" s="673"/>
      <c r="N115" s="673"/>
      <c r="O115" s="673"/>
      <c r="P115" s="673"/>
      <c r="Q115" s="673"/>
      <c r="R115" s="674"/>
    </row>
    <row r="116" spans="1:18" ht="30" x14ac:dyDescent="0.25">
      <c r="A116" s="880" t="s">
        <v>35</v>
      </c>
      <c r="B116" s="219" t="s">
        <v>36</v>
      </c>
      <c r="C116" s="219" t="s">
        <v>37</v>
      </c>
      <c r="D116" s="219" t="s">
        <v>38</v>
      </c>
      <c r="E116" s="100" t="s">
        <v>51</v>
      </c>
      <c r="F116" s="100" t="s">
        <v>52</v>
      </c>
      <c r="G116" s="100" t="s">
        <v>53</v>
      </c>
      <c r="H116" s="100" t="s">
        <v>54</v>
      </c>
      <c r="I116" s="673"/>
      <c r="J116" s="673"/>
      <c r="K116" s="673"/>
      <c r="L116" s="673"/>
      <c r="M116" s="673"/>
      <c r="N116" s="673"/>
      <c r="O116" s="673"/>
      <c r="P116" s="673"/>
      <c r="Q116" s="673"/>
      <c r="R116" s="674"/>
    </row>
    <row r="117" spans="1:18" x14ac:dyDescent="0.25">
      <c r="A117" s="881">
        <v>1</v>
      </c>
      <c r="B117" s="895" t="s">
        <v>44</v>
      </c>
      <c r="C117" s="895" t="s">
        <v>72</v>
      </c>
      <c r="D117" s="922">
        <v>4897654123</v>
      </c>
      <c r="E117" s="923">
        <f>+(I109-H109)*4%</f>
        <v>80000.000000000015</v>
      </c>
      <c r="F117" s="922">
        <f>+(I109-H109)*4%</f>
        <v>80000.000000000015</v>
      </c>
      <c r="G117" s="928">
        <f>SUM(E117:F117)</f>
        <v>160000.00000000003</v>
      </c>
      <c r="H117" s="924">
        <f>I109-G117</f>
        <v>1840000.0000000002</v>
      </c>
      <c r="I117" s="673"/>
      <c r="J117" s="673"/>
      <c r="K117" s="673"/>
      <c r="L117" s="673"/>
      <c r="M117" s="673"/>
      <c r="N117" s="673"/>
      <c r="O117" s="673"/>
      <c r="P117" s="673"/>
      <c r="Q117" s="673"/>
      <c r="R117" s="674"/>
    </row>
    <row r="118" spans="1:18" x14ac:dyDescent="0.25">
      <c r="A118" s="881">
        <v>2</v>
      </c>
      <c r="B118" s="895" t="s">
        <v>45</v>
      </c>
      <c r="C118" s="895" t="s">
        <v>46</v>
      </c>
      <c r="D118" s="922">
        <v>10258964</v>
      </c>
      <c r="E118" s="923">
        <f t="shared" ref="E118:E119" si="60">+(I110-H110)*4%</f>
        <v>40000</v>
      </c>
      <c r="F118" s="922">
        <f t="shared" ref="F118:F119" si="61">+(I110-H110)*4%</f>
        <v>40000</v>
      </c>
      <c r="G118" s="928">
        <f>SUM(E118:F118)</f>
        <v>80000</v>
      </c>
      <c r="H118" s="924">
        <f>I110-G118</f>
        <v>1037174</v>
      </c>
      <c r="I118" s="673"/>
      <c r="J118" s="673"/>
      <c r="K118" s="673"/>
      <c r="L118" s="673"/>
      <c r="M118" s="673"/>
      <c r="N118" s="673"/>
      <c r="O118" s="673"/>
      <c r="P118" s="673"/>
      <c r="Q118" s="673"/>
      <c r="R118" s="674"/>
    </row>
    <row r="119" spans="1:18" x14ac:dyDescent="0.25">
      <c r="A119" s="881">
        <v>3</v>
      </c>
      <c r="B119" s="895" t="s">
        <v>47</v>
      </c>
      <c r="C119" s="895" t="s">
        <v>48</v>
      </c>
      <c r="D119" s="922">
        <v>4569852</v>
      </c>
      <c r="E119" s="923">
        <f t="shared" si="60"/>
        <v>40000</v>
      </c>
      <c r="F119" s="922">
        <f t="shared" si="61"/>
        <v>40000</v>
      </c>
      <c r="G119" s="928">
        <f>SUM(E119:F119)</f>
        <v>80000</v>
      </c>
      <c r="H119" s="924">
        <f>I111-G119</f>
        <v>1037174</v>
      </c>
      <c r="I119" s="673"/>
      <c r="J119" s="673"/>
      <c r="K119" s="673"/>
      <c r="L119" s="673"/>
      <c r="M119" s="673"/>
      <c r="N119" s="673"/>
      <c r="O119" s="673"/>
      <c r="P119" s="673"/>
      <c r="Q119" s="673"/>
      <c r="R119" s="674"/>
    </row>
    <row r="120" spans="1:18" x14ac:dyDescent="0.25">
      <c r="A120" s="569"/>
      <c r="B120" s="895"/>
      <c r="C120" s="695" t="s">
        <v>49</v>
      </c>
      <c r="D120" s="895"/>
      <c r="E120" s="929">
        <f>SUM(E117:E119)</f>
        <v>160000</v>
      </c>
      <c r="F120" s="929">
        <f>SUM(F117:F119)</f>
        <v>160000</v>
      </c>
      <c r="G120" s="925">
        <f>SUM(E120:F120)</f>
        <v>320000</v>
      </c>
      <c r="H120" s="926">
        <f>I112-G120</f>
        <v>3914348</v>
      </c>
      <c r="I120" s="673"/>
      <c r="J120" s="673"/>
      <c r="K120" s="673"/>
      <c r="L120" s="673"/>
      <c r="M120" s="673"/>
      <c r="N120" s="673"/>
      <c r="O120" s="673"/>
      <c r="P120" s="673"/>
      <c r="Q120" s="673"/>
      <c r="R120" s="674"/>
    </row>
    <row r="121" spans="1:18" x14ac:dyDescent="0.25">
      <c r="A121" s="688"/>
      <c r="B121" s="673"/>
      <c r="C121" s="673"/>
      <c r="D121" s="673"/>
      <c r="E121" s="673"/>
      <c r="F121" s="673"/>
      <c r="G121" s="673"/>
      <c r="H121" s="673"/>
      <c r="I121" s="673"/>
      <c r="J121" s="673"/>
      <c r="K121" s="673"/>
      <c r="L121" s="673"/>
      <c r="M121" s="673"/>
      <c r="N121" s="673"/>
      <c r="O121" s="673"/>
      <c r="P121" s="673"/>
      <c r="Q121" s="673"/>
      <c r="R121" s="674"/>
    </row>
    <row r="122" spans="1:18" x14ac:dyDescent="0.25">
      <c r="A122" s="688"/>
      <c r="B122" s="673"/>
      <c r="C122" s="673"/>
      <c r="D122" s="673"/>
      <c r="E122" s="673"/>
      <c r="F122" s="673"/>
      <c r="G122" s="673"/>
      <c r="H122" s="673"/>
      <c r="I122" s="673"/>
      <c r="J122" s="673"/>
      <c r="K122" s="673"/>
      <c r="L122" s="673"/>
      <c r="M122" s="673"/>
      <c r="N122" s="673"/>
      <c r="O122" s="673"/>
      <c r="P122" s="673"/>
      <c r="Q122" s="673"/>
      <c r="R122" s="674"/>
    </row>
    <row r="123" spans="1:18" ht="18.75" x14ac:dyDescent="0.25">
      <c r="A123" s="688"/>
      <c r="B123" s="1688" t="s">
        <v>55</v>
      </c>
      <c r="C123" s="1688"/>
      <c r="D123" s="1688"/>
      <c r="E123" s="1688"/>
      <c r="F123" s="1688"/>
      <c r="G123" s="1688"/>
      <c r="H123" s="1688"/>
      <c r="I123" s="1688"/>
      <c r="J123" s="1688"/>
      <c r="K123" s="1688"/>
      <c r="L123" s="1688"/>
      <c r="M123" s="1688"/>
      <c r="N123" s="1688"/>
      <c r="O123" s="1688"/>
      <c r="P123" s="1688"/>
      <c r="Q123" s="1688"/>
      <c r="R123" s="1689"/>
    </row>
    <row r="124" spans="1:18" ht="60" x14ac:dyDescent="0.25">
      <c r="A124" s="880" t="s">
        <v>35</v>
      </c>
      <c r="B124" s="219" t="s">
        <v>36</v>
      </c>
      <c r="C124" s="219" t="s">
        <v>37</v>
      </c>
      <c r="D124" s="100" t="s">
        <v>56</v>
      </c>
      <c r="E124" s="100" t="s">
        <v>57</v>
      </c>
      <c r="F124" s="100" t="s">
        <v>58</v>
      </c>
      <c r="G124" s="100" t="s">
        <v>59</v>
      </c>
      <c r="H124" s="100" t="s">
        <v>60</v>
      </c>
      <c r="I124" s="100" t="s">
        <v>61</v>
      </c>
      <c r="J124" s="100" t="s">
        <v>62</v>
      </c>
      <c r="K124" s="100" t="s">
        <v>63</v>
      </c>
      <c r="L124" s="100" t="s">
        <v>64</v>
      </c>
      <c r="M124" s="100" t="s">
        <v>65</v>
      </c>
      <c r="N124" s="100" t="s">
        <v>66</v>
      </c>
      <c r="O124" s="100" t="s">
        <v>67</v>
      </c>
      <c r="P124" s="100" t="s">
        <v>68</v>
      </c>
      <c r="Q124" s="100" t="s">
        <v>69</v>
      </c>
      <c r="R124" s="689" t="s">
        <v>70</v>
      </c>
    </row>
    <row r="125" spans="1:18" x14ac:dyDescent="0.25">
      <c r="A125" s="881">
        <v>1</v>
      </c>
      <c r="B125" s="895" t="s">
        <v>44</v>
      </c>
      <c r="C125" s="895" t="s">
        <v>72</v>
      </c>
      <c r="D125" s="930">
        <f>(I109-H109)*8.5%</f>
        <v>170000.00000000003</v>
      </c>
      <c r="E125" s="922">
        <f>(I109-H109)*12%</f>
        <v>240000.00000000003</v>
      </c>
      <c r="F125" s="922">
        <f>(I109-H109)*0.522%</f>
        <v>10440</v>
      </c>
      <c r="G125" s="922">
        <f>(I109-H109)*3%</f>
        <v>60000.000000000007</v>
      </c>
      <c r="H125" s="922">
        <f>(I109-H109)*2%</f>
        <v>40000.000000000007</v>
      </c>
      <c r="I125" s="922">
        <f>(I109-H109)*4%</f>
        <v>80000.000000000015</v>
      </c>
      <c r="J125" s="924">
        <f>I109*8.33%</f>
        <v>166600.00000000003</v>
      </c>
      <c r="K125" s="928">
        <f>I109*1%</f>
        <v>20000.000000000004</v>
      </c>
      <c r="L125" s="922">
        <f>I109*8.33%</f>
        <v>166600.00000000003</v>
      </c>
      <c r="M125" s="922">
        <f>(I109-H109)*4.17%</f>
        <v>83400.000000000015</v>
      </c>
      <c r="N125" s="922">
        <f>(I109+D125+E125+F125+G125+H125+I125+J125+K125+L125+M125)</f>
        <v>3037040.0000000005</v>
      </c>
      <c r="O125" s="922">
        <f>N125/30</f>
        <v>101234.66666666669</v>
      </c>
      <c r="P125" s="922">
        <f>O125/8</f>
        <v>12654.333333333336</v>
      </c>
      <c r="Q125" s="931">
        <f>+P125/60</f>
        <v>210.90555555555559</v>
      </c>
      <c r="R125" s="933">
        <f>+Q125/60</f>
        <v>3.5150925925925933</v>
      </c>
    </row>
    <row r="126" spans="1:18" x14ac:dyDescent="0.25">
      <c r="A126" s="881">
        <v>2</v>
      </c>
      <c r="B126" s="895" t="s">
        <v>45</v>
      </c>
      <c r="C126" s="895" t="s">
        <v>46</v>
      </c>
      <c r="D126" s="930">
        <f t="shared" ref="D126:D127" si="62">(I110-H110)*8.5%</f>
        <v>85000</v>
      </c>
      <c r="E126" s="922">
        <f t="shared" ref="E126:E127" si="63">(I110-H110)*12%</f>
        <v>120000</v>
      </c>
      <c r="F126" s="922">
        <f>(I110-H110)*0.522%</f>
        <v>5220</v>
      </c>
      <c r="G126" s="922">
        <f t="shared" ref="G126:G127" si="64">(I110-H110)*3%</f>
        <v>30000</v>
      </c>
      <c r="H126" s="922">
        <f t="shared" ref="H126:H127" si="65">(I110-H110)*2%</f>
        <v>20000</v>
      </c>
      <c r="I126" s="922">
        <f t="shared" ref="I126:I127" si="66">(I110-H110)*4%</f>
        <v>40000</v>
      </c>
      <c r="J126" s="924">
        <f>I110*8.33%</f>
        <v>93060.594199999992</v>
      </c>
      <c r="K126" s="928">
        <f>I110*1%</f>
        <v>11171.74</v>
      </c>
      <c r="L126" s="922">
        <f>I110*8.33%</f>
        <v>93060.594199999992</v>
      </c>
      <c r="M126" s="922">
        <f>(I110-H110)*4.17%</f>
        <v>41700</v>
      </c>
      <c r="N126" s="922">
        <f>(I110+D126+E126+F126+G126+H126+I126+J126+K126+L126+M126)</f>
        <v>1656386.9283999999</v>
      </c>
      <c r="O126" s="922">
        <f t="shared" ref="O126:O127" si="67">N126/30</f>
        <v>55212.897613333327</v>
      </c>
      <c r="P126" s="922">
        <f t="shared" ref="P126:P127" si="68">O126/8</f>
        <v>6901.6122016666659</v>
      </c>
      <c r="Q126" s="931">
        <f t="shared" ref="Q126:Q127" si="69">+P126/60</f>
        <v>115.02687002777776</v>
      </c>
      <c r="R126" s="933">
        <f t="shared" ref="R126:R127" si="70">+Q126/60</f>
        <v>1.9171145004629626</v>
      </c>
    </row>
    <row r="127" spans="1:18" x14ac:dyDescent="0.25">
      <c r="A127" s="881">
        <v>3</v>
      </c>
      <c r="B127" s="895" t="s">
        <v>47</v>
      </c>
      <c r="C127" s="895" t="s">
        <v>48</v>
      </c>
      <c r="D127" s="930">
        <f t="shared" si="62"/>
        <v>85000</v>
      </c>
      <c r="E127" s="922">
        <f t="shared" si="63"/>
        <v>120000</v>
      </c>
      <c r="F127" s="922">
        <f>(I111-H111)*0.522%</f>
        <v>5220</v>
      </c>
      <c r="G127" s="922">
        <f t="shared" si="64"/>
        <v>30000</v>
      </c>
      <c r="H127" s="922">
        <f t="shared" si="65"/>
        <v>20000</v>
      </c>
      <c r="I127" s="922">
        <f t="shared" si="66"/>
        <v>40000</v>
      </c>
      <c r="J127" s="924">
        <f>I111*8.33%</f>
        <v>93060.594199999992</v>
      </c>
      <c r="K127" s="928">
        <f>I111*1%</f>
        <v>11171.74</v>
      </c>
      <c r="L127" s="922">
        <f>I111*8.33%</f>
        <v>93060.594199999992</v>
      </c>
      <c r="M127" s="922">
        <f>(I111-H111)*4.17%</f>
        <v>41700</v>
      </c>
      <c r="N127" s="922">
        <f>(I111+D127+E127+F127+G127+H127+I127+J127+K127+L127+M127)</f>
        <v>1656386.9283999999</v>
      </c>
      <c r="O127" s="922">
        <f t="shared" si="67"/>
        <v>55212.897613333327</v>
      </c>
      <c r="P127" s="922">
        <f t="shared" si="68"/>
        <v>6901.6122016666659</v>
      </c>
      <c r="Q127" s="931">
        <f t="shared" si="69"/>
        <v>115.02687002777776</v>
      </c>
      <c r="R127" s="933">
        <f t="shared" si="70"/>
        <v>1.9171145004629626</v>
      </c>
    </row>
    <row r="128" spans="1:18" ht="15.75" thickBot="1" x14ac:dyDescent="0.3">
      <c r="A128" s="934"/>
      <c r="B128" s="935"/>
      <c r="C128" s="936" t="s">
        <v>49</v>
      </c>
      <c r="D128" s="937">
        <f t="shared" ref="D128:M128" si="71">SUM(D125:D127)</f>
        <v>340000</v>
      </c>
      <c r="E128" s="937">
        <f t="shared" si="71"/>
        <v>480000</v>
      </c>
      <c r="F128" s="937">
        <f t="shared" si="71"/>
        <v>20880</v>
      </c>
      <c r="G128" s="937">
        <f t="shared" si="71"/>
        <v>120000</v>
      </c>
      <c r="H128" s="937">
        <f t="shared" si="71"/>
        <v>80000</v>
      </c>
      <c r="I128" s="937">
        <f t="shared" si="71"/>
        <v>160000</v>
      </c>
      <c r="J128" s="937">
        <f t="shared" si="71"/>
        <v>352721.18839999998</v>
      </c>
      <c r="K128" s="937">
        <f t="shared" si="71"/>
        <v>42343.48</v>
      </c>
      <c r="L128" s="938">
        <f t="shared" si="71"/>
        <v>352721.18839999998</v>
      </c>
      <c r="M128" s="938">
        <f t="shared" si="71"/>
        <v>166800</v>
      </c>
      <c r="N128" s="938">
        <f>SUM(N125:N127)</f>
        <v>6349813.8568000002</v>
      </c>
      <c r="O128" s="938">
        <f t="shared" ref="O128:R128" si="72">SUM(O125:O127)</f>
        <v>211660.46189333335</v>
      </c>
      <c r="P128" s="938">
        <f t="shared" si="72"/>
        <v>26457.557736666669</v>
      </c>
      <c r="Q128" s="939">
        <f t="shared" si="72"/>
        <v>440.95929561111114</v>
      </c>
      <c r="R128" s="940">
        <f t="shared" si="72"/>
        <v>7.3493215935185185</v>
      </c>
    </row>
    <row r="129" spans="1:29" ht="15.75" thickBot="1" x14ac:dyDescent="0.3"/>
    <row r="130" spans="1:29" s="956" customFormat="1" ht="23.25" x14ac:dyDescent="0.35">
      <c r="A130" s="1698" t="s">
        <v>303</v>
      </c>
      <c r="B130" s="1699"/>
      <c r="C130" s="1699"/>
      <c r="D130" s="1699"/>
      <c r="E130" s="1699"/>
      <c r="F130" s="1699"/>
      <c r="G130" s="1699"/>
      <c r="H130" s="1699"/>
      <c r="I130" s="1699"/>
      <c r="J130" s="1699"/>
      <c r="K130" s="1699"/>
      <c r="L130" s="1699"/>
      <c r="M130" s="1699"/>
      <c r="N130" s="1699"/>
      <c r="O130" s="1699"/>
      <c r="P130" s="1699"/>
      <c r="Q130" s="1699"/>
      <c r="R130" s="1700"/>
      <c r="S130" s="953"/>
      <c r="T130" s="953"/>
      <c r="U130" s="953"/>
      <c r="V130" s="953"/>
      <c r="W130" s="953"/>
      <c r="X130" s="953"/>
      <c r="Y130" s="953"/>
      <c r="Z130" s="953"/>
      <c r="AA130" s="953"/>
      <c r="AB130" s="953"/>
      <c r="AC130" s="953"/>
    </row>
    <row r="131" spans="1:29" ht="18.75" x14ac:dyDescent="0.25">
      <c r="A131" s="1672" t="s">
        <v>34</v>
      </c>
      <c r="B131" s="1673"/>
      <c r="C131" s="1673"/>
      <c r="D131" s="1673"/>
      <c r="E131" s="1673"/>
      <c r="F131" s="1673"/>
      <c r="G131" s="1673"/>
      <c r="H131" s="1673"/>
      <c r="I131" s="1673"/>
      <c r="J131" s="1027"/>
      <c r="K131" s="1027"/>
      <c r="L131" s="1027"/>
      <c r="M131" s="1027"/>
      <c r="N131" s="1027"/>
      <c r="O131" s="1027"/>
      <c r="P131" s="1027"/>
      <c r="Q131" s="1027"/>
      <c r="R131" s="1028"/>
    </row>
    <row r="132" spans="1:29" ht="30" x14ac:dyDescent="0.25">
      <c r="A132" s="1029" t="s">
        <v>35</v>
      </c>
      <c r="B132" s="220" t="s">
        <v>36</v>
      </c>
      <c r="C132" s="220" t="s">
        <v>37</v>
      </c>
      <c r="D132" s="1018" t="s">
        <v>38</v>
      </c>
      <c r="E132" s="1019" t="s">
        <v>39</v>
      </c>
      <c r="F132" s="1019" t="s">
        <v>40</v>
      </c>
      <c r="G132" s="26" t="s">
        <v>41</v>
      </c>
      <c r="H132" s="1019" t="s">
        <v>42</v>
      </c>
      <c r="I132" s="1019" t="s">
        <v>43</v>
      </c>
      <c r="J132" s="1027"/>
      <c r="K132" s="1027"/>
      <c r="L132" s="1027"/>
      <c r="M132" s="1027"/>
      <c r="N132" s="1027"/>
      <c r="O132" s="1027"/>
      <c r="P132" s="1027"/>
      <c r="Q132" s="1027"/>
      <c r="R132" s="1028"/>
    </row>
    <row r="133" spans="1:29" x14ac:dyDescent="0.25">
      <c r="A133" s="1030">
        <v>1</v>
      </c>
      <c r="B133" s="144" t="s">
        <v>44</v>
      </c>
      <c r="C133" s="144" t="s">
        <v>72</v>
      </c>
      <c r="D133" s="9">
        <v>4897654123</v>
      </c>
      <c r="E133" s="1020">
        <v>2000000</v>
      </c>
      <c r="F133" s="144">
        <v>30</v>
      </c>
      <c r="G133" s="9">
        <f>(E133/30)*F133</f>
        <v>2000000.0000000002</v>
      </c>
      <c r="H133" s="9"/>
      <c r="I133" s="10">
        <f>SUM(G133:H133)</f>
        <v>2000000.0000000002</v>
      </c>
      <c r="J133" s="1027"/>
      <c r="K133" s="1027"/>
      <c r="L133" s="1027"/>
      <c r="M133" s="1027"/>
      <c r="N133" s="1027"/>
      <c r="O133" s="1027"/>
      <c r="P133" s="1027"/>
      <c r="Q133" s="1027"/>
      <c r="R133" s="1028"/>
    </row>
    <row r="134" spans="1:29" x14ac:dyDescent="0.25">
      <c r="A134" s="1030">
        <v>2</v>
      </c>
      <c r="B134" s="144" t="s">
        <v>45</v>
      </c>
      <c r="C134" s="144" t="s">
        <v>46</v>
      </c>
      <c r="D134" s="9">
        <v>10258964</v>
      </c>
      <c r="E134" s="1020">
        <v>1000000</v>
      </c>
      <c r="F134" s="144">
        <v>30</v>
      </c>
      <c r="G134" s="9">
        <f t="shared" ref="G134:G135" si="73">(E134/30)*F134</f>
        <v>1000000.0000000001</v>
      </c>
      <c r="H134" s="9">
        <v>117174</v>
      </c>
      <c r="I134" s="10">
        <f>SUM(G134:H134)</f>
        <v>1117174</v>
      </c>
      <c r="J134" s="1027"/>
      <c r="K134" s="1027"/>
      <c r="L134" s="1027"/>
      <c r="M134" s="1027"/>
      <c r="N134" s="1027"/>
      <c r="O134" s="1027"/>
      <c r="P134" s="1027"/>
      <c r="Q134" s="1027"/>
      <c r="R134" s="1028"/>
    </row>
    <row r="135" spans="1:29" x14ac:dyDescent="0.25">
      <c r="A135" s="1030">
        <v>3</v>
      </c>
      <c r="B135" s="144" t="s">
        <v>47</v>
      </c>
      <c r="C135" s="144" t="s">
        <v>48</v>
      </c>
      <c r="D135" s="9">
        <v>4569852</v>
      </c>
      <c r="E135" s="1020">
        <v>1000000</v>
      </c>
      <c r="F135" s="144">
        <v>30</v>
      </c>
      <c r="G135" s="9">
        <f t="shared" si="73"/>
        <v>1000000.0000000001</v>
      </c>
      <c r="H135" s="9">
        <v>117174</v>
      </c>
      <c r="I135" s="10">
        <f>SUM(G135:H135)</f>
        <v>1117174</v>
      </c>
      <c r="J135" s="1027"/>
      <c r="K135" s="1027"/>
      <c r="L135" s="1027"/>
      <c r="M135" s="1027"/>
      <c r="N135" s="1027"/>
      <c r="O135" s="1027"/>
      <c r="P135" s="1027"/>
      <c r="Q135" s="1027"/>
      <c r="R135" s="1028"/>
    </row>
    <row r="136" spans="1:29" x14ac:dyDescent="0.25">
      <c r="A136" s="1031"/>
      <c r="B136" s="144"/>
      <c r="C136" s="99" t="s">
        <v>49</v>
      </c>
      <c r="D136" s="144"/>
      <c r="E136" s="1021">
        <f>SUM(E133:E135)</f>
        <v>4000000</v>
      </c>
      <c r="F136" s="144"/>
      <c r="G136" s="12">
        <f>SUM(G133:G135)</f>
        <v>4000000.0000000005</v>
      </c>
      <c r="H136" s="13">
        <f>SUM(H135:H135)</f>
        <v>117174</v>
      </c>
      <c r="I136" s="13">
        <f t="shared" ref="I136" si="74">SUM(I133:I135)</f>
        <v>4234348</v>
      </c>
      <c r="J136" s="1027"/>
      <c r="K136" s="1027"/>
      <c r="L136" s="1027"/>
      <c r="M136" s="1027"/>
      <c r="N136" s="1027"/>
      <c r="O136" s="1027"/>
      <c r="P136" s="1027"/>
      <c r="Q136" s="1027"/>
      <c r="R136" s="1028"/>
    </row>
    <row r="137" spans="1:29" x14ac:dyDescent="0.25">
      <c r="A137" s="1032"/>
      <c r="B137" s="1027"/>
      <c r="C137" s="1027"/>
      <c r="D137" s="1027"/>
      <c r="E137" s="1027"/>
      <c r="F137" s="1027"/>
      <c r="G137" s="1027"/>
      <c r="H137" s="1033"/>
      <c r="I137" s="1033"/>
      <c r="J137" s="1033"/>
      <c r="K137" s="1033"/>
      <c r="L137" s="1033"/>
      <c r="M137" s="1027"/>
      <c r="N137" s="1027"/>
      <c r="O137" s="1027"/>
      <c r="P137" s="1027"/>
      <c r="Q137" s="1027"/>
      <c r="R137" s="1028"/>
    </row>
    <row r="138" spans="1:29" x14ac:dyDescent="0.25">
      <c r="A138" s="1032"/>
      <c r="B138" s="1027"/>
      <c r="C138" s="1027"/>
      <c r="D138" s="1027"/>
      <c r="E138" s="1027"/>
      <c r="F138" s="1027"/>
      <c r="G138" s="1027"/>
      <c r="H138" s="1027"/>
      <c r="I138" s="1027"/>
      <c r="J138" s="1027"/>
      <c r="K138" s="1027"/>
      <c r="L138" s="1027"/>
      <c r="M138" s="1027"/>
      <c r="N138" s="1027"/>
      <c r="O138" s="1027"/>
      <c r="P138" s="1027"/>
      <c r="Q138" s="1027"/>
      <c r="R138" s="1028"/>
    </row>
    <row r="139" spans="1:29" ht="21" x14ac:dyDescent="0.25">
      <c r="A139" s="1674" t="s">
        <v>50</v>
      </c>
      <c r="B139" s="1675"/>
      <c r="C139" s="1675"/>
      <c r="D139" s="1675"/>
      <c r="E139" s="1675"/>
      <c r="F139" s="1675"/>
      <c r="G139" s="1675"/>
      <c r="H139" s="1675"/>
      <c r="I139" s="1027"/>
      <c r="J139" s="1027"/>
      <c r="K139" s="1027"/>
      <c r="L139" s="1027"/>
      <c r="M139" s="1027"/>
      <c r="N139" s="1027"/>
      <c r="O139" s="1027"/>
      <c r="P139" s="1027"/>
      <c r="Q139" s="1027"/>
      <c r="R139" s="1028"/>
    </row>
    <row r="140" spans="1:29" ht="30" x14ac:dyDescent="0.25">
      <c r="A140" s="1029" t="s">
        <v>35</v>
      </c>
      <c r="B140" s="220" t="s">
        <v>36</v>
      </c>
      <c r="C140" s="220" t="s">
        <v>37</v>
      </c>
      <c r="D140" s="220" t="s">
        <v>38</v>
      </c>
      <c r="E140" s="26" t="s">
        <v>51</v>
      </c>
      <c r="F140" s="26" t="s">
        <v>52</v>
      </c>
      <c r="G140" s="26" t="s">
        <v>53</v>
      </c>
      <c r="H140" s="26" t="s">
        <v>54</v>
      </c>
      <c r="I140" s="1027"/>
      <c r="J140" s="1027"/>
      <c r="K140" s="1027"/>
      <c r="L140" s="1027"/>
      <c r="M140" s="1027"/>
      <c r="N140" s="1027"/>
      <c r="O140" s="1027"/>
      <c r="P140" s="1027"/>
      <c r="Q140" s="1027"/>
      <c r="R140" s="1028"/>
    </row>
    <row r="141" spans="1:29" x14ac:dyDescent="0.25">
      <c r="A141" s="1030">
        <v>1</v>
      </c>
      <c r="B141" s="144" t="s">
        <v>44</v>
      </c>
      <c r="C141" s="144" t="s">
        <v>72</v>
      </c>
      <c r="D141" s="9">
        <v>4897654123</v>
      </c>
      <c r="E141" s="1020">
        <f>+(I133-H133)*4%</f>
        <v>80000.000000000015</v>
      </c>
      <c r="F141" s="9">
        <f>+(I133-H133)*4%</f>
        <v>80000.000000000015</v>
      </c>
      <c r="G141" s="1022">
        <f>SUM(E141:F141)</f>
        <v>160000.00000000003</v>
      </c>
      <c r="H141" s="10">
        <f>I133-G141</f>
        <v>1840000.0000000002</v>
      </c>
      <c r="I141" s="1027"/>
      <c r="J141" s="1027"/>
      <c r="K141" s="1027"/>
      <c r="L141" s="1027"/>
      <c r="M141" s="1027"/>
      <c r="N141" s="1027"/>
      <c r="O141" s="1027"/>
      <c r="P141" s="1027"/>
      <c r="Q141" s="1027"/>
      <c r="R141" s="1028"/>
    </row>
    <row r="142" spans="1:29" x14ac:dyDescent="0.25">
      <c r="A142" s="1030">
        <v>2</v>
      </c>
      <c r="B142" s="144" t="s">
        <v>45</v>
      </c>
      <c r="C142" s="144" t="s">
        <v>46</v>
      </c>
      <c r="D142" s="9">
        <v>10258964</v>
      </c>
      <c r="E142" s="1020">
        <f t="shared" ref="E142:E143" si="75">+(I134-H134)*4%</f>
        <v>40000</v>
      </c>
      <c r="F142" s="9">
        <f t="shared" ref="F142:F143" si="76">+(I134-H134)*4%</f>
        <v>40000</v>
      </c>
      <c r="G142" s="1022">
        <f>SUM(E142:F142)</f>
        <v>80000</v>
      </c>
      <c r="H142" s="10">
        <f>I134-G142</f>
        <v>1037174</v>
      </c>
      <c r="I142" s="1027"/>
      <c r="J142" s="1027"/>
      <c r="K142" s="1027"/>
      <c r="L142" s="1027"/>
      <c r="M142" s="1027"/>
      <c r="N142" s="1027"/>
      <c r="O142" s="1027"/>
      <c r="P142" s="1027"/>
      <c r="Q142" s="1027"/>
      <c r="R142" s="1028"/>
    </row>
    <row r="143" spans="1:29" x14ac:dyDescent="0.25">
      <c r="A143" s="1030">
        <v>3</v>
      </c>
      <c r="B143" s="144" t="s">
        <v>47</v>
      </c>
      <c r="C143" s="144" t="s">
        <v>48</v>
      </c>
      <c r="D143" s="9">
        <v>4569852</v>
      </c>
      <c r="E143" s="1020">
        <f t="shared" si="75"/>
        <v>40000</v>
      </c>
      <c r="F143" s="9">
        <f t="shared" si="76"/>
        <v>40000</v>
      </c>
      <c r="G143" s="1022">
        <f>SUM(E143:F143)</f>
        <v>80000</v>
      </c>
      <c r="H143" s="10">
        <f>I135-G143</f>
        <v>1037174</v>
      </c>
      <c r="I143" s="1027"/>
      <c r="J143" s="1027"/>
      <c r="K143" s="1027"/>
      <c r="L143" s="1027"/>
      <c r="M143" s="1027"/>
      <c r="N143" s="1027"/>
      <c r="O143" s="1027"/>
      <c r="P143" s="1027"/>
      <c r="Q143" s="1027"/>
      <c r="R143" s="1028"/>
    </row>
    <row r="144" spans="1:29" x14ac:dyDescent="0.25">
      <c r="A144" s="1031"/>
      <c r="B144" s="144"/>
      <c r="C144" s="99" t="s">
        <v>49</v>
      </c>
      <c r="D144" s="144"/>
      <c r="E144" s="1023">
        <f>SUM(E141:E143)</f>
        <v>160000</v>
      </c>
      <c r="F144" s="1023">
        <f>SUM(F141:F143)</f>
        <v>160000</v>
      </c>
      <c r="G144" s="1021">
        <f>SUM(E144:F144)</f>
        <v>320000</v>
      </c>
      <c r="H144" s="12">
        <f>I136-G144</f>
        <v>3914348</v>
      </c>
      <c r="I144" s="1027"/>
      <c r="J144" s="1027"/>
      <c r="K144" s="1027"/>
      <c r="L144" s="1027"/>
      <c r="M144" s="1027"/>
      <c r="N144" s="1027"/>
      <c r="O144" s="1027"/>
      <c r="P144" s="1027"/>
      <c r="Q144" s="1027"/>
      <c r="R144" s="1028"/>
    </row>
    <row r="145" spans="1:29" x14ac:dyDescent="0.25">
      <c r="A145" s="1032"/>
      <c r="B145" s="1027"/>
      <c r="C145" s="1027"/>
      <c r="D145" s="1027"/>
      <c r="E145" s="1027"/>
      <c r="F145" s="1027"/>
      <c r="G145" s="1027"/>
      <c r="H145" s="1027"/>
      <c r="I145" s="1027"/>
      <c r="J145" s="1027"/>
      <c r="K145" s="1027"/>
      <c r="L145" s="1027"/>
      <c r="M145" s="1027"/>
      <c r="N145" s="1027"/>
      <c r="O145" s="1027"/>
      <c r="P145" s="1027"/>
      <c r="Q145" s="1027"/>
      <c r="R145" s="1028"/>
    </row>
    <row r="146" spans="1:29" x14ac:dyDescent="0.25">
      <c r="A146" s="1032"/>
      <c r="B146" s="1027"/>
      <c r="C146" s="1027"/>
      <c r="D146" s="1027"/>
      <c r="E146" s="1027"/>
      <c r="F146" s="1027"/>
      <c r="G146" s="1027"/>
      <c r="H146" s="1027"/>
      <c r="I146" s="1027"/>
      <c r="J146" s="1027"/>
      <c r="K146" s="1027"/>
      <c r="L146" s="1027"/>
      <c r="M146" s="1027"/>
      <c r="N146" s="1027"/>
      <c r="O146" s="1027"/>
      <c r="P146" s="1027"/>
      <c r="Q146" s="1027"/>
      <c r="R146" s="1028"/>
    </row>
    <row r="147" spans="1:29" ht="18.75" x14ac:dyDescent="0.25">
      <c r="A147" s="1032"/>
      <c r="B147" s="1682" t="s">
        <v>55</v>
      </c>
      <c r="C147" s="1682"/>
      <c r="D147" s="1682"/>
      <c r="E147" s="1682"/>
      <c r="F147" s="1682"/>
      <c r="G147" s="1682"/>
      <c r="H147" s="1682"/>
      <c r="I147" s="1682"/>
      <c r="J147" s="1682"/>
      <c r="K147" s="1682"/>
      <c r="L147" s="1682"/>
      <c r="M147" s="1682"/>
      <c r="N147" s="1682"/>
      <c r="O147" s="1682"/>
      <c r="P147" s="1682"/>
      <c r="Q147" s="1682"/>
      <c r="R147" s="1683"/>
    </row>
    <row r="148" spans="1:29" ht="60" x14ac:dyDescent="0.25">
      <c r="A148" s="1029" t="s">
        <v>35</v>
      </c>
      <c r="B148" s="220" t="s">
        <v>36</v>
      </c>
      <c r="C148" s="220" t="s">
        <v>37</v>
      </c>
      <c r="D148" s="26" t="s">
        <v>56</v>
      </c>
      <c r="E148" s="26" t="s">
        <v>57</v>
      </c>
      <c r="F148" s="26" t="s">
        <v>58</v>
      </c>
      <c r="G148" s="26" t="s">
        <v>59</v>
      </c>
      <c r="H148" s="26" t="s">
        <v>60</v>
      </c>
      <c r="I148" s="26" t="s">
        <v>61</v>
      </c>
      <c r="J148" s="26" t="s">
        <v>62</v>
      </c>
      <c r="K148" s="26" t="s">
        <v>63</v>
      </c>
      <c r="L148" s="26" t="s">
        <v>64</v>
      </c>
      <c r="M148" s="26" t="s">
        <v>65</v>
      </c>
      <c r="N148" s="26" t="s">
        <v>66</v>
      </c>
      <c r="O148" s="26" t="s">
        <v>67</v>
      </c>
      <c r="P148" s="26" t="s">
        <v>68</v>
      </c>
      <c r="Q148" s="26" t="s">
        <v>69</v>
      </c>
      <c r="R148" s="1034" t="s">
        <v>70</v>
      </c>
    </row>
    <row r="149" spans="1:29" x14ac:dyDescent="0.25">
      <c r="A149" s="1030">
        <v>1</v>
      </c>
      <c r="B149" s="144" t="s">
        <v>44</v>
      </c>
      <c r="C149" s="144" t="s">
        <v>72</v>
      </c>
      <c r="D149" s="1024">
        <f>(I133-H133)*8.5%</f>
        <v>170000.00000000003</v>
      </c>
      <c r="E149" s="9">
        <f>(I133-H133)*12%</f>
        <v>240000.00000000003</v>
      </c>
      <c r="F149" s="9">
        <f>(I133-H133)*0.522%</f>
        <v>10440</v>
      </c>
      <c r="G149" s="9">
        <f>(I133-H133)*3%</f>
        <v>60000.000000000007</v>
      </c>
      <c r="H149" s="9">
        <f>(I133-H133)*2%</f>
        <v>40000.000000000007</v>
      </c>
      <c r="I149" s="9">
        <f>(I133-H133)*4%</f>
        <v>80000.000000000015</v>
      </c>
      <c r="J149" s="10">
        <f>I133*8.33%</f>
        <v>166600.00000000003</v>
      </c>
      <c r="K149" s="1022">
        <f>I133*1%</f>
        <v>20000.000000000004</v>
      </c>
      <c r="L149" s="9">
        <f>I133*8.33%</f>
        <v>166600.00000000003</v>
      </c>
      <c r="M149" s="9">
        <f>(I133-H133)*4.17%</f>
        <v>83400.000000000015</v>
      </c>
      <c r="N149" s="9">
        <f>(I133+D149+E149+F149+G149+H149+I149+J149+K149+L149+M149)</f>
        <v>3037040.0000000005</v>
      </c>
      <c r="O149" s="9">
        <f>N149/30</f>
        <v>101234.66666666669</v>
      </c>
      <c r="P149" s="9">
        <f>O149/8</f>
        <v>12654.333333333336</v>
      </c>
      <c r="Q149" s="1025">
        <f>+P149/60</f>
        <v>210.90555555555559</v>
      </c>
      <c r="R149" s="1035">
        <f>+Q149/60</f>
        <v>3.5150925925925933</v>
      </c>
    </row>
    <row r="150" spans="1:29" x14ac:dyDescent="0.25">
      <c r="A150" s="1030">
        <v>2</v>
      </c>
      <c r="B150" s="144" t="s">
        <v>45</v>
      </c>
      <c r="C150" s="144" t="s">
        <v>46</v>
      </c>
      <c r="D150" s="1024">
        <f t="shared" ref="D150:D151" si="77">(I134-H134)*8.5%</f>
        <v>85000</v>
      </c>
      <c r="E150" s="9">
        <f t="shared" ref="E150:E151" si="78">(I134-H134)*12%</f>
        <v>120000</v>
      </c>
      <c r="F150" s="9">
        <f>(I134-H134)*0.522%</f>
        <v>5220</v>
      </c>
      <c r="G150" s="9">
        <f t="shared" ref="G150:G151" si="79">(I134-H134)*3%</f>
        <v>30000</v>
      </c>
      <c r="H150" s="9">
        <f t="shared" ref="H150:H151" si="80">(I134-H134)*2%</f>
        <v>20000</v>
      </c>
      <c r="I150" s="9">
        <f t="shared" ref="I150:I151" si="81">(I134-H134)*4%</f>
        <v>40000</v>
      </c>
      <c r="J150" s="10">
        <f>I134*8.33%</f>
        <v>93060.594199999992</v>
      </c>
      <c r="K150" s="1022">
        <f>I134*1%</f>
        <v>11171.74</v>
      </c>
      <c r="L150" s="9">
        <f>I134*8.33%</f>
        <v>93060.594199999992</v>
      </c>
      <c r="M150" s="9">
        <f>(I134-H134)*4.17%</f>
        <v>41700</v>
      </c>
      <c r="N150" s="9">
        <f>(I134+D150+E150+F150+G150+H150+I150+J150+K150+L150+M150)</f>
        <v>1656386.9283999999</v>
      </c>
      <c r="O150" s="9">
        <f t="shared" ref="O150:O151" si="82">N150/30</f>
        <v>55212.897613333327</v>
      </c>
      <c r="P150" s="9">
        <f t="shared" ref="P150:P151" si="83">O150/8</f>
        <v>6901.6122016666659</v>
      </c>
      <c r="Q150" s="1025">
        <f t="shared" ref="Q150:Q151" si="84">+P150/60</f>
        <v>115.02687002777776</v>
      </c>
      <c r="R150" s="1035">
        <f t="shared" ref="R150:R151" si="85">+Q150/60</f>
        <v>1.9171145004629626</v>
      </c>
    </row>
    <row r="151" spans="1:29" x14ac:dyDescent="0.25">
      <c r="A151" s="1030">
        <v>3</v>
      </c>
      <c r="B151" s="144" t="s">
        <v>47</v>
      </c>
      <c r="C151" s="144" t="s">
        <v>48</v>
      </c>
      <c r="D151" s="1024">
        <f t="shared" si="77"/>
        <v>85000</v>
      </c>
      <c r="E151" s="9">
        <f t="shared" si="78"/>
        <v>120000</v>
      </c>
      <c r="F151" s="9">
        <f>(I135-H135)*0.522%</f>
        <v>5220</v>
      </c>
      <c r="G151" s="9">
        <f t="shared" si="79"/>
        <v>30000</v>
      </c>
      <c r="H151" s="9">
        <f t="shared" si="80"/>
        <v>20000</v>
      </c>
      <c r="I151" s="9">
        <f t="shared" si="81"/>
        <v>40000</v>
      </c>
      <c r="J151" s="10">
        <f>I135*8.33%</f>
        <v>93060.594199999992</v>
      </c>
      <c r="K151" s="1022">
        <f>I135*1%</f>
        <v>11171.74</v>
      </c>
      <c r="L151" s="9">
        <f>I135*8.33%</f>
        <v>93060.594199999992</v>
      </c>
      <c r="M151" s="9">
        <f>(I135-H135)*4.17%</f>
        <v>41700</v>
      </c>
      <c r="N151" s="9">
        <f>(I135+D151+E151+F151+G151+H151+I151+J151+K151+L151+M151)</f>
        <v>1656386.9283999999</v>
      </c>
      <c r="O151" s="9">
        <f t="shared" si="82"/>
        <v>55212.897613333327</v>
      </c>
      <c r="P151" s="9">
        <f t="shared" si="83"/>
        <v>6901.6122016666659</v>
      </c>
      <c r="Q151" s="1025">
        <f t="shared" si="84"/>
        <v>115.02687002777776</v>
      </c>
      <c r="R151" s="1035">
        <f t="shared" si="85"/>
        <v>1.9171145004629626</v>
      </c>
    </row>
    <row r="152" spans="1:29" ht="15.75" thickBot="1" x14ac:dyDescent="0.3">
      <c r="A152" s="1036"/>
      <c r="B152" s="1037"/>
      <c r="C152" s="614" t="s">
        <v>49</v>
      </c>
      <c r="D152" s="991">
        <f t="shared" ref="D152:M152" si="86">SUM(D149:D151)</f>
        <v>340000</v>
      </c>
      <c r="E152" s="991">
        <f t="shared" si="86"/>
        <v>480000</v>
      </c>
      <c r="F152" s="991">
        <f t="shared" si="86"/>
        <v>20880</v>
      </c>
      <c r="G152" s="991">
        <f t="shared" si="86"/>
        <v>120000</v>
      </c>
      <c r="H152" s="991">
        <f t="shared" si="86"/>
        <v>80000</v>
      </c>
      <c r="I152" s="991">
        <f t="shared" si="86"/>
        <v>160000</v>
      </c>
      <c r="J152" s="991">
        <f t="shared" si="86"/>
        <v>352721.18839999998</v>
      </c>
      <c r="K152" s="991">
        <f t="shared" si="86"/>
        <v>42343.48</v>
      </c>
      <c r="L152" s="992">
        <f t="shared" si="86"/>
        <v>352721.18839999998</v>
      </c>
      <c r="M152" s="992">
        <f t="shared" si="86"/>
        <v>166800</v>
      </c>
      <c r="N152" s="992">
        <f>SUM(N149:N151)</f>
        <v>6349813.8568000002</v>
      </c>
      <c r="O152" s="992">
        <f t="shared" ref="O152:R152" si="87">SUM(O149:O151)</f>
        <v>211660.46189333335</v>
      </c>
      <c r="P152" s="992">
        <f t="shared" si="87"/>
        <v>26457.557736666669</v>
      </c>
      <c r="Q152" s="1038">
        <f t="shared" si="87"/>
        <v>440.95929561111114</v>
      </c>
      <c r="R152" s="1039">
        <f t="shared" si="87"/>
        <v>7.3493215935185185</v>
      </c>
    </row>
    <row r="153" spans="1:29" ht="15.75" thickBot="1" x14ac:dyDescent="0.3"/>
    <row r="154" spans="1:29" s="956" customFormat="1" ht="23.25" x14ac:dyDescent="0.35">
      <c r="A154" s="1715" t="s">
        <v>304</v>
      </c>
      <c r="B154" s="1716"/>
      <c r="C154" s="1716"/>
      <c r="D154" s="1716"/>
      <c r="E154" s="1716"/>
      <c r="F154" s="1716"/>
      <c r="G154" s="1716"/>
      <c r="H154" s="1716"/>
      <c r="I154" s="1716"/>
      <c r="J154" s="1716"/>
      <c r="K154" s="1716"/>
      <c r="L154" s="1716"/>
      <c r="M154" s="1716"/>
      <c r="N154" s="1716"/>
      <c r="O154" s="1716"/>
      <c r="P154" s="1716"/>
      <c r="Q154" s="1716"/>
      <c r="R154" s="1717"/>
      <c r="S154" s="953"/>
      <c r="T154" s="953"/>
      <c r="U154" s="953"/>
      <c r="V154" s="953"/>
      <c r="W154" s="953"/>
      <c r="X154" s="953"/>
      <c r="Y154" s="953"/>
      <c r="Z154" s="953"/>
      <c r="AA154" s="953"/>
      <c r="AB154" s="953"/>
      <c r="AC154" s="953"/>
    </row>
    <row r="155" spans="1:29" ht="18.75" x14ac:dyDescent="0.25">
      <c r="A155" s="1707" t="s">
        <v>34</v>
      </c>
      <c r="B155" s="1708"/>
      <c r="C155" s="1708"/>
      <c r="D155" s="1708"/>
      <c r="E155" s="1708"/>
      <c r="F155" s="1708"/>
      <c r="G155" s="1708"/>
      <c r="H155" s="1708"/>
      <c r="I155" s="1708"/>
      <c r="J155" s="708"/>
      <c r="K155" s="708"/>
      <c r="L155" s="708"/>
      <c r="M155" s="708"/>
      <c r="N155" s="708"/>
      <c r="O155" s="708"/>
      <c r="P155" s="708"/>
      <c r="Q155" s="708"/>
      <c r="R155" s="709"/>
    </row>
    <row r="156" spans="1:29" ht="30" x14ac:dyDescent="0.25">
      <c r="A156" s="885" t="s">
        <v>35</v>
      </c>
      <c r="B156" s="416" t="s">
        <v>36</v>
      </c>
      <c r="C156" s="416" t="s">
        <v>37</v>
      </c>
      <c r="D156" s="968" t="s">
        <v>38</v>
      </c>
      <c r="E156" s="969" t="s">
        <v>39</v>
      </c>
      <c r="F156" s="969" t="s">
        <v>40</v>
      </c>
      <c r="G156" s="421" t="s">
        <v>41</v>
      </c>
      <c r="H156" s="969" t="s">
        <v>42</v>
      </c>
      <c r="I156" s="969" t="s">
        <v>43</v>
      </c>
      <c r="J156" s="708"/>
      <c r="K156" s="708"/>
      <c r="L156" s="708"/>
      <c r="M156" s="708"/>
      <c r="N156" s="708"/>
      <c r="O156" s="708"/>
      <c r="P156" s="708"/>
      <c r="Q156" s="708"/>
      <c r="R156" s="709"/>
    </row>
    <row r="157" spans="1:29" x14ac:dyDescent="0.25">
      <c r="A157" s="970">
        <v>1</v>
      </c>
      <c r="B157" s="971" t="s">
        <v>44</v>
      </c>
      <c r="C157" s="971" t="s">
        <v>72</v>
      </c>
      <c r="D157" s="972">
        <v>4897654123</v>
      </c>
      <c r="E157" s="973">
        <v>2000000</v>
      </c>
      <c r="F157" s="971">
        <v>30</v>
      </c>
      <c r="G157" s="972">
        <f>(E157/30)*F157</f>
        <v>2000000.0000000002</v>
      </c>
      <c r="H157" s="972"/>
      <c r="I157" s="974">
        <f>SUM(G157:H157)</f>
        <v>2000000.0000000002</v>
      </c>
      <c r="J157" s="708"/>
      <c r="K157" s="708"/>
      <c r="L157" s="708"/>
      <c r="M157" s="708"/>
      <c r="N157" s="708"/>
      <c r="O157" s="708"/>
      <c r="P157" s="708"/>
      <c r="Q157" s="708"/>
      <c r="R157" s="709"/>
    </row>
    <row r="158" spans="1:29" x14ac:dyDescent="0.25">
      <c r="A158" s="970">
        <v>2</v>
      </c>
      <c r="B158" s="971" t="s">
        <v>45</v>
      </c>
      <c r="C158" s="971" t="s">
        <v>46</v>
      </c>
      <c r="D158" s="972">
        <v>10258964</v>
      </c>
      <c r="E158" s="973">
        <v>1000000</v>
      </c>
      <c r="F158" s="971">
        <v>30</v>
      </c>
      <c r="G158" s="972">
        <f t="shared" ref="G158:G159" si="88">(E158/30)*F158</f>
        <v>1000000.0000000001</v>
      </c>
      <c r="H158" s="972">
        <v>117174</v>
      </c>
      <c r="I158" s="974">
        <f>SUM(G158:H158)</f>
        <v>1117174</v>
      </c>
      <c r="J158" s="708"/>
      <c r="K158" s="708"/>
      <c r="L158" s="708"/>
      <c r="M158" s="708"/>
      <c r="N158" s="708"/>
      <c r="O158" s="708"/>
      <c r="P158" s="708"/>
      <c r="Q158" s="708"/>
      <c r="R158" s="709"/>
    </row>
    <row r="159" spans="1:29" x14ac:dyDescent="0.25">
      <c r="A159" s="970">
        <v>3</v>
      </c>
      <c r="B159" s="971" t="s">
        <v>47</v>
      </c>
      <c r="C159" s="971" t="s">
        <v>48</v>
      </c>
      <c r="D159" s="972">
        <v>4569852</v>
      </c>
      <c r="E159" s="973">
        <v>1000000</v>
      </c>
      <c r="F159" s="971">
        <v>30</v>
      </c>
      <c r="G159" s="972">
        <f t="shared" si="88"/>
        <v>1000000.0000000001</v>
      </c>
      <c r="H159" s="972">
        <v>117174</v>
      </c>
      <c r="I159" s="974">
        <f>SUM(G159:H159)</f>
        <v>1117174</v>
      </c>
      <c r="J159" s="708"/>
      <c r="K159" s="708"/>
      <c r="L159" s="708"/>
      <c r="M159" s="708"/>
      <c r="N159" s="708"/>
      <c r="O159" s="708"/>
      <c r="P159" s="708"/>
      <c r="Q159" s="708"/>
      <c r="R159" s="709"/>
    </row>
    <row r="160" spans="1:29" x14ac:dyDescent="0.25">
      <c r="A160" s="728"/>
      <c r="B160" s="971"/>
      <c r="C160" s="734" t="s">
        <v>49</v>
      </c>
      <c r="D160" s="971"/>
      <c r="E160" s="975">
        <f>SUM(E157:E159)</f>
        <v>4000000</v>
      </c>
      <c r="F160" s="971"/>
      <c r="G160" s="976">
        <f>SUM(G157:G159)</f>
        <v>4000000.0000000005</v>
      </c>
      <c r="H160" s="977">
        <f>SUM(H159:H159)</f>
        <v>117174</v>
      </c>
      <c r="I160" s="977">
        <f t="shared" ref="I160" si="89">SUM(I157:I159)</f>
        <v>4234348</v>
      </c>
      <c r="J160" s="708"/>
      <c r="K160" s="708"/>
      <c r="L160" s="708"/>
      <c r="M160" s="708"/>
      <c r="N160" s="708"/>
      <c r="O160" s="708"/>
      <c r="P160" s="708"/>
      <c r="Q160" s="708"/>
      <c r="R160" s="709"/>
    </row>
    <row r="161" spans="1:18" x14ac:dyDescent="0.25">
      <c r="A161" s="722"/>
      <c r="B161" s="708"/>
      <c r="C161" s="708"/>
      <c r="D161" s="708"/>
      <c r="E161" s="708"/>
      <c r="F161" s="708"/>
      <c r="G161" s="708"/>
      <c r="H161" s="978"/>
      <c r="I161" s="978"/>
      <c r="J161" s="978"/>
      <c r="K161" s="978"/>
      <c r="L161" s="978"/>
      <c r="M161" s="708"/>
      <c r="N161" s="708"/>
      <c r="O161" s="708"/>
      <c r="P161" s="708"/>
      <c r="Q161" s="708"/>
      <c r="R161" s="709"/>
    </row>
    <row r="162" spans="1:18" x14ac:dyDescent="0.25">
      <c r="A162" s="722"/>
      <c r="B162" s="708"/>
      <c r="C162" s="708"/>
      <c r="D162" s="708"/>
      <c r="E162" s="708"/>
      <c r="F162" s="708"/>
      <c r="G162" s="708"/>
      <c r="H162" s="708"/>
      <c r="I162" s="708"/>
      <c r="J162" s="708"/>
      <c r="K162" s="708"/>
      <c r="L162" s="708"/>
      <c r="M162" s="708"/>
      <c r="N162" s="708"/>
      <c r="O162" s="708"/>
      <c r="P162" s="708"/>
      <c r="Q162" s="708"/>
      <c r="R162" s="709"/>
    </row>
    <row r="163" spans="1:18" ht="18.75" x14ac:dyDescent="0.25">
      <c r="A163" s="1707" t="s">
        <v>50</v>
      </c>
      <c r="B163" s="1708"/>
      <c r="C163" s="1708"/>
      <c r="D163" s="1708"/>
      <c r="E163" s="1708"/>
      <c r="F163" s="1708"/>
      <c r="G163" s="1708"/>
      <c r="H163" s="1708"/>
      <c r="I163" s="708"/>
      <c r="J163" s="708"/>
      <c r="K163" s="708"/>
      <c r="L163" s="708"/>
      <c r="M163" s="708"/>
      <c r="N163" s="708"/>
      <c r="O163" s="708"/>
      <c r="P163" s="708"/>
      <c r="Q163" s="708"/>
      <c r="R163" s="709"/>
    </row>
    <row r="164" spans="1:18" ht="30" x14ac:dyDescent="0.25">
      <c r="A164" s="885" t="s">
        <v>35</v>
      </c>
      <c r="B164" s="416" t="s">
        <v>36</v>
      </c>
      <c r="C164" s="416" t="s">
        <v>37</v>
      </c>
      <c r="D164" s="416" t="s">
        <v>38</v>
      </c>
      <c r="E164" s="421" t="s">
        <v>51</v>
      </c>
      <c r="F164" s="421" t="s">
        <v>52</v>
      </c>
      <c r="G164" s="421" t="s">
        <v>53</v>
      </c>
      <c r="H164" s="421" t="s">
        <v>54</v>
      </c>
      <c r="I164" s="708"/>
      <c r="J164" s="708"/>
      <c r="K164" s="708"/>
      <c r="L164" s="708"/>
      <c r="M164" s="708"/>
      <c r="N164" s="708"/>
      <c r="O164" s="708"/>
      <c r="P164" s="708"/>
      <c r="Q164" s="708"/>
      <c r="R164" s="709"/>
    </row>
    <row r="165" spans="1:18" x14ac:dyDescent="0.25">
      <c r="A165" s="970">
        <v>1</v>
      </c>
      <c r="B165" s="971" t="s">
        <v>44</v>
      </c>
      <c r="C165" s="971" t="s">
        <v>72</v>
      </c>
      <c r="D165" s="972">
        <v>4897654123</v>
      </c>
      <c r="E165" s="973">
        <f>+(I157-H157)*4%</f>
        <v>80000.000000000015</v>
      </c>
      <c r="F165" s="972">
        <f>+(I157-H157)*4%</f>
        <v>80000.000000000015</v>
      </c>
      <c r="G165" s="979">
        <f>SUM(E165:F165)</f>
        <v>160000.00000000003</v>
      </c>
      <c r="H165" s="974">
        <f>I157-G165</f>
        <v>1840000.0000000002</v>
      </c>
      <c r="I165" s="708"/>
      <c r="J165" s="708"/>
      <c r="K165" s="708"/>
      <c r="L165" s="708"/>
      <c r="M165" s="708"/>
      <c r="N165" s="708"/>
      <c r="O165" s="708"/>
      <c r="P165" s="708"/>
      <c r="Q165" s="708"/>
      <c r="R165" s="709"/>
    </row>
    <row r="166" spans="1:18" x14ac:dyDescent="0.25">
      <c r="A166" s="970">
        <v>2</v>
      </c>
      <c r="B166" s="971" t="s">
        <v>45</v>
      </c>
      <c r="C166" s="971" t="s">
        <v>46</v>
      </c>
      <c r="D166" s="972">
        <v>10258964</v>
      </c>
      <c r="E166" s="973">
        <f t="shared" ref="E166:E167" si="90">+(I158-H158)*4%</f>
        <v>40000</v>
      </c>
      <c r="F166" s="972">
        <f t="shared" ref="F166:F167" si="91">+(I158-H158)*4%</f>
        <v>40000</v>
      </c>
      <c r="G166" s="979">
        <f>SUM(E166:F166)</f>
        <v>80000</v>
      </c>
      <c r="H166" s="974">
        <f>I158-G166</f>
        <v>1037174</v>
      </c>
      <c r="I166" s="708"/>
      <c r="J166" s="708"/>
      <c r="K166" s="708"/>
      <c r="L166" s="708"/>
      <c r="M166" s="708"/>
      <c r="N166" s="708"/>
      <c r="O166" s="708"/>
      <c r="P166" s="708"/>
      <c r="Q166" s="708"/>
      <c r="R166" s="709"/>
    </row>
    <row r="167" spans="1:18" x14ac:dyDescent="0.25">
      <c r="A167" s="970">
        <v>3</v>
      </c>
      <c r="B167" s="971" t="s">
        <v>47</v>
      </c>
      <c r="C167" s="971" t="s">
        <v>48</v>
      </c>
      <c r="D167" s="972">
        <v>4569852</v>
      </c>
      <c r="E167" s="973">
        <f t="shared" si="90"/>
        <v>40000</v>
      </c>
      <c r="F167" s="972">
        <f t="shared" si="91"/>
        <v>40000</v>
      </c>
      <c r="G167" s="979">
        <f>SUM(E167:F167)</f>
        <v>80000</v>
      </c>
      <c r="H167" s="974">
        <f>I159-G167</f>
        <v>1037174</v>
      </c>
      <c r="I167" s="708"/>
      <c r="J167" s="708"/>
      <c r="K167" s="708"/>
      <c r="L167" s="708"/>
      <c r="M167" s="708"/>
      <c r="N167" s="708"/>
      <c r="O167" s="708"/>
      <c r="P167" s="708"/>
      <c r="Q167" s="708"/>
      <c r="R167" s="709"/>
    </row>
    <row r="168" spans="1:18" x14ac:dyDescent="0.25">
      <c r="A168" s="728"/>
      <c r="B168" s="971"/>
      <c r="C168" s="734" t="s">
        <v>49</v>
      </c>
      <c r="D168" s="971"/>
      <c r="E168" s="980">
        <f>SUM(E165:E167)</f>
        <v>160000</v>
      </c>
      <c r="F168" s="980">
        <f>SUM(F165:F167)</f>
        <v>160000</v>
      </c>
      <c r="G168" s="975">
        <f>SUM(E168:F168)</f>
        <v>320000</v>
      </c>
      <c r="H168" s="976">
        <f>I160-G168</f>
        <v>3914348</v>
      </c>
      <c r="I168" s="708"/>
      <c r="J168" s="708"/>
      <c r="K168" s="708"/>
      <c r="L168" s="708"/>
      <c r="M168" s="708"/>
      <c r="N168" s="708"/>
      <c r="O168" s="708"/>
      <c r="P168" s="708"/>
      <c r="Q168" s="708"/>
      <c r="R168" s="709"/>
    </row>
    <row r="169" spans="1:18" x14ac:dyDescent="0.25">
      <c r="A169" s="722"/>
      <c r="B169" s="708"/>
      <c r="C169" s="708"/>
      <c r="D169" s="708"/>
      <c r="E169" s="708"/>
      <c r="F169" s="708"/>
      <c r="G169" s="708"/>
      <c r="H169" s="708"/>
      <c r="I169" s="708"/>
      <c r="J169" s="708"/>
      <c r="K169" s="708"/>
      <c r="L169" s="708"/>
      <c r="M169" s="708"/>
      <c r="N169" s="708"/>
      <c r="O169" s="708"/>
      <c r="P169" s="708"/>
      <c r="Q169" s="708"/>
      <c r="R169" s="709"/>
    </row>
    <row r="170" spans="1:18" x14ac:dyDescent="0.25">
      <c r="A170" s="722"/>
      <c r="B170" s="708"/>
      <c r="C170" s="708"/>
      <c r="D170" s="708"/>
      <c r="E170" s="708"/>
      <c r="F170" s="708"/>
      <c r="G170" s="708"/>
      <c r="H170" s="708"/>
      <c r="I170" s="708"/>
      <c r="J170" s="708"/>
      <c r="K170" s="708"/>
      <c r="L170" s="708"/>
      <c r="M170" s="708"/>
      <c r="N170" s="708"/>
      <c r="O170" s="708"/>
      <c r="P170" s="708"/>
      <c r="Q170" s="708"/>
      <c r="R170" s="709"/>
    </row>
    <row r="171" spans="1:18" ht="18.75" x14ac:dyDescent="0.25">
      <c r="A171" s="1701" t="s">
        <v>55</v>
      </c>
      <c r="B171" s="1702"/>
      <c r="C171" s="1702"/>
      <c r="D171" s="1702"/>
      <c r="E171" s="1702"/>
      <c r="F171" s="1702"/>
      <c r="G171" s="1702"/>
      <c r="H171" s="1702"/>
      <c r="I171" s="1702"/>
      <c r="J171" s="1702"/>
      <c r="K171" s="1702"/>
      <c r="L171" s="1702"/>
      <c r="M171" s="1702"/>
      <c r="N171" s="1702"/>
      <c r="O171" s="1702"/>
      <c r="P171" s="1702"/>
      <c r="Q171" s="1702"/>
      <c r="R171" s="1703"/>
    </row>
    <row r="172" spans="1:18" ht="60" x14ac:dyDescent="0.25">
      <c r="A172" s="885" t="s">
        <v>35</v>
      </c>
      <c r="B172" s="416" t="s">
        <v>36</v>
      </c>
      <c r="C172" s="416" t="s">
        <v>37</v>
      </c>
      <c r="D172" s="421" t="s">
        <v>56</v>
      </c>
      <c r="E172" s="421" t="s">
        <v>57</v>
      </c>
      <c r="F172" s="421" t="s">
        <v>58</v>
      </c>
      <c r="G172" s="421" t="s">
        <v>59</v>
      </c>
      <c r="H172" s="421" t="s">
        <v>60</v>
      </c>
      <c r="I172" s="421" t="s">
        <v>61</v>
      </c>
      <c r="J172" s="421" t="s">
        <v>62</v>
      </c>
      <c r="K172" s="421" t="s">
        <v>63</v>
      </c>
      <c r="L172" s="421" t="s">
        <v>64</v>
      </c>
      <c r="M172" s="421" t="s">
        <v>65</v>
      </c>
      <c r="N172" s="421" t="s">
        <v>66</v>
      </c>
      <c r="O172" s="421" t="s">
        <v>67</v>
      </c>
      <c r="P172" s="421" t="s">
        <v>68</v>
      </c>
      <c r="Q172" s="421" t="s">
        <v>69</v>
      </c>
      <c r="R172" s="724" t="s">
        <v>70</v>
      </c>
    </row>
    <row r="173" spans="1:18" x14ac:dyDescent="0.25">
      <c r="A173" s="970">
        <v>1</v>
      </c>
      <c r="B173" s="971" t="s">
        <v>44</v>
      </c>
      <c r="C173" s="971" t="s">
        <v>72</v>
      </c>
      <c r="D173" s="981">
        <f>(I157-H157)*8.5%</f>
        <v>170000.00000000003</v>
      </c>
      <c r="E173" s="972">
        <f>(I157-H157)*12%</f>
        <v>240000.00000000003</v>
      </c>
      <c r="F173" s="972">
        <f>(I157-H157)*0.522%</f>
        <v>10440</v>
      </c>
      <c r="G173" s="972">
        <f>(I157-H157)*3%</f>
        <v>60000.000000000007</v>
      </c>
      <c r="H173" s="972">
        <f>(I157-H157)*2%</f>
        <v>40000.000000000007</v>
      </c>
      <c r="I173" s="972">
        <f>(I157-H157)*4%</f>
        <v>80000.000000000015</v>
      </c>
      <c r="J173" s="974">
        <f>I157*8.33%</f>
        <v>166600.00000000003</v>
      </c>
      <c r="K173" s="979">
        <f>I157*1%</f>
        <v>20000.000000000004</v>
      </c>
      <c r="L173" s="972">
        <f>I157*8.33%</f>
        <v>166600.00000000003</v>
      </c>
      <c r="M173" s="972">
        <f>(I157-H157)*4.17%</f>
        <v>83400.000000000015</v>
      </c>
      <c r="N173" s="972">
        <f>(I157+D173+E173+F173+G173+H173+I173+J173+K173+L173+M173)</f>
        <v>3037040.0000000005</v>
      </c>
      <c r="O173" s="972">
        <f>N173/30</f>
        <v>101234.66666666669</v>
      </c>
      <c r="P173" s="972">
        <f>O173/8</f>
        <v>12654.333333333336</v>
      </c>
      <c r="Q173" s="982">
        <f>+P173/60</f>
        <v>210.90555555555559</v>
      </c>
      <c r="R173" s="983">
        <f>+Q173/60</f>
        <v>3.5150925925925933</v>
      </c>
    </row>
    <row r="174" spans="1:18" x14ac:dyDescent="0.25">
      <c r="A174" s="970">
        <v>2</v>
      </c>
      <c r="B174" s="971" t="s">
        <v>45</v>
      </c>
      <c r="C174" s="971" t="s">
        <v>46</v>
      </c>
      <c r="D174" s="981">
        <f t="shared" ref="D174:D175" si="92">(I158-H158)*8.5%</f>
        <v>85000</v>
      </c>
      <c r="E174" s="972">
        <f t="shared" ref="E174:E175" si="93">(I158-H158)*12%</f>
        <v>120000</v>
      </c>
      <c r="F174" s="972">
        <f>(I158-H158)*0.522%</f>
        <v>5220</v>
      </c>
      <c r="G174" s="972">
        <f t="shared" ref="G174:G175" si="94">(I158-H158)*3%</f>
        <v>30000</v>
      </c>
      <c r="H174" s="972">
        <f t="shared" ref="H174:H175" si="95">(I158-H158)*2%</f>
        <v>20000</v>
      </c>
      <c r="I174" s="972">
        <f t="shared" ref="I174:I175" si="96">(I158-H158)*4%</f>
        <v>40000</v>
      </c>
      <c r="J174" s="974">
        <f>I158*8.33%</f>
        <v>93060.594199999992</v>
      </c>
      <c r="K174" s="979">
        <f>I158*1%</f>
        <v>11171.74</v>
      </c>
      <c r="L174" s="972">
        <f>I158*8.33%</f>
        <v>93060.594199999992</v>
      </c>
      <c r="M174" s="972">
        <f>(I158-H158)*4.17%</f>
        <v>41700</v>
      </c>
      <c r="N174" s="972">
        <f>(I158+D174+E174+F174+G174+H174+I174+J174+K174+L174+M174)</f>
        <v>1656386.9283999999</v>
      </c>
      <c r="O174" s="972">
        <f t="shared" ref="O174:O175" si="97">N174/30</f>
        <v>55212.897613333327</v>
      </c>
      <c r="P174" s="972">
        <f t="shared" ref="P174:P175" si="98">O174/8</f>
        <v>6901.6122016666659</v>
      </c>
      <c r="Q174" s="982">
        <f t="shared" ref="Q174:Q175" si="99">+P174/60</f>
        <v>115.02687002777776</v>
      </c>
      <c r="R174" s="983">
        <f t="shared" ref="R174:R175" si="100">+Q174/60</f>
        <v>1.9171145004629626</v>
      </c>
    </row>
    <row r="175" spans="1:18" x14ac:dyDescent="0.25">
      <c r="A175" s="970">
        <v>3</v>
      </c>
      <c r="B175" s="971" t="s">
        <v>47</v>
      </c>
      <c r="C175" s="971" t="s">
        <v>48</v>
      </c>
      <c r="D175" s="981">
        <f t="shared" si="92"/>
        <v>85000</v>
      </c>
      <c r="E175" s="972">
        <f t="shared" si="93"/>
        <v>120000</v>
      </c>
      <c r="F175" s="972">
        <f>(I159-H159)*0.522%</f>
        <v>5220</v>
      </c>
      <c r="G175" s="972">
        <f t="shared" si="94"/>
        <v>30000</v>
      </c>
      <c r="H175" s="972">
        <f t="shared" si="95"/>
        <v>20000</v>
      </c>
      <c r="I175" s="972">
        <f t="shared" si="96"/>
        <v>40000</v>
      </c>
      <c r="J175" s="974">
        <f>I159*8.33%</f>
        <v>93060.594199999992</v>
      </c>
      <c r="K175" s="979">
        <f>I159*1%</f>
        <v>11171.74</v>
      </c>
      <c r="L175" s="972">
        <f>I159*8.33%</f>
        <v>93060.594199999992</v>
      </c>
      <c r="M175" s="972">
        <f>(I159-H159)*4.17%</f>
        <v>41700</v>
      </c>
      <c r="N175" s="972">
        <f>(I159+D175+E175+F175+G175+H175+I175+J175+K175+L175+M175)</f>
        <v>1656386.9283999999</v>
      </c>
      <c r="O175" s="972">
        <f t="shared" si="97"/>
        <v>55212.897613333327</v>
      </c>
      <c r="P175" s="972">
        <f t="shared" si="98"/>
        <v>6901.6122016666659</v>
      </c>
      <c r="Q175" s="982">
        <f t="shared" si="99"/>
        <v>115.02687002777776</v>
      </c>
      <c r="R175" s="983">
        <f t="shared" si="100"/>
        <v>1.9171145004629626</v>
      </c>
    </row>
    <row r="176" spans="1:18" ht="15.75" thickBot="1" x14ac:dyDescent="0.3">
      <c r="A176" s="984"/>
      <c r="B176" s="985"/>
      <c r="C176" s="986" t="s">
        <v>49</v>
      </c>
      <c r="D176" s="987">
        <f t="shared" ref="D176:M176" si="101">SUM(D173:D175)</f>
        <v>340000</v>
      </c>
      <c r="E176" s="987">
        <f t="shared" si="101"/>
        <v>480000</v>
      </c>
      <c r="F176" s="987">
        <f t="shared" si="101"/>
        <v>20880</v>
      </c>
      <c r="G176" s="987">
        <f t="shared" si="101"/>
        <v>120000</v>
      </c>
      <c r="H176" s="987">
        <f t="shared" si="101"/>
        <v>80000</v>
      </c>
      <c r="I176" s="987">
        <f t="shared" si="101"/>
        <v>160000</v>
      </c>
      <c r="J176" s="987">
        <f t="shared" si="101"/>
        <v>352721.18839999998</v>
      </c>
      <c r="K176" s="987">
        <f t="shared" si="101"/>
        <v>42343.48</v>
      </c>
      <c r="L176" s="988">
        <f t="shared" si="101"/>
        <v>352721.18839999998</v>
      </c>
      <c r="M176" s="988">
        <f t="shared" si="101"/>
        <v>166800</v>
      </c>
      <c r="N176" s="988">
        <f>SUM(N173:N175)</f>
        <v>6349813.8568000002</v>
      </c>
      <c r="O176" s="988">
        <f t="shared" ref="O176:R176" si="102">SUM(O173:O175)</f>
        <v>211660.46189333335</v>
      </c>
      <c r="P176" s="988">
        <f t="shared" si="102"/>
        <v>26457.557736666669</v>
      </c>
      <c r="Q176" s="989">
        <f t="shared" si="102"/>
        <v>440.95929561111114</v>
      </c>
      <c r="R176" s="990">
        <f t="shared" si="102"/>
        <v>7.3493215935185185</v>
      </c>
    </row>
    <row r="177" spans="1:29" ht="15.75" thickBot="1" x14ac:dyDescent="0.3"/>
    <row r="178" spans="1:29" s="956" customFormat="1" ht="23.25" x14ac:dyDescent="0.35">
      <c r="A178" s="1704" t="s">
        <v>305</v>
      </c>
      <c r="B178" s="1705"/>
      <c r="C178" s="1705"/>
      <c r="D178" s="1705"/>
      <c r="E178" s="1705"/>
      <c r="F178" s="1705"/>
      <c r="G178" s="1705"/>
      <c r="H178" s="1705"/>
      <c r="I178" s="1705"/>
      <c r="J178" s="1705"/>
      <c r="K178" s="1705"/>
      <c r="L178" s="1705"/>
      <c r="M178" s="1705"/>
      <c r="N178" s="1705"/>
      <c r="O178" s="1705"/>
      <c r="P178" s="1705"/>
      <c r="Q178" s="1705"/>
      <c r="R178" s="1706"/>
      <c r="S178" s="953"/>
      <c r="T178" s="953"/>
      <c r="U178" s="953"/>
      <c r="V178" s="953"/>
      <c r="W178" s="953"/>
      <c r="X178" s="953"/>
      <c r="Y178" s="953"/>
      <c r="Z178" s="953"/>
      <c r="AA178" s="953"/>
      <c r="AB178" s="953"/>
      <c r="AC178" s="953"/>
    </row>
    <row r="179" spans="1:29" ht="18.75" x14ac:dyDescent="0.25">
      <c r="A179" s="1676" t="s">
        <v>34</v>
      </c>
      <c r="B179" s="1676"/>
      <c r="C179" s="1676"/>
      <c r="D179" s="1676"/>
      <c r="E179" s="1676"/>
      <c r="F179" s="1676"/>
      <c r="G179" s="1676"/>
      <c r="H179" s="1676"/>
      <c r="I179" s="1676"/>
      <c r="J179" s="745"/>
      <c r="K179" s="745"/>
      <c r="L179" s="745"/>
      <c r="M179" s="745"/>
      <c r="N179" s="745"/>
      <c r="O179" s="745"/>
      <c r="P179" s="745"/>
      <c r="Q179" s="745"/>
      <c r="R179" s="746"/>
    </row>
    <row r="180" spans="1:29" ht="30" x14ac:dyDescent="0.25">
      <c r="A180" s="993" t="s">
        <v>35</v>
      </c>
      <c r="B180" s="221" t="s">
        <v>36</v>
      </c>
      <c r="C180" s="221" t="s">
        <v>37</v>
      </c>
      <c r="D180" s="994" t="s">
        <v>38</v>
      </c>
      <c r="E180" s="837" t="s">
        <v>39</v>
      </c>
      <c r="F180" s="837" t="s">
        <v>40</v>
      </c>
      <c r="G180" s="25" t="s">
        <v>41</v>
      </c>
      <c r="H180" s="837" t="s">
        <v>42</v>
      </c>
      <c r="I180" s="837" t="s">
        <v>43</v>
      </c>
      <c r="J180" s="745"/>
      <c r="K180" s="745"/>
      <c r="L180" s="745"/>
      <c r="M180" s="745"/>
      <c r="N180" s="745"/>
      <c r="O180" s="745"/>
      <c r="P180" s="745"/>
      <c r="Q180" s="745"/>
      <c r="R180" s="746"/>
    </row>
    <row r="181" spans="1:29" x14ac:dyDescent="0.25">
      <c r="A181" s="995">
        <v>1</v>
      </c>
      <c r="B181" s="996" t="s">
        <v>44</v>
      </c>
      <c r="C181" s="996" t="s">
        <v>72</v>
      </c>
      <c r="D181" s="997">
        <v>4897654123</v>
      </c>
      <c r="E181" s="998">
        <v>2000000</v>
      </c>
      <c r="F181" s="996">
        <v>30</v>
      </c>
      <c r="G181" s="997">
        <f>(E181/30)*F181</f>
        <v>2000000.0000000002</v>
      </c>
      <c r="H181" s="997"/>
      <c r="I181" s="999">
        <f>SUM(G181:H181)</f>
        <v>2000000.0000000002</v>
      </c>
      <c r="J181" s="745"/>
      <c r="K181" s="745"/>
      <c r="L181" s="745"/>
      <c r="M181" s="745"/>
      <c r="N181" s="745"/>
      <c r="O181" s="745"/>
      <c r="P181" s="745"/>
      <c r="Q181" s="745"/>
      <c r="R181" s="746"/>
    </row>
    <row r="182" spans="1:29" x14ac:dyDescent="0.25">
      <c r="A182" s="995">
        <v>2</v>
      </c>
      <c r="B182" s="996" t="s">
        <v>45</v>
      </c>
      <c r="C182" s="996" t="s">
        <v>46</v>
      </c>
      <c r="D182" s="997">
        <v>10258964</v>
      </c>
      <c r="E182" s="998">
        <v>1000000</v>
      </c>
      <c r="F182" s="996">
        <v>30</v>
      </c>
      <c r="G182" s="997">
        <f t="shared" ref="G182:G183" si="103">(E182/30)*F182</f>
        <v>1000000.0000000001</v>
      </c>
      <c r="H182" s="997">
        <v>117174</v>
      </c>
      <c r="I182" s="999">
        <f>SUM(G182:H182)</f>
        <v>1117174</v>
      </c>
      <c r="J182" s="745"/>
      <c r="K182" s="745"/>
      <c r="L182" s="745"/>
      <c r="M182" s="745"/>
      <c r="N182" s="745"/>
      <c r="O182" s="745"/>
      <c r="P182" s="745"/>
      <c r="Q182" s="745"/>
      <c r="R182" s="746"/>
    </row>
    <row r="183" spans="1:29" x14ac:dyDescent="0.25">
      <c r="A183" s="995">
        <v>3</v>
      </c>
      <c r="B183" s="996" t="s">
        <v>47</v>
      </c>
      <c r="C183" s="996" t="s">
        <v>48</v>
      </c>
      <c r="D183" s="997">
        <v>4569852</v>
      </c>
      <c r="E183" s="998">
        <v>1000000</v>
      </c>
      <c r="F183" s="996">
        <v>30</v>
      </c>
      <c r="G183" s="997">
        <f t="shared" si="103"/>
        <v>1000000.0000000001</v>
      </c>
      <c r="H183" s="997">
        <v>117174</v>
      </c>
      <c r="I183" s="999">
        <f>SUM(G183:H183)</f>
        <v>1117174</v>
      </c>
      <c r="J183" s="745"/>
      <c r="K183" s="745"/>
      <c r="L183" s="745"/>
      <c r="M183" s="745"/>
      <c r="N183" s="745"/>
      <c r="O183" s="745"/>
      <c r="P183" s="745"/>
      <c r="Q183" s="745"/>
      <c r="R183" s="746"/>
    </row>
    <row r="184" spans="1:29" x14ac:dyDescent="0.25">
      <c r="A184" s="761"/>
      <c r="B184" s="996"/>
      <c r="C184" s="426" t="s">
        <v>49</v>
      </c>
      <c r="D184" s="996"/>
      <c r="E184" s="1000">
        <f>SUM(E181:E183)</f>
        <v>4000000</v>
      </c>
      <c r="F184" s="996"/>
      <c r="G184" s="1001">
        <f>SUM(G181:G183)</f>
        <v>4000000.0000000005</v>
      </c>
      <c r="H184" s="1002">
        <f>SUM(H183:H183)</f>
        <v>117174</v>
      </c>
      <c r="I184" s="1002">
        <f t="shared" ref="I184" si="104">SUM(I181:I183)</f>
        <v>4234348</v>
      </c>
      <c r="J184" s="745"/>
      <c r="K184" s="745"/>
      <c r="L184" s="745"/>
      <c r="M184" s="745"/>
      <c r="N184" s="745"/>
      <c r="O184" s="745"/>
      <c r="P184" s="745"/>
      <c r="Q184" s="745"/>
      <c r="R184" s="746"/>
    </row>
    <row r="185" spans="1:29" x14ac:dyDescent="0.25">
      <c r="A185" s="757"/>
      <c r="B185" s="745"/>
      <c r="C185" s="745"/>
      <c r="D185" s="745"/>
      <c r="E185" s="745"/>
      <c r="F185" s="745"/>
      <c r="G185" s="745"/>
      <c r="H185" s="1003"/>
      <c r="I185" s="1003"/>
      <c r="J185" s="1003"/>
      <c r="K185" s="1003"/>
      <c r="L185" s="1003"/>
      <c r="M185" s="745"/>
      <c r="N185" s="745"/>
      <c r="O185" s="745"/>
      <c r="P185" s="745"/>
      <c r="Q185" s="745"/>
      <c r="R185" s="746"/>
    </row>
    <row r="186" spans="1:29" x14ac:dyDescent="0.25">
      <c r="A186" s="757"/>
      <c r="B186" s="745"/>
      <c r="C186" s="745"/>
      <c r="D186" s="745"/>
      <c r="E186" s="745"/>
      <c r="F186" s="745"/>
      <c r="G186" s="745"/>
      <c r="H186" s="745"/>
      <c r="I186" s="745"/>
      <c r="J186" s="745"/>
      <c r="K186" s="745"/>
      <c r="L186" s="745"/>
      <c r="M186" s="745"/>
      <c r="N186" s="745"/>
      <c r="O186" s="745"/>
      <c r="P186" s="745"/>
      <c r="Q186" s="745"/>
      <c r="R186" s="746"/>
    </row>
    <row r="187" spans="1:29" s="955" customFormat="1" ht="18.75" x14ac:dyDescent="0.3">
      <c r="A187" s="1677" t="s">
        <v>50</v>
      </c>
      <c r="B187" s="1676"/>
      <c r="C187" s="1676"/>
      <c r="D187" s="1676"/>
      <c r="E187" s="1676"/>
      <c r="F187" s="1676"/>
      <c r="G187" s="1676"/>
      <c r="H187" s="1676"/>
      <c r="I187" s="1016"/>
      <c r="J187" s="1016"/>
      <c r="K187" s="1016"/>
      <c r="L187" s="1016"/>
      <c r="M187" s="1016"/>
      <c r="N187" s="1016"/>
      <c r="O187" s="1016"/>
      <c r="P187" s="1016"/>
      <c r="Q187" s="1016"/>
      <c r="R187" s="1017"/>
      <c r="S187" s="952"/>
      <c r="T187" s="952"/>
      <c r="U187" s="952"/>
      <c r="V187" s="952"/>
      <c r="W187" s="952"/>
      <c r="X187" s="952"/>
      <c r="Y187" s="952"/>
      <c r="Z187" s="952"/>
      <c r="AA187" s="952"/>
      <c r="AB187" s="952"/>
      <c r="AC187" s="952"/>
    </row>
    <row r="188" spans="1:29" ht="30" x14ac:dyDescent="0.25">
      <c r="A188" s="993" t="s">
        <v>35</v>
      </c>
      <c r="B188" s="221" t="s">
        <v>36</v>
      </c>
      <c r="C188" s="221" t="s">
        <v>37</v>
      </c>
      <c r="D188" s="221" t="s">
        <v>38</v>
      </c>
      <c r="E188" s="25" t="s">
        <v>51</v>
      </c>
      <c r="F188" s="25" t="s">
        <v>52</v>
      </c>
      <c r="G188" s="25" t="s">
        <v>53</v>
      </c>
      <c r="H188" s="25" t="s">
        <v>54</v>
      </c>
      <c r="I188" s="745"/>
      <c r="J188" s="745"/>
      <c r="K188" s="745"/>
      <c r="L188" s="745"/>
      <c r="M188" s="745"/>
      <c r="N188" s="745"/>
      <c r="O188" s="745"/>
      <c r="P188" s="745"/>
      <c r="Q188" s="745"/>
      <c r="R188" s="746"/>
    </row>
    <row r="189" spans="1:29" x14ac:dyDescent="0.25">
      <c r="A189" s="995">
        <v>1</v>
      </c>
      <c r="B189" s="996" t="s">
        <v>44</v>
      </c>
      <c r="C189" s="996" t="s">
        <v>72</v>
      </c>
      <c r="D189" s="997">
        <v>4897654123</v>
      </c>
      <c r="E189" s="998">
        <f>+(I181-H181)*4%</f>
        <v>80000.000000000015</v>
      </c>
      <c r="F189" s="997">
        <f>+(I181-H181)*4%</f>
        <v>80000.000000000015</v>
      </c>
      <c r="G189" s="1004">
        <f>SUM(E189:F189)</f>
        <v>160000.00000000003</v>
      </c>
      <c r="H189" s="999">
        <f>I181-G189</f>
        <v>1840000.0000000002</v>
      </c>
      <c r="I189" s="745"/>
      <c r="J189" s="745"/>
      <c r="K189" s="745"/>
      <c r="L189" s="745"/>
      <c r="M189" s="745"/>
      <c r="N189" s="745"/>
      <c r="O189" s="745"/>
      <c r="P189" s="745"/>
      <c r="Q189" s="745"/>
      <c r="R189" s="746"/>
    </row>
    <row r="190" spans="1:29" x14ac:dyDescent="0.25">
      <c r="A190" s="995">
        <v>2</v>
      </c>
      <c r="B190" s="996" t="s">
        <v>45</v>
      </c>
      <c r="C190" s="996" t="s">
        <v>46</v>
      </c>
      <c r="D190" s="997">
        <v>10258964</v>
      </c>
      <c r="E190" s="998">
        <f t="shared" ref="E190:E191" si="105">+(I182-H182)*4%</f>
        <v>40000</v>
      </c>
      <c r="F190" s="997">
        <f t="shared" ref="F190:F191" si="106">+(I182-H182)*4%</f>
        <v>40000</v>
      </c>
      <c r="G190" s="1004">
        <f>SUM(E190:F190)</f>
        <v>80000</v>
      </c>
      <c r="H190" s="999">
        <f>I182-G190</f>
        <v>1037174</v>
      </c>
      <c r="I190" s="745"/>
      <c r="J190" s="745"/>
      <c r="K190" s="745"/>
      <c r="L190" s="745"/>
      <c r="M190" s="745"/>
      <c r="N190" s="745"/>
      <c r="O190" s="745"/>
      <c r="P190" s="745"/>
      <c r="Q190" s="745"/>
      <c r="R190" s="746"/>
    </row>
    <row r="191" spans="1:29" x14ac:dyDescent="0.25">
      <c r="A191" s="995">
        <v>3</v>
      </c>
      <c r="B191" s="996" t="s">
        <v>47</v>
      </c>
      <c r="C191" s="996" t="s">
        <v>48</v>
      </c>
      <c r="D191" s="997">
        <v>4569852</v>
      </c>
      <c r="E191" s="998">
        <f t="shared" si="105"/>
        <v>40000</v>
      </c>
      <c r="F191" s="997">
        <f t="shared" si="106"/>
        <v>40000</v>
      </c>
      <c r="G191" s="1004">
        <f>SUM(E191:F191)</f>
        <v>80000</v>
      </c>
      <c r="H191" s="999">
        <f>I183-G191</f>
        <v>1037174</v>
      </c>
      <c r="I191" s="745"/>
      <c r="J191" s="745"/>
      <c r="K191" s="745"/>
      <c r="L191" s="745"/>
      <c r="M191" s="745"/>
      <c r="N191" s="745"/>
      <c r="O191" s="745"/>
      <c r="P191" s="745"/>
      <c r="Q191" s="745"/>
      <c r="R191" s="746"/>
    </row>
    <row r="192" spans="1:29" x14ac:dyDescent="0.25">
      <c r="A192" s="761"/>
      <c r="B192" s="996"/>
      <c r="C192" s="426" t="s">
        <v>49</v>
      </c>
      <c r="D192" s="996"/>
      <c r="E192" s="1005">
        <f>SUM(E189:E191)</f>
        <v>160000</v>
      </c>
      <c r="F192" s="1005">
        <f>SUM(F189:F191)</f>
        <v>160000</v>
      </c>
      <c r="G192" s="1000">
        <f>SUM(E192:F192)</f>
        <v>320000</v>
      </c>
      <c r="H192" s="1001">
        <f>I184-G192</f>
        <v>3914348</v>
      </c>
      <c r="I192" s="745"/>
      <c r="J192" s="745"/>
      <c r="K192" s="745"/>
      <c r="L192" s="745"/>
      <c r="M192" s="745"/>
      <c r="N192" s="745"/>
      <c r="O192" s="745"/>
      <c r="P192" s="745"/>
      <c r="Q192" s="745"/>
      <c r="R192" s="746"/>
    </row>
    <row r="193" spans="1:29" x14ac:dyDescent="0.25">
      <c r="A193" s="757"/>
      <c r="B193" s="745"/>
      <c r="C193" s="745"/>
      <c r="D193" s="745"/>
      <c r="E193" s="745"/>
      <c r="F193" s="745"/>
      <c r="G193" s="745"/>
      <c r="H193" s="745"/>
      <c r="I193" s="745"/>
      <c r="J193" s="745"/>
      <c r="K193" s="745"/>
      <c r="L193" s="745"/>
      <c r="M193" s="745"/>
      <c r="N193" s="745"/>
      <c r="O193" s="745"/>
      <c r="P193" s="745"/>
      <c r="Q193" s="745"/>
      <c r="R193" s="746"/>
    </row>
    <row r="194" spans="1:29" x14ac:dyDescent="0.25">
      <c r="A194" s="757"/>
      <c r="B194" s="745"/>
      <c r="C194" s="745"/>
      <c r="D194" s="745"/>
      <c r="E194" s="745"/>
      <c r="F194" s="745"/>
      <c r="G194" s="745"/>
      <c r="H194" s="745"/>
      <c r="I194" s="745"/>
      <c r="J194" s="745"/>
      <c r="K194" s="745"/>
      <c r="L194" s="745"/>
      <c r="M194" s="745"/>
      <c r="N194" s="745"/>
      <c r="O194" s="745"/>
      <c r="P194" s="745"/>
      <c r="Q194" s="745"/>
      <c r="R194" s="746"/>
    </row>
    <row r="195" spans="1:29" ht="18.75" x14ac:dyDescent="0.25">
      <c r="A195" s="1693" t="s">
        <v>55</v>
      </c>
      <c r="B195" s="1685"/>
      <c r="C195" s="1685"/>
      <c r="D195" s="1685"/>
      <c r="E195" s="1685"/>
      <c r="F195" s="1685"/>
      <c r="G195" s="1685"/>
      <c r="H195" s="1685"/>
      <c r="I195" s="1685"/>
      <c r="J195" s="1685"/>
      <c r="K195" s="1685"/>
      <c r="L195" s="1685"/>
      <c r="M195" s="1685"/>
      <c r="N195" s="1685"/>
      <c r="O195" s="1685"/>
      <c r="P195" s="1685"/>
      <c r="Q195" s="1685"/>
      <c r="R195" s="1694"/>
    </row>
    <row r="196" spans="1:29" ht="60" x14ac:dyDescent="0.25">
      <c r="A196" s="993" t="s">
        <v>35</v>
      </c>
      <c r="B196" s="221" t="s">
        <v>36</v>
      </c>
      <c r="C196" s="221" t="s">
        <v>37</v>
      </c>
      <c r="D196" s="25" t="s">
        <v>56</v>
      </c>
      <c r="E196" s="25" t="s">
        <v>57</v>
      </c>
      <c r="F196" s="25" t="s">
        <v>58</v>
      </c>
      <c r="G196" s="25" t="s">
        <v>59</v>
      </c>
      <c r="H196" s="25" t="s">
        <v>60</v>
      </c>
      <c r="I196" s="25" t="s">
        <v>61</v>
      </c>
      <c r="J196" s="25" t="s">
        <v>62</v>
      </c>
      <c r="K196" s="25" t="s">
        <v>63</v>
      </c>
      <c r="L196" s="25" t="s">
        <v>64</v>
      </c>
      <c r="M196" s="25" t="s">
        <v>65</v>
      </c>
      <c r="N196" s="25" t="s">
        <v>66</v>
      </c>
      <c r="O196" s="25" t="s">
        <v>67</v>
      </c>
      <c r="P196" s="25" t="s">
        <v>68</v>
      </c>
      <c r="Q196" s="25" t="s">
        <v>69</v>
      </c>
      <c r="R196" s="423" t="s">
        <v>70</v>
      </c>
    </row>
    <row r="197" spans="1:29" x14ac:dyDescent="0.25">
      <c r="A197" s="995">
        <v>1</v>
      </c>
      <c r="B197" s="996" t="s">
        <v>44</v>
      </c>
      <c r="C197" s="996" t="s">
        <v>72</v>
      </c>
      <c r="D197" s="1006">
        <f>(I181-H181)*8.5%</f>
        <v>170000.00000000003</v>
      </c>
      <c r="E197" s="997">
        <f>(I181-H181)*12%</f>
        <v>240000.00000000003</v>
      </c>
      <c r="F197" s="997">
        <f>(I181-H181)*0.522%</f>
        <v>10440</v>
      </c>
      <c r="G197" s="997">
        <f>(I181-H181)*3%</f>
        <v>60000.000000000007</v>
      </c>
      <c r="H197" s="997">
        <f>(I181-H181)*2%</f>
        <v>40000.000000000007</v>
      </c>
      <c r="I197" s="997">
        <f>(I181-H181)*4%</f>
        <v>80000.000000000015</v>
      </c>
      <c r="J197" s="999">
        <f>I181*8.33%</f>
        <v>166600.00000000003</v>
      </c>
      <c r="K197" s="1004">
        <f>I181*1%</f>
        <v>20000.000000000004</v>
      </c>
      <c r="L197" s="997">
        <f>I181*8.33%</f>
        <v>166600.00000000003</v>
      </c>
      <c r="M197" s="997">
        <f>(I181-H181)*4.17%</f>
        <v>83400.000000000015</v>
      </c>
      <c r="N197" s="997">
        <f>(I181+D197+E197+F197+G197+H197+I197+J197+K197+L197+M197)</f>
        <v>3037040.0000000005</v>
      </c>
      <c r="O197" s="997">
        <f>N197/30</f>
        <v>101234.66666666669</v>
      </c>
      <c r="P197" s="997">
        <f>O197/8</f>
        <v>12654.333333333336</v>
      </c>
      <c r="Q197" s="1007">
        <f>+P197/60</f>
        <v>210.90555555555559</v>
      </c>
      <c r="R197" s="1008">
        <f>+Q197/60</f>
        <v>3.5150925925925933</v>
      </c>
    </row>
    <row r="198" spans="1:29" x14ac:dyDescent="0.25">
      <c r="A198" s="995">
        <v>2</v>
      </c>
      <c r="B198" s="996" t="s">
        <v>45</v>
      </c>
      <c r="C198" s="996" t="s">
        <v>46</v>
      </c>
      <c r="D198" s="1006">
        <f t="shared" ref="D198:D199" si="107">(I182-H182)*8.5%</f>
        <v>85000</v>
      </c>
      <c r="E198" s="997">
        <f t="shared" ref="E198:E199" si="108">(I182-H182)*12%</f>
        <v>120000</v>
      </c>
      <c r="F198" s="997">
        <f>(I182-H182)*0.522%</f>
        <v>5220</v>
      </c>
      <c r="G198" s="997">
        <f t="shared" ref="G198:G199" si="109">(I182-H182)*3%</f>
        <v>30000</v>
      </c>
      <c r="H198" s="997">
        <f t="shared" ref="H198:H199" si="110">(I182-H182)*2%</f>
        <v>20000</v>
      </c>
      <c r="I198" s="997">
        <f t="shared" ref="I198:I199" si="111">(I182-H182)*4%</f>
        <v>40000</v>
      </c>
      <c r="J198" s="999">
        <f>I182*8.33%</f>
        <v>93060.594199999992</v>
      </c>
      <c r="K198" s="1004">
        <f>I182*1%</f>
        <v>11171.74</v>
      </c>
      <c r="L198" s="997">
        <f>I182*8.33%</f>
        <v>93060.594199999992</v>
      </c>
      <c r="M198" s="997">
        <f>(I182-H182)*4.17%</f>
        <v>41700</v>
      </c>
      <c r="N198" s="997">
        <f>(I182+D198+E198+F198+G198+H198+I198+J198+K198+L198+M198)</f>
        <v>1656386.9283999999</v>
      </c>
      <c r="O198" s="997">
        <f t="shared" ref="O198:O199" si="112">N198/30</f>
        <v>55212.897613333327</v>
      </c>
      <c r="P198" s="997">
        <f t="shared" ref="P198:P199" si="113">O198/8</f>
        <v>6901.6122016666659</v>
      </c>
      <c r="Q198" s="1007">
        <f t="shared" ref="Q198:Q199" si="114">+P198/60</f>
        <v>115.02687002777776</v>
      </c>
      <c r="R198" s="1008">
        <f t="shared" ref="R198:R199" si="115">+Q198/60</f>
        <v>1.9171145004629626</v>
      </c>
    </row>
    <row r="199" spans="1:29" x14ac:dyDescent="0.25">
      <c r="A199" s="995">
        <v>3</v>
      </c>
      <c r="B199" s="996" t="s">
        <v>47</v>
      </c>
      <c r="C199" s="996" t="s">
        <v>48</v>
      </c>
      <c r="D199" s="1006">
        <f t="shared" si="107"/>
        <v>85000</v>
      </c>
      <c r="E199" s="997">
        <f t="shared" si="108"/>
        <v>120000</v>
      </c>
      <c r="F199" s="997">
        <f>(I183-H183)*0.522%</f>
        <v>5220</v>
      </c>
      <c r="G199" s="997">
        <f t="shared" si="109"/>
        <v>30000</v>
      </c>
      <c r="H199" s="997">
        <f t="shared" si="110"/>
        <v>20000</v>
      </c>
      <c r="I199" s="997">
        <f t="shared" si="111"/>
        <v>40000</v>
      </c>
      <c r="J199" s="999">
        <f>I183*8.33%</f>
        <v>93060.594199999992</v>
      </c>
      <c r="K199" s="1004">
        <f>I183*1%</f>
        <v>11171.74</v>
      </c>
      <c r="L199" s="997">
        <f>I183*8.33%</f>
        <v>93060.594199999992</v>
      </c>
      <c r="M199" s="997">
        <f>(I183-H183)*4.17%</f>
        <v>41700</v>
      </c>
      <c r="N199" s="997">
        <f>(I183+D199+E199+F199+G199+H199+I199+J199+K199+L199+M199)</f>
        <v>1656386.9283999999</v>
      </c>
      <c r="O199" s="997">
        <f t="shared" si="112"/>
        <v>55212.897613333327</v>
      </c>
      <c r="P199" s="997">
        <f t="shared" si="113"/>
        <v>6901.6122016666659</v>
      </c>
      <c r="Q199" s="1007">
        <f t="shared" si="114"/>
        <v>115.02687002777776</v>
      </c>
      <c r="R199" s="1008">
        <f t="shared" si="115"/>
        <v>1.9171145004629626</v>
      </c>
    </row>
    <row r="200" spans="1:29" ht="15.75" thickBot="1" x14ac:dyDescent="0.3">
      <c r="A200" s="1009"/>
      <c r="B200" s="1010"/>
      <c r="C200" s="1011" t="s">
        <v>49</v>
      </c>
      <c r="D200" s="1012">
        <f t="shared" ref="D200:M200" si="116">SUM(D197:D199)</f>
        <v>340000</v>
      </c>
      <c r="E200" s="1012">
        <f t="shared" si="116"/>
        <v>480000</v>
      </c>
      <c r="F200" s="1012">
        <f t="shared" si="116"/>
        <v>20880</v>
      </c>
      <c r="G200" s="1012">
        <f t="shared" si="116"/>
        <v>120000</v>
      </c>
      <c r="H200" s="1012">
        <f t="shared" si="116"/>
        <v>80000</v>
      </c>
      <c r="I200" s="1012">
        <f t="shared" si="116"/>
        <v>160000</v>
      </c>
      <c r="J200" s="1012">
        <f t="shared" si="116"/>
        <v>352721.18839999998</v>
      </c>
      <c r="K200" s="1012">
        <f t="shared" si="116"/>
        <v>42343.48</v>
      </c>
      <c r="L200" s="1013">
        <f t="shared" si="116"/>
        <v>352721.18839999998</v>
      </c>
      <c r="M200" s="1013">
        <f t="shared" si="116"/>
        <v>166800</v>
      </c>
      <c r="N200" s="1013">
        <f>SUM(N197:N199)</f>
        <v>6349813.8568000002</v>
      </c>
      <c r="O200" s="1013">
        <f t="shared" ref="O200:R200" si="117">SUM(O197:O199)</f>
        <v>211660.46189333335</v>
      </c>
      <c r="P200" s="1013">
        <f t="shared" si="117"/>
        <v>26457.557736666669</v>
      </c>
      <c r="Q200" s="1014">
        <f t="shared" si="117"/>
        <v>440.95929561111114</v>
      </c>
      <c r="R200" s="1015">
        <f t="shared" si="117"/>
        <v>7.3493215935185185</v>
      </c>
    </row>
    <row r="201" spans="1:29" ht="15.75" thickBot="1" x14ac:dyDescent="0.3"/>
    <row r="202" spans="1:29" s="956" customFormat="1" ht="23.25" x14ac:dyDescent="0.35">
      <c r="A202" s="1690" t="s">
        <v>306</v>
      </c>
      <c r="B202" s="1691"/>
      <c r="C202" s="1691"/>
      <c r="D202" s="1691"/>
      <c r="E202" s="1691"/>
      <c r="F202" s="1691"/>
      <c r="G202" s="1691"/>
      <c r="H202" s="1691"/>
      <c r="I202" s="1691"/>
      <c r="J202" s="1691"/>
      <c r="K202" s="1691"/>
      <c r="L202" s="1691"/>
      <c r="M202" s="1691"/>
      <c r="N202" s="1691"/>
      <c r="O202" s="1691"/>
      <c r="P202" s="1691"/>
      <c r="Q202" s="1691"/>
      <c r="R202" s="1692"/>
      <c r="S202" s="953"/>
      <c r="T202" s="953"/>
      <c r="U202" s="953"/>
      <c r="V202" s="953"/>
      <c r="W202" s="953"/>
      <c r="X202" s="953"/>
      <c r="Y202" s="953"/>
      <c r="Z202" s="953"/>
      <c r="AA202" s="953"/>
      <c r="AB202" s="953"/>
      <c r="AC202" s="953"/>
    </row>
    <row r="203" spans="1:29" ht="18.75" x14ac:dyDescent="0.25">
      <c r="A203" s="1678" t="s">
        <v>34</v>
      </c>
      <c r="B203" s="1679"/>
      <c r="C203" s="1679"/>
      <c r="D203" s="1679"/>
      <c r="E203" s="1679"/>
      <c r="F203" s="1679"/>
      <c r="G203" s="1679"/>
      <c r="H203" s="1679"/>
      <c r="I203" s="1679"/>
      <c r="J203" s="673"/>
      <c r="K203" s="673"/>
      <c r="L203" s="673"/>
      <c r="M203" s="673"/>
      <c r="N203" s="673"/>
      <c r="O203" s="673"/>
      <c r="P203" s="673"/>
      <c r="Q203" s="673"/>
      <c r="R203" s="674"/>
    </row>
    <row r="204" spans="1:29" ht="30" x14ac:dyDescent="0.25">
      <c r="A204" s="880" t="s">
        <v>35</v>
      </c>
      <c r="B204" s="219" t="s">
        <v>36</v>
      </c>
      <c r="C204" s="219" t="s">
        <v>37</v>
      </c>
      <c r="D204" s="921" t="s">
        <v>38</v>
      </c>
      <c r="E204" s="839" t="s">
        <v>39</v>
      </c>
      <c r="F204" s="839" t="s">
        <v>40</v>
      </c>
      <c r="G204" s="100" t="s">
        <v>41</v>
      </c>
      <c r="H204" s="839" t="s">
        <v>42</v>
      </c>
      <c r="I204" s="839" t="s">
        <v>43</v>
      </c>
      <c r="J204" s="673"/>
      <c r="K204" s="673"/>
      <c r="L204" s="673"/>
      <c r="M204" s="673"/>
      <c r="N204" s="673"/>
      <c r="O204" s="673"/>
      <c r="P204" s="673"/>
      <c r="Q204" s="673"/>
      <c r="R204" s="674"/>
    </row>
    <row r="205" spans="1:29" x14ac:dyDescent="0.25">
      <c r="A205" s="881">
        <v>1</v>
      </c>
      <c r="B205" s="895" t="s">
        <v>44</v>
      </c>
      <c r="C205" s="895" t="s">
        <v>72</v>
      </c>
      <c r="D205" s="922">
        <v>4897654123</v>
      </c>
      <c r="E205" s="923">
        <v>2000000</v>
      </c>
      <c r="F205" s="895">
        <v>30</v>
      </c>
      <c r="G205" s="922">
        <f>(E205/30)*F205</f>
        <v>2000000.0000000002</v>
      </c>
      <c r="H205" s="922"/>
      <c r="I205" s="924">
        <f>SUM(G205:H205)</f>
        <v>2000000.0000000002</v>
      </c>
      <c r="J205" s="673"/>
      <c r="K205" s="673"/>
      <c r="L205" s="673"/>
      <c r="M205" s="673"/>
      <c r="N205" s="673"/>
      <c r="O205" s="673"/>
      <c r="P205" s="673"/>
      <c r="Q205" s="673"/>
      <c r="R205" s="674"/>
    </row>
    <row r="206" spans="1:29" x14ac:dyDescent="0.25">
      <c r="A206" s="881">
        <v>2</v>
      </c>
      <c r="B206" s="895" t="s">
        <v>45</v>
      </c>
      <c r="C206" s="895" t="s">
        <v>46</v>
      </c>
      <c r="D206" s="922">
        <v>10258964</v>
      </c>
      <c r="E206" s="923">
        <v>1000000</v>
      </c>
      <c r="F206" s="895">
        <v>30</v>
      </c>
      <c r="G206" s="922">
        <f t="shared" ref="G206:G207" si="118">(E206/30)*F206</f>
        <v>1000000.0000000001</v>
      </c>
      <c r="H206" s="922">
        <v>117174</v>
      </c>
      <c r="I206" s="924">
        <f>SUM(G206:H206)</f>
        <v>1117174</v>
      </c>
      <c r="J206" s="673"/>
      <c r="K206" s="673"/>
      <c r="L206" s="673"/>
      <c r="M206" s="673"/>
      <c r="N206" s="673"/>
      <c r="O206" s="673"/>
      <c r="P206" s="673"/>
      <c r="Q206" s="673"/>
      <c r="R206" s="674"/>
    </row>
    <row r="207" spans="1:29" x14ac:dyDescent="0.25">
      <c r="A207" s="881">
        <v>3</v>
      </c>
      <c r="B207" s="895" t="s">
        <v>47</v>
      </c>
      <c r="C207" s="895" t="s">
        <v>48</v>
      </c>
      <c r="D207" s="922">
        <v>4569852</v>
      </c>
      <c r="E207" s="923">
        <v>1000000</v>
      </c>
      <c r="F207" s="895">
        <v>30</v>
      </c>
      <c r="G207" s="922">
        <f t="shared" si="118"/>
        <v>1000000.0000000001</v>
      </c>
      <c r="H207" s="922">
        <v>117174</v>
      </c>
      <c r="I207" s="924">
        <f>SUM(G207:H207)</f>
        <v>1117174</v>
      </c>
      <c r="J207" s="673"/>
      <c r="K207" s="673"/>
      <c r="L207" s="673"/>
      <c r="M207" s="673"/>
      <c r="N207" s="673"/>
      <c r="O207" s="673"/>
      <c r="P207" s="673"/>
      <c r="Q207" s="673"/>
      <c r="R207" s="674"/>
    </row>
    <row r="208" spans="1:29" x14ac:dyDescent="0.25">
      <c r="A208" s="569"/>
      <c r="B208" s="895"/>
      <c r="C208" s="695" t="s">
        <v>49</v>
      </c>
      <c r="D208" s="895"/>
      <c r="E208" s="925">
        <f>SUM(E205:E207)</f>
        <v>4000000</v>
      </c>
      <c r="F208" s="895"/>
      <c r="G208" s="926">
        <f>SUM(G205:G207)</f>
        <v>4000000.0000000005</v>
      </c>
      <c r="H208" s="927">
        <f>SUM(H207:H207)</f>
        <v>117174</v>
      </c>
      <c r="I208" s="927">
        <f t="shared" ref="I208" si="119">SUM(I205:I207)</f>
        <v>4234348</v>
      </c>
      <c r="J208" s="673"/>
      <c r="K208" s="673"/>
      <c r="L208" s="673"/>
      <c r="M208" s="673"/>
      <c r="N208" s="673"/>
      <c r="O208" s="673"/>
      <c r="P208" s="673"/>
      <c r="Q208" s="673"/>
      <c r="R208" s="674"/>
    </row>
    <row r="209" spans="1:18" x14ac:dyDescent="0.25">
      <c r="A209" s="688"/>
      <c r="B209" s="673"/>
      <c r="C209" s="673"/>
      <c r="D209" s="673"/>
      <c r="E209" s="673"/>
      <c r="F209" s="673"/>
      <c r="G209" s="673"/>
      <c r="H209" s="932"/>
      <c r="I209" s="932"/>
      <c r="J209" s="932"/>
      <c r="K209" s="932"/>
      <c r="L209" s="932"/>
      <c r="M209" s="673"/>
      <c r="N209" s="673"/>
      <c r="O209" s="673"/>
      <c r="P209" s="673"/>
      <c r="Q209" s="673"/>
      <c r="R209" s="674"/>
    </row>
    <row r="210" spans="1:18" x14ac:dyDescent="0.25">
      <c r="A210" s="688"/>
      <c r="B210" s="673"/>
      <c r="C210" s="673"/>
      <c r="D210" s="673"/>
      <c r="E210" s="673"/>
      <c r="F210" s="673"/>
      <c r="G210" s="673"/>
      <c r="H210" s="673"/>
      <c r="I210" s="673"/>
      <c r="J210" s="673"/>
      <c r="K210" s="673"/>
      <c r="L210" s="673"/>
      <c r="M210" s="673"/>
      <c r="N210" s="673"/>
      <c r="O210" s="673"/>
      <c r="P210" s="673"/>
      <c r="Q210" s="673"/>
      <c r="R210" s="674"/>
    </row>
    <row r="211" spans="1:18" ht="21" x14ac:dyDescent="0.25">
      <c r="A211" s="1680" t="s">
        <v>50</v>
      </c>
      <c r="B211" s="1681"/>
      <c r="C211" s="1681"/>
      <c r="D211" s="1681"/>
      <c r="E211" s="1681"/>
      <c r="F211" s="1681"/>
      <c r="G211" s="1681"/>
      <c r="H211" s="1681"/>
      <c r="I211" s="673"/>
      <c r="J211" s="673"/>
      <c r="K211" s="673"/>
      <c r="L211" s="673"/>
      <c r="M211" s="673"/>
      <c r="N211" s="673"/>
      <c r="O211" s="673"/>
      <c r="P211" s="673"/>
      <c r="Q211" s="673"/>
      <c r="R211" s="674"/>
    </row>
    <row r="212" spans="1:18" ht="30" x14ac:dyDescent="0.25">
      <c r="A212" s="880" t="s">
        <v>35</v>
      </c>
      <c r="B212" s="219" t="s">
        <v>36</v>
      </c>
      <c r="C212" s="219" t="s">
        <v>37</v>
      </c>
      <c r="D212" s="219" t="s">
        <v>38</v>
      </c>
      <c r="E212" s="100" t="s">
        <v>51</v>
      </c>
      <c r="F212" s="100" t="s">
        <v>52</v>
      </c>
      <c r="G212" s="100" t="s">
        <v>53</v>
      </c>
      <c r="H212" s="100" t="s">
        <v>54</v>
      </c>
      <c r="I212" s="673"/>
      <c r="J212" s="673"/>
      <c r="K212" s="673"/>
      <c r="L212" s="673"/>
      <c r="M212" s="673"/>
      <c r="N212" s="673"/>
      <c r="O212" s="673"/>
      <c r="P212" s="673"/>
      <c r="Q212" s="673"/>
      <c r="R212" s="674"/>
    </row>
    <row r="213" spans="1:18" x14ac:dyDescent="0.25">
      <c r="A213" s="881">
        <v>1</v>
      </c>
      <c r="B213" s="895" t="s">
        <v>44</v>
      </c>
      <c r="C213" s="895" t="s">
        <v>72</v>
      </c>
      <c r="D213" s="922">
        <v>4897654123</v>
      </c>
      <c r="E213" s="923">
        <f>+(I205-H205)*4%</f>
        <v>80000.000000000015</v>
      </c>
      <c r="F213" s="922">
        <f>+(I205-H205)*4%</f>
        <v>80000.000000000015</v>
      </c>
      <c r="G213" s="928">
        <f>SUM(E213:F213)</f>
        <v>160000.00000000003</v>
      </c>
      <c r="H213" s="924">
        <f>I205-G213</f>
        <v>1840000.0000000002</v>
      </c>
      <c r="I213" s="673"/>
      <c r="J213" s="673"/>
      <c r="K213" s="673"/>
      <c r="L213" s="673"/>
      <c r="M213" s="673"/>
      <c r="N213" s="673"/>
      <c r="O213" s="673"/>
      <c r="P213" s="673"/>
      <c r="Q213" s="673"/>
      <c r="R213" s="674"/>
    </row>
    <row r="214" spans="1:18" x14ac:dyDescent="0.25">
      <c r="A214" s="881">
        <v>2</v>
      </c>
      <c r="B214" s="895" t="s">
        <v>45</v>
      </c>
      <c r="C214" s="895" t="s">
        <v>46</v>
      </c>
      <c r="D214" s="922">
        <v>10258964</v>
      </c>
      <c r="E214" s="923">
        <f t="shared" ref="E214:E215" si="120">+(I206-H206)*4%</f>
        <v>40000</v>
      </c>
      <c r="F214" s="922">
        <f t="shared" ref="F214:F215" si="121">+(I206-H206)*4%</f>
        <v>40000</v>
      </c>
      <c r="G214" s="928">
        <f>SUM(E214:F214)</f>
        <v>80000</v>
      </c>
      <c r="H214" s="924">
        <f>I206-G214</f>
        <v>1037174</v>
      </c>
      <c r="I214" s="673"/>
      <c r="J214" s="673"/>
      <c r="K214" s="673"/>
      <c r="L214" s="673"/>
      <c r="M214" s="673"/>
      <c r="N214" s="673"/>
      <c r="O214" s="673"/>
      <c r="P214" s="673"/>
      <c r="Q214" s="673"/>
      <c r="R214" s="674"/>
    </row>
    <row r="215" spans="1:18" x14ac:dyDescent="0.25">
      <c r="A215" s="881">
        <v>3</v>
      </c>
      <c r="B215" s="895" t="s">
        <v>47</v>
      </c>
      <c r="C215" s="895" t="s">
        <v>48</v>
      </c>
      <c r="D215" s="922">
        <v>4569852</v>
      </c>
      <c r="E215" s="923">
        <f t="shared" si="120"/>
        <v>40000</v>
      </c>
      <c r="F215" s="922">
        <f t="shared" si="121"/>
        <v>40000</v>
      </c>
      <c r="G215" s="928">
        <f>SUM(E215:F215)</f>
        <v>80000</v>
      </c>
      <c r="H215" s="924">
        <f>I207-G215</f>
        <v>1037174</v>
      </c>
      <c r="I215" s="673"/>
      <c r="J215" s="673"/>
      <c r="K215" s="673"/>
      <c r="L215" s="673"/>
      <c r="M215" s="673"/>
      <c r="N215" s="673"/>
      <c r="O215" s="673"/>
      <c r="P215" s="673"/>
      <c r="Q215" s="673"/>
      <c r="R215" s="674"/>
    </row>
    <row r="216" spans="1:18" x14ac:dyDescent="0.25">
      <c r="A216" s="569"/>
      <c r="B216" s="895"/>
      <c r="C216" s="695" t="s">
        <v>49</v>
      </c>
      <c r="D216" s="895"/>
      <c r="E216" s="929">
        <f>SUM(E213:E215)</f>
        <v>160000</v>
      </c>
      <c r="F216" s="929">
        <f>SUM(F213:F215)</f>
        <v>160000</v>
      </c>
      <c r="G216" s="925">
        <f>SUM(E216:F216)</f>
        <v>320000</v>
      </c>
      <c r="H216" s="926">
        <f>I208-G216</f>
        <v>3914348</v>
      </c>
      <c r="I216" s="673"/>
      <c r="J216" s="673"/>
      <c r="K216" s="673"/>
      <c r="L216" s="673"/>
      <c r="M216" s="673"/>
      <c r="N216" s="673"/>
      <c r="O216" s="673"/>
      <c r="P216" s="673"/>
      <c r="Q216" s="673"/>
      <c r="R216" s="674"/>
    </row>
    <row r="217" spans="1:18" x14ac:dyDescent="0.25">
      <c r="A217" s="688"/>
      <c r="B217" s="673"/>
      <c r="C217" s="673"/>
      <c r="D217" s="673"/>
      <c r="E217" s="673"/>
      <c r="F217" s="673"/>
      <c r="G217" s="673"/>
      <c r="H217" s="673"/>
      <c r="I217" s="673"/>
      <c r="J217" s="673"/>
      <c r="K217" s="673"/>
      <c r="L217" s="673"/>
      <c r="M217" s="673"/>
      <c r="N217" s="673"/>
      <c r="O217" s="673"/>
      <c r="P217" s="673"/>
      <c r="Q217" s="673"/>
      <c r="R217" s="674"/>
    </row>
    <row r="218" spans="1:18" x14ac:dyDescent="0.25">
      <c r="A218" s="688"/>
      <c r="B218" s="673"/>
      <c r="C218" s="673"/>
      <c r="D218" s="673"/>
      <c r="E218" s="673"/>
      <c r="F218" s="673"/>
      <c r="G218" s="673"/>
      <c r="H218" s="673"/>
      <c r="I218" s="673"/>
      <c r="J218" s="673"/>
      <c r="K218" s="673"/>
      <c r="L218" s="673"/>
      <c r="M218" s="673"/>
      <c r="N218" s="673"/>
      <c r="O218" s="673"/>
      <c r="P218" s="673"/>
      <c r="Q218" s="673"/>
      <c r="R218" s="674"/>
    </row>
    <row r="219" spans="1:18" ht="18.75" x14ac:dyDescent="0.25">
      <c r="A219" s="1695" t="s">
        <v>55</v>
      </c>
      <c r="B219" s="1696"/>
      <c r="C219" s="1696"/>
      <c r="D219" s="1696"/>
      <c r="E219" s="1696"/>
      <c r="F219" s="1696"/>
      <c r="G219" s="1696"/>
      <c r="H219" s="1696"/>
      <c r="I219" s="1696"/>
      <c r="J219" s="1696"/>
      <c r="K219" s="1696"/>
      <c r="L219" s="1696"/>
      <c r="M219" s="1696"/>
      <c r="N219" s="1696"/>
      <c r="O219" s="1696"/>
      <c r="P219" s="1696"/>
      <c r="Q219" s="1696"/>
      <c r="R219" s="1697"/>
    </row>
    <row r="220" spans="1:18" ht="60" x14ac:dyDescent="0.25">
      <c r="A220" s="880" t="s">
        <v>35</v>
      </c>
      <c r="B220" s="219" t="s">
        <v>36</v>
      </c>
      <c r="C220" s="219" t="s">
        <v>37</v>
      </c>
      <c r="D220" s="100" t="s">
        <v>56</v>
      </c>
      <c r="E220" s="100" t="s">
        <v>57</v>
      </c>
      <c r="F220" s="100" t="s">
        <v>58</v>
      </c>
      <c r="G220" s="100" t="s">
        <v>59</v>
      </c>
      <c r="H220" s="100" t="s">
        <v>60</v>
      </c>
      <c r="I220" s="100" t="s">
        <v>61</v>
      </c>
      <c r="J220" s="100" t="s">
        <v>62</v>
      </c>
      <c r="K220" s="100" t="s">
        <v>63</v>
      </c>
      <c r="L220" s="100" t="s">
        <v>64</v>
      </c>
      <c r="M220" s="100" t="s">
        <v>65</v>
      </c>
      <c r="N220" s="100" t="s">
        <v>66</v>
      </c>
      <c r="O220" s="100" t="s">
        <v>67</v>
      </c>
      <c r="P220" s="100" t="s">
        <v>68</v>
      </c>
      <c r="Q220" s="100" t="s">
        <v>69</v>
      </c>
      <c r="R220" s="689" t="s">
        <v>70</v>
      </c>
    </row>
    <row r="221" spans="1:18" x14ac:dyDescent="0.25">
      <c r="A221" s="881">
        <v>1</v>
      </c>
      <c r="B221" s="895" t="s">
        <v>44</v>
      </c>
      <c r="C221" s="895" t="s">
        <v>72</v>
      </c>
      <c r="D221" s="930">
        <f>(I205-H205)*8.5%</f>
        <v>170000.00000000003</v>
      </c>
      <c r="E221" s="922">
        <f>(I205-H205)*12%</f>
        <v>240000.00000000003</v>
      </c>
      <c r="F221" s="922">
        <f>(I205-H205)*0.522%</f>
        <v>10440</v>
      </c>
      <c r="G221" s="922">
        <f>(I205-H205)*3%</f>
        <v>60000.000000000007</v>
      </c>
      <c r="H221" s="922">
        <f>(I205-H205)*2%</f>
        <v>40000.000000000007</v>
      </c>
      <c r="I221" s="922">
        <f>(I205-H205)*4%</f>
        <v>80000.000000000015</v>
      </c>
      <c r="J221" s="924">
        <f>I205*8.33%</f>
        <v>166600.00000000003</v>
      </c>
      <c r="K221" s="928">
        <f>I205*1%</f>
        <v>20000.000000000004</v>
      </c>
      <c r="L221" s="922">
        <f>I205*8.33%</f>
        <v>166600.00000000003</v>
      </c>
      <c r="M221" s="922">
        <f>(I205-H205)*4.17%</f>
        <v>83400.000000000015</v>
      </c>
      <c r="N221" s="922">
        <f>(I205+D221+E221+F221+G221+H221+I221+J221+K221+L221+M221)</f>
        <v>3037040.0000000005</v>
      </c>
      <c r="O221" s="922">
        <f>N221/30</f>
        <v>101234.66666666669</v>
      </c>
      <c r="P221" s="922">
        <f>O221/8</f>
        <v>12654.333333333336</v>
      </c>
      <c r="Q221" s="931">
        <f>+P221/60</f>
        <v>210.90555555555559</v>
      </c>
      <c r="R221" s="933">
        <f>+Q221/60</f>
        <v>3.5150925925925933</v>
      </c>
    </row>
    <row r="222" spans="1:18" x14ac:dyDescent="0.25">
      <c r="A222" s="881">
        <v>2</v>
      </c>
      <c r="B222" s="895" t="s">
        <v>45</v>
      </c>
      <c r="C222" s="895" t="s">
        <v>46</v>
      </c>
      <c r="D222" s="930">
        <f t="shared" ref="D222:D223" si="122">(I206-H206)*8.5%</f>
        <v>85000</v>
      </c>
      <c r="E222" s="922">
        <f t="shared" ref="E222:E223" si="123">(I206-H206)*12%</f>
        <v>120000</v>
      </c>
      <c r="F222" s="922">
        <f>(I206-H206)*0.522%</f>
        <v>5220</v>
      </c>
      <c r="G222" s="922">
        <f t="shared" ref="G222:G223" si="124">(I206-H206)*3%</f>
        <v>30000</v>
      </c>
      <c r="H222" s="922">
        <f t="shared" ref="H222:H223" si="125">(I206-H206)*2%</f>
        <v>20000</v>
      </c>
      <c r="I222" s="922">
        <f t="shared" ref="I222:I223" si="126">(I206-H206)*4%</f>
        <v>40000</v>
      </c>
      <c r="J222" s="924">
        <f>I206*8.33%</f>
        <v>93060.594199999992</v>
      </c>
      <c r="K222" s="928">
        <f>I206*1%</f>
        <v>11171.74</v>
      </c>
      <c r="L222" s="922">
        <f>I206*8.33%</f>
        <v>93060.594199999992</v>
      </c>
      <c r="M222" s="922">
        <f>(I206-H206)*4.17%</f>
        <v>41700</v>
      </c>
      <c r="N222" s="922">
        <f>(I206+D222+E222+F222+G222+H222+I222+J222+K222+L222+M222)</f>
        <v>1656386.9283999999</v>
      </c>
      <c r="O222" s="922">
        <f t="shared" ref="O222:O223" si="127">N222/30</f>
        <v>55212.897613333327</v>
      </c>
      <c r="P222" s="922">
        <f t="shared" ref="P222:P223" si="128">O222/8</f>
        <v>6901.6122016666659</v>
      </c>
      <c r="Q222" s="931">
        <f t="shared" ref="Q222:Q223" si="129">+P222/60</f>
        <v>115.02687002777776</v>
      </c>
      <c r="R222" s="933">
        <f t="shared" ref="R222:R223" si="130">+Q222/60</f>
        <v>1.9171145004629626</v>
      </c>
    </row>
    <row r="223" spans="1:18" x14ac:dyDescent="0.25">
      <c r="A223" s="881">
        <v>3</v>
      </c>
      <c r="B223" s="895" t="s">
        <v>47</v>
      </c>
      <c r="C223" s="895" t="s">
        <v>48</v>
      </c>
      <c r="D223" s="930">
        <f t="shared" si="122"/>
        <v>85000</v>
      </c>
      <c r="E223" s="922">
        <f t="shared" si="123"/>
        <v>120000</v>
      </c>
      <c r="F223" s="922">
        <f>(I207-H207)*0.522%</f>
        <v>5220</v>
      </c>
      <c r="G223" s="922">
        <f t="shared" si="124"/>
        <v>30000</v>
      </c>
      <c r="H223" s="922">
        <f t="shared" si="125"/>
        <v>20000</v>
      </c>
      <c r="I223" s="922">
        <f t="shared" si="126"/>
        <v>40000</v>
      </c>
      <c r="J223" s="924">
        <f>I207*8.33%</f>
        <v>93060.594199999992</v>
      </c>
      <c r="K223" s="928">
        <f>I207*1%</f>
        <v>11171.74</v>
      </c>
      <c r="L223" s="922">
        <f>I207*8.33%</f>
        <v>93060.594199999992</v>
      </c>
      <c r="M223" s="922">
        <f>(I207-H207)*4.17%</f>
        <v>41700</v>
      </c>
      <c r="N223" s="922">
        <f>(I207+D223+E223+F223+G223+H223+I223+J223+K223+L223+M223)</f>
        <v>1656386.9283999999</v>
      </c>
      <c r="O223" s="922">
        <f t="shared" si="127"/>
        <v>55212.897613333327</v>
      </c>
      <c r="P223" s="922">
        <f t="shared" si="128"/>
        <v>6901.6122016666659</v>
      </c>
      <c r="Q223" s="931">
        <f t="shared" si="129"/>
        <v>115.02687002777776</v>
      </c>
      <c r="R223" s="933">
        <f t="shared" si="130"/>
        <v>1.9171145004629626</v>
      </c>
    </row>
    <row r="224" spans="1:18" ht="15.75" thickBot="1" x14ac:dyDescent="0.3">
      <c r="A224" s="934"/>
      <c r="B224" s="935"/>
      <c r="C224" s="936" t="s">
        <v>49</v>
      </c>
      <c r="D224" s="937">
        <f t="shared" ref="D224:M224" si="131">SUM(D221:D223)</f>
        <v>340000</v>
      </c>
      <c r="E224" s="937">
        <f t="shared" si="131"/>
        <v>480000</v>
      </c>
      <c r="F224" s="937">
        <f t="shared" si="131"/>
        <v>20880</v>
      </c>
      <c r="G224" s="937">
        <f t="shared" si="131"/>
        <v>120000</v>
      </c>
      <c r="H224" s="937">
        <f t="shared" si="131"/>
        <v>80000</v>
      </c>
      <c r="I224" s="937">
        <f t="shared" si="131"/>
        <v>160000</v>
      </c>
      <c r="J224" s="937">
        <f t="shared" si="131"/>
        <v>352721.18839999998</v>
      </c>
      <c r="K224" s="937">
        <f t="shared" si="131"/>
        <v>42343.48</v>
      </c>
      <c r="L224" s="938">
        <f t="shared" si="131"/>
        <v>352721.18839999998</v>
      </c>
      <c r="M224" s="938">
        <f t="shared" si="131"/>
        <v>166800</v>
      </c>
      <c r="N224" s="938">
        <f>SUM(N221:N223)</f>
        <v>6349813.8568000002</v>
      </c>
      <c r="O224" s="938">
        <f t="shared" ref="O224:R224" si="132">SUM(O221:O223)</f>
        <v>211660.46189333335</v>
      </c>
      <c r="P224" s="938">
        <f t="shared" si="132"/>
        <v>26457.557736666669</v>
      </c>
      <c r="Q224" s="939">
        <f t="shared" si="132"/>
        <v>440.95929561111114</v>
      </c>
      <c r="R224" s="940">
        <f t="shared" si="132"/>
        <v>7.3493215935185185</v>
      </c>
    </row>
    <row r="225" spans="1:29" ht="15.75" thickBot="1" x14ac:dyDescent="0.3"/>
    <row r="226" spans="1:29" s="956" customFormat="1" ht="23.25" x14ac:dyDescent="0.35">
      <c r="A226" s="1698" t="s">
        <v>307</v>
      </c>
      <c r="B226" s="1699"/>
      <c r="C226" s="1699"/>
      <c r="D226" s="1699"/>
      <c r="E226" s="1699"/>
      <c r="F226" s="1699"/>
      <c r="G226" s="1699"/>
      <c r="H226" s="1699"/>
      <c r="I226" s="1699"/>
      <c r="J226" s="1699"/>
      <c r="K226" s="1699"/>
      <c r="L226" s="1699"/>
      <c r="M226" s="1699"/>
      <c r="N226" s="1699"/>
      <c r="O226" s="1699"/>
      <c r="P226" s="1699"/>
      <c r="Q226" s="1699"/>
      <c r="R226" s="1700"/>
      <c r="S226" s="953"/>
      <c r="T226" s="953"/>
      <c r="U226" s="953"/>
      <c r="V226" s="953"/>
      <c r="W226" s="953"/>
      <c r="X226" s="953"/>
      <c r="Y226" s="953"/>
      <c r="Z226" s="953"/>
      <c r="AA226" s="953"/>
      <c r="AB226" s="953"/>
      <c r="AC226" s="953"/>
    </row>
    <row r="227" spans="1:29" ht="18.75" x14ac:dyDescent="0.25">
      <c r="A227" s="1672" t="s">
        <v>34</v>
      </c>
      <c r="B227" s="1673"/>
      <c r="C227" s="1673"/>
      <c r="D227" s="1673"/>
      <c r="E227" s="1673"/>
      <c r="F227" s="1673"/>
      <c r="G227" s="1673"/>
      <c r="H227" s="1673"/>
      <c r="I227" s="1673"/>
      <c r="J227" s="1027"/>
      <c r="K227" s="1027"/>
      <c r="L227" s="1027"/>
      <c r="M227" s="1027"/>
      <c r="N227" s="1027"/>
      <c r="O227" s="1027"/>
      <c r="P227" s="1027"/>
      <c r="Q227" s="1027"/>
      <c r="R227" s="1028"/>
    </row>
    <row r="228" spans="1:29" ht="30" x14ac:dyDescent="0.25">
      <c r="A228" s="1029" t="s">
        <v>35</v>
      </c>
      <c r="B228" s="220" t="s">
        <v>36</v>
      </c>
      <c r="C228" s="220" t="s">
        <v>37</v>
      </c>
      <c r="D228" s="1018" t="s">
        <v>38</v>
      </c>
      <c r="E228" s="1019" t="s">
        <v>39</v>
      </c>
      <c r="F228" s="1019" t="s">
        <v>40</v>
      </c>
      <c r="G228" s="26" t="s">
        <v>41</v>
      </c>
      <c r="H228" s="1019" t="s">
        <v>42</v>
      </c>
      <c r="I228" s="1019" t="s">
        <v>43</v>
      </c>
      <c r="J228" s="1027"/>
      <c r="K228" s="1027"/>
      <c r="L228" s="1027"/>
      <c r="M228" s="1027"/>
      <c r="N228" s="1027"/>
      <c r="O228" s="1027"/>
      <c r="P228" s="1027"/>
      <c r="Q228" s="1027"/>
      <c r="R228" s="1028"/>
    </row>
    <row r="229" spans="1:29" x14ac:dyDescent="0.25">
      <c r="A229" s="1030">
        <v>1</v>
      </c>
      <c r="B229" s="144" t="s">
        <v>44</v>
      </c>
      <c r="C229" s="144" t="s">
        <v>72</v>
      </c>
      <c r="D229" s="9">
        <v>4897654123</v>
      </c>
      <c r="E229" s="1020">
        <v>2000000</v>
      </c>
      <c r="F229" s="144">
        <v>30</v>
      </c>
      <c r="G229" s="9">
        <f>(E229/30)*F229</f>
        <v>2000000.0000000002</v>
      </c>
      <c r="H229" s="9"/>
      <c r="I229" s="10">
        <f>SUM(G229:H229)</f>
        <v>2000000.0000000002</v>
      </c>
      <c r="J229" s="1027"/>
      <c r="K229" s="1027"/>
      <c r="L229" s="1027"/>
      <c r="M229" s="1027"/>
      <c r="N229" s="1027"/>
      <c r="O229" s="1027"/>
      <c r="P229" s="1027"/>
      <c r="Q229" s="1027"/>
      <c r="R229" s="1028"/>
    </row>
    <row r="230" spans="1:29" x14ac:dyDescent="0.25">
      <c r="A230" s="1030">
        <v>2</v>
      </c>
      <c r="B230" s="144" t="s">
        <v>45</v>
      </c>
      <c r="C230" s="144" t="s">
        <v>46</v>
      </c>
      <c r="D230" s="9">
        <v>10258964</v>
      </c>
      <c r="E230" s="1020">
        <v>1000000</v>
      </c>
      <c r="F230" s="144">
        <v>30</v>
      </c>
      <c r="G230" s="9">
        <f t="shared" ref="G230:G231" si="133">(E230/30)*F230</f>
        <v>1000000.0000000001</v>
      </c>
      <c r="H230" s="9">
        <v>117174</v>
      </c>
      <c r="I230" s="10">
        <f>SUM(G230:H230)</f>
        <v>1117174</v>
      </c>
      <c r="J230" s="1027"/>
      <c r="K230" s="1027"/>
      <c r="L230" s="1027"/>
      <c r="M230" s="1027"/>
      <c r="N230" s="1027"/>
      <c r="O230" s="1027"/>
      <c r="P230" s="1027"/>
      <c r="Q230" s="1027"/>
      <c r="R230" s="1028"/>
    </row>
    <row r="231" spans="1:29" x14ac:dyDescent="0.25">
      <c r="A231" s="1030">
        <v>3</v>
      </c>
      <c r="B231" s="144" t="s">
        <v>47</v>
      </c>
      <c r="C231" s="144" t="s">
        <v>48</v>
      </c>
      <c r="D231" s="9">
        <v>4569852</v>
      </c>
      <c r="E231" s="1020">
        <v>1000000</v>
      </c>
      <c r="F231" s="144">
        <v>30</v>
      </c>
      <c r="G231" s="9">
        <f t="shared" si="133"/>
        <v>1000000.0000000001</v>
      </c>
      <c r="H231" s="9">
        <v>117174</v>
      </c>
      <c r="I231" s="10">
        <f>SUM(G231:H231)</f>
        <v>1117174</v>
      </c>
      <c r="J231" s="1027"/>
      <c r="K231" s="1027"/>
      <c r="L231" s="1027"/>
      <c r="M231" s="1027"/>
      <c r="N231" s="1027"/>
      <c r="O231" s="1027"/>
      <c r="P231" s="1027"/>
      <c r="Q231" s="1027"/>
      <c r="R231" s="1028"/>
    </row>
    <row r="232" spans="1:29" x14ac:dyDescent="0.25">
      <c r="A232" s="1031"/>
      <c r="B232" s="144"/>
      <c r="C232" s="99" t="s">
        <v>49</v>
      </c>
      <c r="D232" s="144"/>
      <c r="E232" s="1021">
        <f>SUM(E229:E231)</f>
        <v>4000000</v>
      </c>
      <c r="F232" s="144"/>
      <c r="G232" s="12">
        <f>SUM(G229:G231)</f>
        <v>4000000.0000000005</v>
      </c>
      <c r="H232" s="13">
        <f>SUM(H231:H231)</f>
        <v>117174</v>
      </c>
      <c r="I232" s="13">
        <f t="shared" ref="I232" si="134">SUM(I229:I231)</f>
        <v>4234348</v>
      </c>
      <c r="J232" s="1027"/>
      <c r="K232" s="1027"/>
      <c r="L232" s="1027"/>
      <c r="M232" s="1027"/>
      <c r="N232" s="1027"/>
      <c r="O232" s="1027"/>
      <c r="P232" s="1027"/>
      <c r="Q232" s="1027"/>
      <c r="R232" s="1028"/>
    </row>
    <row r="233" spans="1:29" x14ac:dyDescent="0.25">
      <c r="A233" s="1032"/>
      <c r="B233" s="1027"/>
      <c r="C233" s="1027"/>
      <c r="D233" s="1027"/>
      <c r="E233" s="1027"/>
      <c r="F233" s="1027"/>
      <c r="G233" s="1027"/>
      <c r="H233" s="1033"/>
      <c r="I233" s="1033"/>
      <c r="J233" s="1033"/>
      <c r="K233" s="1033"/>
      <c r="L233" s="1033"/>
      <c r="M233" s="1027"/>
      <c r="N233" s="1027"/>
      <c r="O233" s="1027"/>
      <c r="P233" s="1027"/>
      <c r="Q233" s="1027"/>
      <c r="R233" s="1028"/>
    </row>
    <row r="234" spans="1:29" x14ac:dyDescent="0.25">
      <c r="A234" s="1032"/>
      <c r="B234" s="1027"/>
      <c r="C234" s="1027"/>
      <c r="D234" s="1027"/>
      <c r="E234" s="1027"/>
      <c r="F234" s="1027"/>
      <c r="G234" s="1027"/>
      <c r="H234" s="1027"/>
      <c r="I234" s="1027"/>
      <c r="J234" s="1027"/>
      <c r="K234" s="1027"/>
      <c r="L234" s="1027"/>
      <c r="M234" s="1027"/>
      <c r="N234" s="1027"/>
      <c r="O234" s="1027"/>
      <c r="P234" s="1027"/>
      <c r="Q234" s="1027"/>
      <c r="R234" s="1028"/>
    </row>
    <row r="235" spans="1:29" ht="21" x14ac:dyDescent="0.25">
      <c r="A235" s="1674" t="s">
        <v>50</v>
      </c>
      <c r="B235" s="1675"/>
      <c r="C235" s="1675"/>
      <c r="D235" s="1675"/>
      <c r="E235" s="1675"/>
      <c r="F235" s="1675"/>
      <c r="G235" s="1675"/>
      <c r="H235" s="1675"/>
      <c r="I235" s="1027"/>
      <c r="J235" s="1027"/>
      <c r="K235" s="1027"/>
      <c r="L235" s="1027"/>
      <c r="M235" s="1027"/>
      <c r="N235" s="1027"/>
      <c r="O235" s="1027"/>
      <c r="P235" s="1027"/>
      <c r="Q235" s="1027"/>
      <c r="R235" s="1028"/>
    </row>
    <row r="236" spans="1:29" ht="30" x14ac:dyDescent="0.25">
      <c r="A236" s="1029" t="s">
        <v>35</v>
      </c>
      <c r="B236" s="220" t="s">
        <v>36</v>
      </c>
      <c r="C236" s="220" t="s">
        <v>37</v>
      </c>
      <c r="D236" s="220" t="s">
        <v>38</v>
      </c>
      <c r="E236" s="26" t="s">
        <v>51</v>
      </c>
      <c r="F236" s="26" t="s">
        <v>52</v>
      </c>
      <c r="G236" s="26" t="s">
        <v>53</v>
      </c>
      <c r="H236" s="26" t="s">
        <v>54</v>
      </c>
      <c r="I236" s="1027"/>
      <c r="J236" s="1027"/>
      <c r="K236" s="1027"/>
      <c r="L236" s="1027"/>
      <c r="M236" s="1027"/>
      <c r="N236" s="1027"/>
      <c r="O236" s="1027"/>
      <c r="P236" s="1027"/>
      <c r="Q236" s="1027"/>
      <c r="R236" s="1028"/>
    </row>
    <row r="237" spans="1:29" x14ac:dyDescent="0.25">
      <c r="A237" s="1030">
        <v>1</v>
      </c>
      <c r="B237" s="144" t="s">
        <v>44</v>
      </c>
      <c r="C237" s="144" t="s">
        <v>72</v>
      </c>
      <c r="D237" s="9">
        <v>4897654123</v>
      </c>
      <c r="E237" s="1020">
        <f>+(I229-H229)*4%</f>
        <v>80000.000000000015</v>
      </c>
      <c r="F237" s="9">
        <f>+(I229-H229)*4%</f>
        <v>80000.000000000015</v>
      </c>
      <c r="G237" s="1022">
        <f>SUM(E237:F237)</f>
        <v>160000.00000000003</v>
      </c>
      <c r="H237" s="10">
        <f>I229-G237</f>
        <v>1840000.0000000002</v>
      </c>
      <c r="I237" s="1027"/>
      <c r="J237" s="1027"/>
      <c r="K237" s="1027"/>
      <c r="L237" s="1027"/>
      <c r="M237" s="1027"/>
      <c r="N237" s="1027"/>
      <c r="O237" s="1027"/>
      <c r="P237" s="1027"/>
      <c r="Q237" s="1027"/>
      <c r="R237" s="1028"/>
    </row>
    <row r="238" spans="1:29" x14ac:dyDescent="0.25">
      <c r="A238" s="1030">
        <v>2</v>
      </c>
      <c r="B238" s="144" t="s">
        <v>45</v>
      </c>
      <c r="C238" s="144" t="s">
        <v>46</v>
      </c>
      <c r="D238" s="9">
        <v>10258964</v>
      </c>
      <c r="E238" s="1020">
        <f t="shared" ref="E238:E239" si="135">+(I230-H230)*4%</f>
        <v>40000</v>
      </c>
      <c r="F238" s="9">
        <f t="shared" ref="F238:F239" si="136">+(I230-H230)*4%</f>
        <v>40000</v>
      </c>
      <c r="G238" s="1022">
        <f>SUM(E238:F238)</f>
        <v>80000</v>
      </c>
      <c r="H238" s="10">
        <f>I230-G238</f>
        <v>1037174</v>
      </c>
      <c r="I238" s="1027"/>
      <c r="J238" s="1027"/>
      <c r="K238" s="1027"/>
      <c r="L238" s="1027"/>
      <c r="M238" s="1027"/>
      <c r="N238" s="1027"/>
      <c r="O238" s="1027"/>
      <c r="P238" s="1027"/>
      <c r="Q238" s="1027"/>
      <c r="R238" s="1028"/>
    </row>
    <row r="239" spans="1:29" x14ac:dyDescent="0.25">
      <c r="A239" s="1030">
        <v>3</v>
      </c>
      <c r="B239" s="144" t="s">
        <v>47</v>
      </c>
      <c r="C239" s="144" t="s">
        <v>48</v>
      </c>
      <c r="D239" s="9">
        <v>4569852</v>
      </c>
      <c r="E239" s="1020">
        <f t="shared" si="135"/>
        <v>40000</v>
      </c>
      <c r="F239" s="9">
        <f t="shared" si="136"/>
        <v>40000</v>
      </c>
      <c r="G239" s="1022">
        <f>SUM(E239:F239)</f>
        <v>80000</v>
      </c>
      <c r="H239" s="10">
        <f>I231-G239</f>
        <v>1037174</v>
      </c>
      <c r="I239" s="1027"/>
      <c r="J239" s="1027"/>
      <c r="K239" s="1027"/>
      <c r="L239" s="1027"/>
      <c r="M239" s="1027"/>
      <c r="N239" s="1027"/>
      <c r="O239" s="1027"/>
      <c r="P239" s="1027"/>
      <c r="Q239" s="1027"/>
      <c r="R239" s="1028"/>
    </row>
    <row r="240" spans="1:29" x14ac:dyDescent="0.25">
      <c r="A240" s="1031"/>
      <c r="B240" s="144"/>
      <c r="C240" s="99" t="s">
        <v>49</v>
      </c>
      <c r="D240" s="144"/>
      <c r="E240" s="1023">
        <f>SUM(E237:E239)</f>
        <v>160000</v>
      </c>
      <c r="F240" s="1023">
        <f>SUM(F237:F239)</f>
        <v>160000</v>
      </c>
      <c r="G240" s="1021">
        <f>SUM(E240:F240)</f>
        <v>320000</v>
      </c>
      <c r="H240" s="12">
        <f>I232-G240</f>
        <v>3914348</v>
      </c>
      <c r="I240" s="1027"/>
      <c r="J240" s="1027"/>
      <c r="K240" s="1027"/>
      <c r="L240" s="1027"/>
      <c r="M240" s="1027"/>
      <c r="N240" s="1027"/>
      <c r="O240" s="1027"/>
      <c r="P240" s="1027"/>
      <c r="Q240" s="1027"/>
      <c r="R240" s="1028"/>
    </row>
    <row r="241" spans="1:29" x14ac:dyDescent="0.25">
      <c r="A241" s="1032"/>
      <c r="B241" s="1027"/>
      <c r="C241" s="1027"/>
      <c r="D241" s="1027"/>
      <c r="E241" s="1027"/>
      <c r="F241" s="1027"/>
      <c r="G241" s="1027"/>
      <c r="H241" s="1027"/>
      <c r="I241" s="1027"/>
      <c r="J241" s="1027"/>
      <c r="K241" s="1027"/>
      <c r="L241" s="1027"/>
      <c r="M241" s="1027"/>
      <c r="N241" s="1027"/>
      <c r="O241" s="1027"/>
      <c r="P241" s="1027"/>
      <c r="Q241" s="1027"/>
      <c r="R241" s="1028"/>
    </row>
    <row r="242" spans="1:29" x14ac:dyDescent="0.25">
      <c r="A242" s="1032"/>
      <c r="B242" s="1027"/>
      <c r="C242" s="1027"/>
      <c r="D242" s="1027"/>
      <c r="E242" s="1027"/>
      <c r="F242" s="1027"/>
      <c r="G242" s="1027"/>
      <c r="H242" s="1027"/>
      <c r="I242" s="1027"/>
      <c r="J242" s="1027"/>
      <c r="K242" s="1027"/>
      <c r="L242" s="1027"/>
      <c r="M242" s="1027"/>
      <c r="N242" s="1027"/>
      <c r="O242" s="1027"/>
      <c r="P242" s="1027"/>
      <c r="Q242" s="1027"/>
      <c r="R242" s="1028"/>
    </row>
    <row r="243" spans="1:29" ht="18.75" x14ac:dyDescent="0.25">
      <c r="A243" s="1709" t="s">
        <v>55</v>
      </c>
      <c r="B243" s="1710"/>
      <c r="C243" s="1710"/>
      <c r="D243" s="1710"/>
      <c r="E243" s="1710"/>
      <c r="F243" s="1710"/>
      <c r="G243" s="1710"/>
      <c r="H243" s="1710"/>
      <c r="I243" s="1710"/>
      <c r="J243" s="1710"/>
      <c r="K243" s="1710"/>
      <c r="L243" s="1710"/>
      <c r="M243" s="1710"/>
      <c r="N243" s="1710"/>
      <c r="O243" s="1710"/>
      <c r="P243" s="1710"/>
      <c r="Q243" s="1710"/>
      <c r="R243" s="1711"/>
    </row>
    <row r="244" spans="1:29" ht="60" x14ac:dyDescent="0.25">
      <c r="A244" s="1029" t="s">
        <v>35</v>
      </c>
      <c r="B244" s="220" t="s">
        <v>36</v>
      </c>
      <c r="C244" s="220" t="s">
        <v>37</v>
      </c>
      <c r="D244" s="26" t="s">
        <v>56</v>
      </c>
      <c r="E244" s="26" t="s">
        <v>57</v>
      </c>
      <c r="F244" s="26" t="s">
        <v>58</v>
      </c>
      <c r="G244" s="26" t="s">
        <v>59</v>
      </c>
      <c r="H244" s="26" t="s">
        <v>60</v>
      </c>
      <c r="I244" s="26" t="s">
        <v>61</v>
      </c>
      <c r="J244" s="26" t="s">
        <v>62</v>
      </c>
      <c r="K244" s="26" t="s">
        <v>63</v>
      </c>
      <c r="L244" s="26" t="s">
        <v>64</v>
      </c>
      <c r="M244" s="26" t="s">
        <v>65</v>
      </c>
      <c r="N244" s="26" t="s">
        <v>66</v>
      </c>
      <c r="O244" s="26" t="s">
        <v>67</v>
      </c>
      <c r="P244" s="26" t="s">
        <v>68</v>
      </c>
      <c r="Q244" s="26" t="s">
        <v>69</v>
      </c>
      <c r="R244" s="1034" t="s">
        <v>70</v>
      </c>
    </row>
    <row r="245" spans="1:29" x14ac:dyDescent="0.25">
      <c r="A245" s="1030">
        <v>1</v>
      </c>
      <c r="B245" s="144" t="s">
        <v>44</v>
      </c>
      <c r="C245" s="144" t="s">
        <v>72</v>
      </c>
      <c r="D245" s="1024">
        <f>(I229-H229)*8.5%</f>
        <v>170000.00000000003</v>
      </c>
      <c r="E245" s="9">
        <f>(I229-H229)*12%</f>
        <v>240000.00000000003</v>
      </c>
      <c r="F245" s="9">
        <f>(I229-H229)*0.522%</f>
        <v>10440</v>
      </c>
      <c r="G245" s="9">
        <f>(I229-H229)*3%</f>
        <v>60000.000000000007</v>
      </c>
      <c r="H245" s="9">
        <f>(I229-H229)*2%</f>
        <v>40000.000000000007</v>
      </c>
      <c r="I245" s="9">
        <f>(I229-H229)*4%</f>
        <v>80000.000000000015</v>
      </c>
      <c r="J245" s="10">
        <f>I229*8.33%</f>
        <v>166600.00000000003</v>
      </c>
      <c r="K245" s="1022">
        <f>I229*1%</f>
        <v>20000.000000000004</v>
      </c>
      <c r="L245" s="9">
        <f>I229*8.33%</f>
        <v>166600.00000000003</v>
      </c>
      <c r="M245" s="9">
        <f>(I229-H229)*4.17%</f>
        <v>83400.000000000015</v>
      </c>
      <c r="N245" s="9">
        <f>(I229+D245+E245+F245+G245+H245+I245+J245+K245+L245+M245)</f>
        <v>3037040.0000000005</v>
      </c>
      <c r="O245" s="9">
        <f>N245/30</f>
        <v>101234.66666666669</v>
      </c>
      <c r="P245" s="9">
        <f>O245/8</f>
        <v>12654.333333333336</v>
      </c>
      <c r="Q245" s="1025">
        <f>+P245/60</f>
        <v>210.90555555555559</v>
      </c>
      <c r="R245" s="1035">
        <f>+Q245/60</f>
        <v>3.5150925925925933</v>
      </c>
    </row>
    <row r="246" spans="1:29" x14ac:dyDescent="0.25">
      <c r="A246" s="1030">
        <v>2</v>
      </c>
      <c r="B246" s="144" t="s">
        <v>45</v>
      </c>
      <c r="C246" s="144" t="s">
        <v>46</v>
      </c>
      <c r="D246" s="1024">
        <f t="shared" ref="D246:D247" si="137">(I230-H230)*8.5%</f>
        <v>85000</v>
      </c>
      <c r="E246" s="9">
        <f t="shared" ref="E246:E247" si="138">(I230-H230)*12%</f>
        <v>120000</v>
      </c>
      <c r="F246" s="9">
        <f>(I230-H230)*0.522%</f>
        <v>5220</v>
      </c>
      <c r="G246" s="9">
        <f t="shared" ref="G246:G247" si="139">(I230-H230)*3%</f>
        <v>30000</v>
      </c>
      <c r="H246" s="9">
        <f t="shared" ref="H246:H247" si="140">(I230-H230)*2%</f>
        <v>20000</v>
      </c>
      <c r="I246" s="9">
        <f t="shared" ref="I246:I247" si="141">(I230-H230)*4%</f>
        <v>40000</v>
      </c>
      <c r="J246" s="10">
        <f>I230*8.33%</f>
        <v>93060.594199999992</v>
      </c>
      <c r="K246" s="1022">
        <f>I230*1%</f>
        <v>11171.74</v>
      </c>
      <c r="L246" s="9">
        <f>I230*8.33%</f>
        <v>93060.594199999992</v>
      </c>
      <c r="M246" s="9">
        <f>(I230-H230)*4.17%</f>
        <v>41700</v>
      </c>
      <c r="N246" s="9">
        <f>(I230+D246+E246+F246+G246+H246+I246+J246+K246+L246+M246)</f>
        <v>1656386.9283999999</v>
      </c>
      <c r="O246" s="9">
        <f t="shared" ref="O246:O247" si="142">N246/30</f>
        <v>55212.897613333327</v>
      </c>
      <c r="P246" s="9">
        <f t="shared" ref="P246:P247" si="143">O246/8</f>
        <v>6901.6122016666659</v>
      </c>
      <c r="Q246" s="1025">
        <f t="shared" ref="Q246:Q247" si="144">+P246/60</f>
        <v>115.02687002777776</v>
      </c>
      <c r="R246" s="1035">
        <f t="shared" ref="R246:R247" si="145">+Q246/60</f>
        <v>1.9171145004629626</v>
      </c>
    </row>
    <row r="247" spans="1:29" x14ac:dyDescent="0.25">
      <c r="A247" s="1030">
        <v>3</v>
      </c>
      <c r="B247" s="144" t="s">
        <v>47</v>
      </c>
      <c r="C247" s="144" t="s">
        <v>48</v>
      </c>
      <c r="D247" s="1024">
        <f t="shared" si="137"/>
        <v>85000</v>
      </c>
      <c r="E247" s="9">
        <f t="shared" si="138"/>
        <v>120000</v>
      </c>
      <c r="F247" s="9">
        <f>(I231-H231)*0.522%</f>
        <v>5220</v>
      </c>
      <c r="G247" s="9">
        <f t="shared" si="139"/>
        <v>30000</v>
      </c>
      <c r="H247" s="9">
        <f t="shared" si="140"/>
        <v>20000</v>
      </c>
      <c r="I247" s="9">
        <f t="shared" si="141"/>
        <v>40000</v>
      </c>
      <c r="J247" s="10">
        <f>I231*8.33%</f>
        <v>93060.594199999992</v>
      </c>
      <c r="K247" s="1022">
        <f>I231*1%</f>
        <v>11171.74</v>
      </c>
      <c r="L247" s="9">
        <f>I231*8.33%</f>
        <v>93060.594199999992</v>
      </c>
      <c r="M247" s="9">
        <f>(I231-H231)*4.17%</f>
        <v>41700</v>
      </c>
      <c r="N247" s="9">
        <f>(I231+D247+E247+F247+G247+H247+I247+J247+K247+L247+M247)</f>
        <v>1656386.9283999999</v>
      </c>
      <c r="O247" s="9">
        <f t="shared" si="142"/>
        <v>55212.897613333327</v>
      </c>
      <c r="P247" s="9">
        <f t="shared" si="143"/>
        <v>6901.6122016666659</v>
      </c>
      <c r="Q247" s="1025">
        <f t="shared" si="144"/>
        <v>115.02687002777776</v>
      </c>
      <c r="R247" s="1035">
        <f t="shared" si="145"/>
        <v>1.9171145004629626</v>
      </c>
    </row>
    <row r="248" spans="1:29" ht="15.75" thickBot="1" x14ac:dyDescent="0.3">
      <c r="A248" s="1036"/>
      <c r="B248" s="1037"/>
      <c r="C248" s="614" t="s">
        <v>49</v>
      </c>
      <c r="D248" s="991">
        <f t="shared" ref="D248:M248" si="146">SUM(D245:D247)</f>
        <v>340000</v>
      </c>
      <c r="E248" s="991">
        <f t="shared" si="146"/>
        <v>480000</v>
      </c>
      <c r="F248" s="991">
        <f t="shared" si="146"/>
        <v>20880</v>
      </c>
      <c r="G248" s="991">
        <f t="shared" si="146"/>
        <v>120000</v>
      </c>
      <c r="H248" s="991">
        <f t="shared" si="146"/>
        <v>80000</v>
      </c>
      <c r="I248" s="991">
        <f t="shared" si="146"/>
        <v>160000</v>
      </c>
      <c r="J248" s="991">
        <f t="shared" si="146"/>
        <v>352721.18839999998</v>
      </c>
      <c r="K248" s="991">
        <f t="shared" si="146"/>
        <v>42343.48</v>
      </c>
      <c r="L248" s="992">
        <f t="shared" si="146"/>
        <v>352721.18839999998</v>
      </c>
      <c r="M248" s="992">
        <f t="shared" si="146"/>
        <v>166800</v>
      </c>
      <c r="N248" s="992">
        <f>SUM(N245:N247)</f>
        <v>6349813.8568000002</v>
      </c>
      <c r="O248" s="992">
        <f t="shared" ref="O248:R248" si="147">SUM(O245:O247)</f>
        <v>211660.46189333335</v>
      </c>
      <c r="P248" s="992">
        <f t="shared" si="147"/>
        <v>26457.557736666669</v>
      </c>
      <c r="Q248" s="1038">
        <f t="shared" si="147"/>
        <v>440.95929561111114</v>
      </c>
      <c r="R248" s="1039">
        <f t="shared" si="147"/>
        <v>7.3493215935185185</v>
      </c>
    </row>
    <row r="249" spans="1:29" ht="15.75" thickBot="1" x14ac:dyDescent="0.3"/>
    <row r="250" spans="1:29" s="956" customFormat="1" ht="23.25" x14ac:dyDescent="0.35">
      <c r="A250" s="1715" t="s">
        <v>308</v>
      </c>
      <c r="B250" s="1716"/>
      <c r="C250" s="1716"/>
      <c r="D250" s="1716"/>
      <c r="E250" s="1716"/>
      <c r="F250" s="1716"/>
      <c r="G250" s="1716"/>
      <c r="H250" s="1716"/>
      <c r="I250" s="1716"/>
      <c r="J250" s="1716"/>
      <c r="K250" s="1716"/>
      <c r="L250" s="1716"/>
      <c r="M250" s="1716"/>
      <c r="N250" s="1716"/>
      <c r="O250" s="1716"/>
      <c r="P250" s="1716"/>
      <c r="Q250" s="1716"/>
      <c r="R250" s="1717"/>
      <c r="S250" s="953"/>
      <c r="T250" s="953"/>
      <c r="U250" s="953"/>
      <c r="V250" s="953"/>
      <c r="W250" s="953"/>
      <c r="X250" s="953"/>
      <c r="Y250" s="953"/>
      <c r="Z250" s="953"/>
      <c r="AA250" s="953"/>
      <c r="AB250" s="953"/>
      <c r="AC250" s="953"/>
    </row>
    <row r="251" spans="1:29" ht="18.75" x14ac:dyDescent="0.25">
      <c r="A251" s="1721" t="s">
        <v>34</v>
      </c>
      <c r="B251" s="1722"/>
      <c r="C251" s="1722"/>
      <c r="D251" s="1722"/>
      <c r="E251" s="1722"/>
      <c r="F251" s="1722"/>
      <c r="G251" s="1722"/>
      <c r="H251" s="1722"/>
      <c r="I251" s="1722"/>
      <c r="J251" s="708"/>
      <c r="K251" s="708"/>
      <c r="L251" s="708"/>
      <c r="M251" s="708"/>
      <c r="N251" s="708"/>
      <c r="O251" s="708"/>
      <c r="P251" s="708"/>
      <c r="Q251" s="708"/>
      <c r="R251" s="709"/>
    </row>
    <row r="252" spans="1:29" ht="30" x14ac:dyDescent="0.25">
      <c r="A252" s="885" t="s">
        <v>35</v>
      </c>
      <c r="B252" s="416" t="s">
        <v>36</v>
      </c>
      <c r="C252" s="416" t="s">
        <v>37</v>
      </c>
      <c r="D252" s="968" t="s">
        <v>38</v>
      </c>
      <c r="E252" s="969" t="s">
        <v>39</v>
      </c>
      <c r="F252" s="969" t="s">
        <v>40</v>
      </c>
      <c r="G252" s="421" t="s">
        <v>41</v>
      </c>
      <c r="H252" s="969" t="s">
        <v>42</v>
      </c>
      <c r="I252" s="969" t="s">
        <v>43</v>
      </c>
      <c r="J252" s="708"/>
      <c r="K252" s="708"/>
      <c r="L252" s="708"/>
      <c r="M252" s="708"/>
      <c r="N252" s="708"/>
      <c r="O252" s="708"/>
      <c r="P252" s="708"/>
      <c r="Q252" s="708"/>
      <c r="R252" s="709"/>
    </row>
    <row r="253" spans="1:29" x14ac:dyDescent="0.25">
      <c r="A253" s="970">
        <v>1</v>
      </c>
      <c r="B253" s="971" t="s">
        <v>44</v>
      </c>
      <c r="C253" s="971" t="s">
        <v>72</v>
      </c>
      <c r="D253" s="972">
        <v>4897654123</v>
      </c>
      <c r="E253" s="973">
        <v>2000000</v>
      </c>
      <c r="F253" s="971">
        <v>30</v>
      </c>
      <c r="G253" s="972">
        <f>(E253/30)*F253</f>
        <v>2000000.0000000002</v>
      </c>
      <c r="H253" s="972"/>
      <c r="I253" s="974">
        <f>SUM(G253:H253)</f>
        <v>2000000.0000000002</v>
      </c>
      <c r="J253" s="708"/>
      <c r="K253" s="708"/>
      <c r="L253" s="708"/>
      <c r="M253" s="708"/>
      <c r="N253" s="708"/>
      <c r="O253" s="708"/>
      <c r="P253" s="708"/>
      <c r="Q253" s="708"/>
      <c r="R253" s="709"/>
    </row>
    <row r="254" spans="1:29" x14ac:dyDescent="0.25">
      <c r="A254" s="970">
        <v>2</v>
      </c>
      <c r="B254" s="971" t="s">
        <v>45</v>
      </c>
      <c r="C254" s="971" t="s">
        <v>46</v>
      </c>
      <c r="D254" s="972">
        <v>10258964</v>
      </c>
      <c r="E254" s="973">
        <v>1000000</v>
      </c>
      <c r="F254" s="971">
        <v>30</v>
      </c>
      <c r="G254" s="972">
        <f t="shared" ref="G254:G255" si="148">(E254/30)*F254</f>
        <v>1000000.0000000001</v>
      </c>
      <c r="H254" s="972">
        <v>117174</v>
      </c>
      <c r="I254" s="974">
        <f>SUM(G254:H254)</f>
        <v>1117174</v>
      </c>
      <c r="J254" s="708"/>
      <c r="K254" s="708"/>
      <c r="L254" s="708"/>
      <c r="M254" s="708"/>
      <c r="N254" s="708"/>
      <c r="O254" s="708"/>
      <c r="P254" s="708"/>
      <c r="Q254" s="708"/>
      <c r="R254" s="709"/>
    </row>
    <row r="255" spans="1:29" x14ac:dyDescent="0.25">
      <c r="A255" s="970">
        <v>3</v>
      </c>
      <c r="B255" s="971" t="s">
        <v>47</v>
      </c>
      <c r="C255" s="971" t="s">
        <v>48</v>
      </c>
      <c r="D255" s="972">
        <v>4569852</v>
      </c>
      <c r="E255" s="973">
        <v>1000000</v>
      </c>
      <c r="F255" s="971">
        <v>30</v>
      </c>
      <c r="G255" s="972">
        <f t="shared" si="148"/>
        <v>1000000.0000000001</v>
      </c>
      <c r="H255" s="972">
        <v>117174</v>
      </c>
      <c r="I255" s="974">
        <f>SUM(G255:H255)</f>
        <v>1117174</v>
      </c>
      <c r="J255" s="708"/>
      <c r="K255" s="708"/>
      <c r="L255" s="708"/>
      <c r="M255" s="708"/>
      <c r="N255" s="708"/>
      <c r="O255" s="708"/>
      <c r="P255" s="708"/>
      <c r="Q255" s="708"/>
      <c r="R255" s="709"/>
    </row>
    <row r="256" spans="1:29" x14ac:dyDescent="0.25">
      <c r="A256" s="728"/>
      <c r="B256" s="971"/>
      <c r="C256" s="734" t="s">
        <v>49</v>
      </c>
      <c r="D256" s="971"/>
      <c r="E256" s="975">
        <f>SUM(E253:E255)</f>
        <v>4000000</v>
      </c>
      <c r="F256" s="971"/>
      <c r="G256" s="976">
        <f>SUM(G253:G255)</f>
        <v>4000000.0000000005</v>
      </c>
      <c r="H256" s="977">
        <f>SUM(H255:H255)</f>
        <v>117174</v>
      </c>
      <c r="I256" s="977">
        <f t="shared" ref="I256" si="149">SUM(I253:I255)</f>
        <v>4234348</v>
      </c>
      <c r="J256" s="708"/>
      <c r="K256" s="708"/>
      <c r="L256" s="708"/>
      <c r="M256" s="708"/>
      <c r="N256" s="708"/>
      <c r="O256" s="708"/>
      <c r="P256" s="708"/>
      <c r="Q256" s="708"/>
      <c r="R256" s="709"/>
    </row>
    <row r="257" spans="1:29" x14ac:dyDescent="0.25">
      <c r="A257" s="722"/>
      <c r="B257" s="708"/>
      <c r="C257" s="708"/>
      <c r="D257" s="708"/>
      <c r="E257" s="708"/>
      <c r="F257" s="708"/>
      <c r="G257" s="708"/>
      <c r="H257" s="978"/>
      <c r="I257" s="978"/>
      <c r="J257" s="978"/>
      <c r="K257" s="978"/>
      <c r="L257" s="978"/>
      <c r="M257" s="708"/>
      <c r="N257" s="708"/>
      <c r="O257" s="708"/>
      <c r="P257" s="708"/>
      <c r="Q257" s="708"/>
      <c r="R257" s="709"/>
    </row>
    <row r="258" spans="1:29" x14ac:dyDescent="0.25">
      <c r="A258" s="722"/>
      <c r="B258" s="708"/>
      <c r="C258" s="708"/>
      <c r="D258" s="708"/>
      <c r="E258" s="708"/>
      <c r="F258" s="708"/>
      <c r="G258" s="708"/>
      <c r="H258" s="708"/>
      <c r="I258" s="708"/>
      <c r="J258" s="708"/>
      <c r="K258" s="708"/>
      <c r="L258" s="708"/>
      <c r="M258" s="708"/>
      <c r="N258" s="708"/>
      <c r="O258" s="708"/>
      <c r="P258" s="708"/>
      <c r="Q258" s="708"/>
      <c r="R258" s="709"/>
    </row>
    <row r="259" spans="1:29" s="955" customFormat="1" ht="18.75" x14ac:dyDescent="0.3">
      <c r="A259" s="1707" t="s">
        <v>50</v>
      </c>
      <c r="B259" s="1708"/>
      <c r="C259" s="1708"/>
      <c r="D259" s="1708"/>
      <c r="E259" s="1708"/>
      <c r="F259" s="1708"/>
      <c r="G259" s="1708"/>
      <c r="H259" s="1708"/>
      <c r="I259" s="1040"/>
      <c r="J259" s="1040"/>
      <c r="K259" s="1040"/>
      <c r="L259" s="1040"/>
      <c r="M259" s="1040"/>
      <c r="N259" s="1040"/>
      <c r="O259" s="1040"/>
      <c r="P259" s="1040"/>
      <c r="Q259" s="1040"/>
      <c r="R259" s="1041"/>
      <c r="S259" s="952"/>
      <c r="T259" s="952"/>
      <c r="U259" s="952"/>
      <c r="V259" s="952"/>
      <c r="W259" s="952"/>
      <c r="X259" s="952"/>
      <c r="Y259" s="952"/>
      <c r="Z259" s="952"/>
      <c r="AA259" s="952"/>
      <c r="AB259" s="952"/>
      <c r="AC259" s="952"/>
    </row>
    <row r="260" spans="1:29" ht="30" x14ac:dyDescent="0.25">
      <c r="A260" s="885" t="s">
        <v>35</v>
      </c>
      <c r="B260" s="416" t="s">
        <v>36</v>
      </c>
      <c r="C260" s="416" t="s">
        <v>37</v>
      </c>
      <c r="D260" s="416" t="s">
        <v>38</v>
      </c>
      <c r="E260" s="421" t="s">
        <v>51</v>
      </c>
      <c r="F260" s="421" t="s">
        <v>52</v>
      </c>
      <c r="G260" s="421" t="s">
        <v>53</v>
      </c>
      <c r="H260" s="421" t="s">
        <v>54</v>
      </c>
      <c r="I260" s="708"/>
      <c r="J260" s="708"/>
      <c r="K260" s="708"/>
      <c r="L260" s="708"/>
      <c r="M260" s="708"/>
      <c r="N260" s="708"/>
      <c r="O260" s="708"/>
      <c r="P260" s="708"/>
      <c r="Q260" s="708"/>
      <c r="R260" s="709"/>
    </row>
    <row r="261" spans="1:29" x14ac:dyDescent="0.25">
      <c r="A261" s="970">
        <v>1</v>
      </c>
      <c r="B261" s="971" t="s">
        <v>44</v>
      </c>
      <c r="C261" s="971" t="s">
        <v>72</v>
      </c>
      <c r="D261" s="972">
        <v>4897654123</v>
      </c>
      <c r="E261" s="973">
        <f>+(I253-H253)*4%</f>
        <v>80000.000000000015</v>
      </c>
      <c r="F261" s="972">
        <f>+(I253-H253)*4%</f>
        <v>80000.000000000015</v>
      </c>
      <c r="G261" s="979">
        <f>SUM(E261:F261)</f>
        <v>160000.00000000003</v>
      </c>
      <c r="H261" s="974">
        <f>I253-G261</f>
        <v>1840000.0000000002</v>
      </c>
      <c r="I261" s="708"/>
      <c r="J261" s="708"/>
      <c r="K261" s="708"/>
      <c r="L261" s="708"/>
      <c r="M261" s="708"/>
      <c r="N261" s="708"/>
      <c r="O261" s="708"/>
      <c r="P261" s="708"/>
      <c r="Q261" s="708"/>
      <c r="R261" s="709"/>
    </row>
    <row r="262" spans="1:29" x14ac:dyDescent="0.25">
      <c r="A262" s="970">
        <v>2</v>
      </c>
      <c r="B262" s="971" t="s">
        <v>45</v>
      </c>
      <c r="C262" s="971" t="s">
        <v>46</v>
      </c>
      <c r="D262" s="972">
        <v>10258964</v>
      </c>
      <c r="E262" s="973">
        <f t="shared" ref="E262:E263" si="150">+(I254-H254)*4%</f>
        <v>40000</v>
      </c>
      <c r="F262" s="972">
        <f t="shared" ref="F262:F263" si="151">+(I254-H254)*4%</f>
        <v>40000</v>
      </c>
      <c r="G262" s="979">
        <f>SUM(E262:F262)</f>
        <v>80000</v>
      </c>
      <c r="H262" s="974">
        <f>I254-G262</f>
        <v>1037174</v>
      </c>
      <c r="I262" s="708"/>
      <c r="J262" s="708"/>
      <c r="K262" s="708"/>
      <c r="L262" s="708"/>
      <c r="M262" s="708"/>
      <c r="N262" s="708"/>
      <c r="O262" s="708"/>
      <c r="P262" s="708"/>
      <c r="Q262" s="708"/>
      <c r="R262" s="709"/>
    </row>
    <row r="263" spans="1:29" x14ac:dyDescent="0.25">
      <c r="A263" s="970">
        <v>3</v>
      </c>
      <c r="B263" s="971" t="s">
        <v>47</v>
      </c>
      <c r="C263" s="971" t="s">
        <v>48</v>
      </c>
      <c r="D263" s="972">
        <v>4569852</v>
      </c>
      <c r="E263" s="973">
        <f t="shared" si="150"/>
        <v>40000</v>
      </c>
      <c r="F263" s="972">
        <f t="shared" si="151"/>
        <v>40000</v>
      </c>
      <c r="G263" s="979">
        <f>SUM(E263:F263)</f>
        <v>80000</v>
      </c>
      <c r="H263" s="974">
        <f>I255-G263</f>
        <v>1037174</v>
      </c>
      <c r="I263" s="708"/>
      <c r="J263" s="708"/>
      <c r="K263" s="708"/>
      <c r="L263" s="708"/>
      <c r="M263" s="708"/>
      <c r="N263" s="708"/>
      <c r="O263" s="708"/>
      <c r="P263" s="708"/>
      <c r="Q263" s="708"/>
      <c r="R263" s="709"/>
    </row>
    <row r="264" spans="1:29" x14ac:dyDescent="0.25">
      <c r="A264" s="728"/>
      <c r="B264" s="971"/>
      <c r="C264" s="734" t="s">
        <v>49</v>
      </c>
      <c r="D264" s="971"/>
      <c r="E264" s="980">
        <f>SUM(E261:E263)</f>
        <v>160000</v>
      </c>
      <c r="F264" s="980">
        <f>SUM(F261:F263)</f>
        <v>160000</v>
      </c>
      <c r="G264" s="975">
        <f>SUM(E264:F264)</f>
        <v>320000</v>
      </c>
      <c r="H264" s="976">
        <f>I256-G264</f>
        <v>3914348</v>
      </c>
      <c r="I264" s="708"/>
      <c r="J264" s="708"/>
      <c r="K264" s="708"/>
      <c r="L264" s="708"/>
      <c r="M264" s="708"/>
      <c r="N264" s="708"/>
      <c r="O264" s="708"/>
      <c r="P264" s="708"/>
      <c r="Q264" s="708"/>
      <c r="R264" s="709"/>
    </row>
    <row r="265" spans="1:29" x14ac:dyDescent="0.25">
      <c r="A265" s="722"/>
      <c r="B265" s="708"/>
      <c r="C265" s="708"/>
      <c r="D265" s="708"/>
      <c r="E265" s="708"/>
      <c r="F265" s="708"/>
      <c r="G265" s="708"/>
      <c r="H265" s="708"/>
      <c r="I265" s="708"/>
      <c r="J265" s="708"/>
      <c r="K265" s="708"/>
      <c r="L265" s="708"/>
      <c r="M265" s="708"/>
      <c r="N265" s="708"/>
      <c r="O265" s="708"/>
      <c r="P265" s="708"/>
      <c r="Q265" s="708"/>
      <c r="R265" s="709"/>
    </row>
    <row r="266" spans="1:29" x14ac:dyDescent="0.25">
      <c r="A266" s="722"/>
      <c r="B266" s="708"/>
      <c r="C266" s="708"/>
      <c r="D266" s="708"/>
      <c r="E266" s="708"/>
      <c r="F266" s="708"/>
      <c r="G266" s="708"/>
      <c r="H266" s="708"/>
      <c r="I266" s="708"/>
      <c r="J266" s="708"/>
      <c r="K266" s="708"/>
      <c r="L266" s="708"/>
      <c r="M266" s="708"/>
      <c r="N266" s="708"/>
      <c r="O266" s="708"/>
      <c r="P266" s="708"/>
      <c r="Q266" s="708"/>
      <c r="R266" s="709"/>
    </row>
    <row r="267" spans="1:29" ht="18.75" x14ac:dyDescent="0.25">
      <c r="A267" s="1712" t="s">
        <v>55</v>
      </c>
      <c r="B267" s="1713"/>
      <c r="C267" s="1713"/>
      <c r="D267" s="1713"/>
      <c r="E267" s="1713"/>
      <c r="F267" s="1713"/>
      <c r="G267" s="1713"/>
      <c r="H267" s="1713"/>
      <c r="I267" s="1713"/>
      <c r="J267" s="1713"/>
      <c r="K267" s="1713"/>
      <c r="L267" s="1713"/>
      <c r="M267" s="1713"/>
      <c r="N267" s="1713"/>
      <c r="O267" s="1713"/>
      <c r="P267" s="1713"/>
      <c r="Q267" s="1713"/>
      <c r="R267" s="1714"/>
    </row>
    <row r="268" spans="1:29" ht="60" x14ac:dyDescent="0.25">
      <c r="A268" s="885" t="s">
        <v>35</v>
      </c>
      <c r="B268" s="416" t="s">
        <v>36</v>
      </c>
      <c r="C268" s="416" t="s">
        <v>37</v>
      </c>
      <c r="D268" s="421" t="s">
        <v>56</v>
      </c>
      <c r="E268" s="421" t="s">
        <v>57</v>
      </c>
      <c r="F268" s="421" t="s">
        <v>58</v>
      </c>
      <c r="G268" s="421" t="s">
        <v>59</v>
      </c>
      <c r="H268" s="421" t="s">
        <v>60</v>
      </c>
      <c r="I268" s="421" t="s">
        <v>61</v>
      </c>
      <c r="J268" s="421" t="s">
        <v>62</v>
      </c>
      <c r="K268" s="421" t="s">
        <v>63</v>
      </c>
      <c r="L268" s="421" t="s">
        <v>64</v>
      </c>
      <c r="M268" s="421" t="s">
        <v>65</v>
      </c>
      <c r="N268" s="421" t="s">
        <v>66</v>
      </c>
      <c r="O268" s="421" t="s">
        <v>67</v>
      </c>
      <c r="P268" s="421" t="s">
        <v>68</v>
      </c>
      <c r="Q268" s="421" t="s">
        <v>69</v>
      </c>
      <c r="R268" s="724" t="s">
        <v>70</v>
      </c>
    </row>
    <row r="269" spans="1:29" x14ac:dyDescent="0.25">
      <c r="A269" s="970">
        <v>1</v>
      </c>
      <c r="B269" s="971" t="s">
        <v>44</v>
      </c>
      <c r="C269" s="971" t="s">
        <v>72</v>
      </c>
      <c r="D269" s="981">
        <f>(I253-H253)*8.5%</f>
        <v>170000.00000000003</v>
      </c>
      <c r="E269" s="972">
        <f>(I253-H253)*12%</f>
        <v>240000.00000000003</v>
      </c>
      <c r="F269" s="972">
        <f>(I253-H253)*0.522%</f>
        <v>10440</v>
      </c>
      <c r="G269" s="972">
        <f>(I253-H253)*3%</f>
        <v>60000.000000000007</v>
      </c>
      <c r="H269" s="972">
        <f>(I253-H253)*2%</f>
        <v>40000.000000000007</v>
      </c>
      <c r="I269" s="972">
        <f>(I253-H253)*4%</f>
        <v>80000.000000000015</v>
      </c>
      <c r="J269" s="974">
        <f>I253*8.33%</f>
        <v>166600.00000000003</v>
      </c>
      <c r="K269" s="979">
        <f>I253*1%</f>
        <v>20000.000000000004</v>
      </c>
      <c r="L269" s="972">
        <f>I253*8.33%</f>
        <v>166600.00000000003</v>
      </c>
      <c r="M269" s="972">
        <f>(I253-H253)*4.17%</f>
        <v>83400.000000000015</v>
      </c>
      <c r="N269" s="972">
        <f>(I253+D269+E269+F269+G269+H269+I269+J269+K269+L269+M269)</f>
        <v>3037040.0000000005</v>
      </c>
      <c r="O269" s="972">
        <f>N269/30</f>
        <v>101234.66666666669</v>
      </c>
      <c r="P269" s="972">
        <f>O269/8</f>
        <v>12654.333333333336</v>
      </c>
      <c r="Q269" s="982">
        <f>+P269/60</f>
        <v>210.90555555555559</v>
      </c>
      <c r="R269" s="983">
        <f>+Q269/60</f>
        <v>3.5150925925925933</v>
      </c>
    </row>
    <row r="270" spans="1:29" x14ac:dyDescent="0.25">
      <c r="A270" s="970">
        <v>2</v>
      </c>
      <c r="B270" s="971" t="s">
        <v>45</v>
      </c>
      <c r="C270" s="971" t="s">
        <v>46</v>
      </c>
      <c r="D270" s="981">
        <f t="shared" ref="D270:D271" si="152">(I254-H254)*8.5%</f>
        <v>85000</v>
      </c>
      <c r="E270" s="972">
        <f t="shared" ref="E270:E271" si="153">(I254-H254)*12%</f>
        <v>120000</v>
      </c>
      <c r="F270" s="972">
        <f>(I254-H254)*0.522%</f>
        <v>5220</v>
      </c>
      <c r="G270" s="972">
        <f t="shared" ref="G270:G271" si="154">(I254-H254)*3%</f>
        <v>30000</v>
      </c>
      <c r="H270" s="972">
        <f t="shared" ref="H270:H271" si="155">(I254-H254)*2%</f>
        <v>20000</v>
      </c>
      <c r="I270" s="972">
        <f t="shared" ref="I270:I271" si="156">(I254-H254)*4%</f>
        <v>40000</v>
      </c>
      <c r="J270" s="974">
        <f>I254*8.33%</f>
        <v>93060.594199999992</v>
      </c>
      <c r="K270" s="979">
        <f>I254*1%</f>
        <v>11171.74</v>
      </c>
      <c r="L270" s="972">
        <f>I254*8.33%</f>
        <v>93060.594199999992</v>
      </c>
      <c r="M270" s="972">
        <f>(I254-H254)*4.17%</f>
        <v>41700</v>
      </c>
      <c r="N270" s="972">
        <f>(I254+D270+E270+F270+G270+H270+I270+J270+K270+L270+M270)</f>
        <v>1656386.9283999999</v>
      </c>
      <c r="O270" s="972">
        <f t="shared" ref="O270:O271" si="157">N270/30</f>
        <v>55212.897613333327</v>
      </c>
      <c r="P270" s="972">
        <f t="shared" ref="P270:P271" si="158">O270/8</f>
        <v>6901.6122016666659</v>
      </c>
      <c r="Q270" s="982">
        <f t="shared" ref="Q270:Q271" si="159">+P270/60</f>
        <v>115.02687002777776</v>
      </c>
      <c r="R270" s="983">
        <f t="shared" ref="R270:R271" si="160">+Q270/60</f>
        <v>1.9171145004629626</v>
      </c>
    </row>
    <row r="271" spans="1:29" x14ac:dyDescent="0.25">
      <c r="A271" s="970">
        <v>3</v>
      </c>
      <c r="B271" s="971" t="s">
        <v>47</v>
      </c>
      <c r="C271" s="971" t="s">
        <v>48</v>
      </c>
      <c r="D271" s="981">
        <f t="shared" si="152"/>
        <v>85000</v>
      </c>
      <c r="E271" s="972">
        <f t="shared" si="153"/>
        <v>120000</v>
      </c>
      <c r="F271" s="972">
        <f>(I255-H255)*0.522%</f>
        <v>5220</v>
      </c>
      <c r="G271" s="972">
        <f t="shared" si="154"/>
        <v>30000</v>
      </c>
      <c r="H271" s="972">
        <f t="shared" si="155"/>
        <v>20000</v>
      </c>
      <c r="I271" s="972">
        <f t="shared" si="156"/>
        <v>40000</v>
      </c>
      <c r="J271" s="974">
        <f>I255*8.33%</f>
        <v>93060.594199999992</v>
      </c>
      <c r="K271" s="979">
        <f>I255*1%</f>
        <v>11171.74</v>
      </c>
      <c r="L271" s="972">
        <f>I255*8.33%</f>
        <v>93060.594199999992</v>
      </c>
      <c r="M271" s="972">
        <f>(I255-H255)*4.17%</f>
        <v>41700</v>
      </c>
      <c r="N271" s="972">
        <f>(I255+D271+E271+F271+G271+H271+I271+J271+K271+L271+M271)</f>
        <v>1656386.9283999999</v>
      </c>
      <c r="O271" s="972">
        <f t="shared" si="157"/>
        <v>55212.897613333327</v>
      </c>
      <c r="P271" s="972">
        <f t="shared" si="158"/>
        <v>6901.6122016666659</v>
      </c>
      <c r="Q271" s="982">
        <f t="shared" si="159"/>
        <v>115.02687002777776</v>
      </c>
      <c r="R271" s="983">
        <f t="shared" si="160"/>
        <v>1.9171145004629626</v>
      </c>
    </row>
    <row r="272" spans="1:29" ht="15.75" thickBot="1" x14ac:dyDescent="0.3">
      <c r="A272" s="984"/>
      <c r="B272" s="985"/>
      <c r="C272" s="986" t="s">
        <v>49</v>
      </c>
      <c r="D272" s="987">
        <f t="shared" ref="D272:M272" si="161">SUM(D269:D271)</f>
        <v>340000</v>
      </c>
      <c r="E272" s="987">
        <f t="shared" si="161"/>
        <v>480000</v>
      </c>
      <c r="F272" s="987">
        <f t="shared" si="161"/>
        <v>20880</v>
      </c>
      <c r="G272" s="987">
        <f t="shared" si="161"/>
        <v>120000</v>
      </c>
      <c r="H272" s="987">
        <f t="shared" si="161"/>
        <v>80000</v>
      </c>
      <c r="I272" s="987">
        <f t="shared" si="161"/>
        <v>160000</v>
      </c>
      <c r="J272" s="987">
        <f t="shared" si="161"/>
        <v>352721.18839999998</v>
      </c>
      <c r="K272" s="987">
        <f t="shared" si="161"/>
        <v>42343.48</v>
      </c>
      <c r="L272" s="988">
        <f t="shared" si="161"/>
        <v>352721.18839999998</v>
      </c>
      <c r="M272" s="988">
        <f t="shared" si="161"/>
        <v>166800</v>
      </c>
      <c r="N272" s="988">
        <f>SUM(N269:N271)</f>
        <v>6349813.8568000002</v>
      </c>
      <c r="O272" s="988">
        <f t="shared" ref="O272:R272" si="162">SUM(O269:O271)</f>
        <v>211660.46189333335</v>
      </c>
      <c r="P272" s="988">
        <f t="shared" si="162"/>
        <v>26457.557736666669</v>
      </c>
      <c r="Q272" s="989">
        <f t="shared" si="162"/>
        <v>440.95929561111114</v>
      </c>
      <c r="R272" s="990">
        <f t="shared" si="162"/>
        <v>7.3493215935185185</v>
      </c>
    </row>
    <row r="273" spans="1:29" ht="15.75" thickBot="1" x14ac:dyDescent="0.3"/>
    <row r="274" spans="1:29" s="956" customFormat="1" ht="23.25" x14ac:dyDescent="0.35">
      <c r="A274" s="1704" t="s">
        <v>309</v>
      </c>
      <c r="B274" s="1705"/>
      <c r="C274" s="1705"/>
      <c r="D274" s="1705"/>
      <c r="E274" s="1705"/>
      <c r="F274" s="1705"/>
      <c r="G274" s="1705"/>
      <c r="H274" s="1705"/>
      <c r="I274" s="1705"/>
      <c r="J274" s="1705"/>
      <c r="K274" s="1705"/>
      <c r="L274" s="1705"/>
      <c r="M274" s="1705"/>
      <c r="N274" s="1705"/>
      <c r="O274" s="1705"/>
      <c r="P274" s="1705"/>
      <c r="Q274" s="1705"/>
      <c r="R274" s="1706"/>
      <c r="S274" s="953"/>
      <c r="T274" s="953"/>
      <c r="U274" s="953"/>
      <c r="V274" s="953"/>
      <c r="W274" s="953"/>
      <c r="X274" s="953"/>
      <c r="Y274" s="953"/>
      <c r="Z274" s="953"/>
      <c r="AA274" s="953"/>
      <c r="AB274" s="953"/>
      <c r="AC274" s="953"/>
    </row>
    <row r="275" spans="1:29" ht="18.75" x14ac:dyDescent="0.25">
      <c r="A275" s="1677" t="s">
        <v>34</v>
      </c>
      <c r="B275" s="1676"/>
      <c r="C275" s="1676"/>
      <c r="D275" s="1676"/>
      <c r="E275" s="1676"/>
      <c r="F275" s="1676"/>
      <c r="G275" s="1676"/>
      <c r="H275" s="1676"/>
      <c r="I275" s="1676"/>
      <c r="J275" s="745"/>
      <c r="K275" s="745"/>
      <c r="L275" s="745"/>
      <c r="M275" s="745"/>
      <c r="N275" s="745"/>
      <c r="O275" s="745"/>
      <c r="P275" s="745"/>
      <c r="Q275" s="745"/>
      <c r="R275" s="746"/>
    </row>
    <row r="276" spans="1:29" ht="30" x14ac:dyDescent="0.25">
      <c r="A276" s="993" t="s">
        <v>35</v>
      </c>
      <c r="B276" s="221" t="s">
        <v>36</v>
      </c>
      <c r="C276" s="221" t="s">
        <v>37</v>
      </c>
      <c r="D276" s="994" t="s">
        <v>38</v>
      </c>
      <c r="E276" s="837" t="s">
        <v>39</v>
      </c>
      <c r="F276" s="837" t="s">
        <v>40</v>
      </c>
      <c r="G276" s="25" t="s">
        <v>41</v>
      </c>
      <c r="H276" s="837" t="s">
        <v>42</v>
      </c>
      <c r="I276" s="837" t="s">
        <v>43</v>
      </c>
      <c r="J276" s="745"/>
      <c r="K276" s="745"/>
      <c r="L276" s="745"/>
      <c r="M276" s="745"/>
      <c r="N276" s="745"/>
      <c r="O276" s="745"/>
      <c r="P276" s="745"/>
      <c r="Q276" s="745"/>
      <c r="R276" s="746"/>
    </row>
    <row r="277" spans="1:29" x14ac:dyDescent="0.25">
      <c r="A277" s="995">
        <v>1</v>
      </c>
      <c r="B277" s="996" t="s">
        <v>44</v>
      </c>
      <c r="C277" s="996" t="s">
        <v>72</v>
      </c>
      <c r="D277" s="997">
        <v>4897654123</v>
      </c>
      <c r="E277" s="998">
        <v>2000000</v>
      </c>
      <c r="F277" s="996">
        <v>30</v>
      </c>
      <c r="G277" s="997">
        <f>(E277/30)*F277</f>
        <v>2000000.0000000002</v>
      </c>
      <c r="H277" s="997"/>
      <c r="I277" s="999">
        <f>SUM(G277:H277)</f>
        <v>2000000.0000000002</v>
      </c>
      <c r="J277" s="745"/>
      <c r="K277" s="745"/>
      <c r="L277" s="745"/>
      <c r="M277" s="745"/>
      <c r="N277" s="745"/>
      <c r="O277" s="745"/>
      <c r="P277" s="745"/>
      <c r="Q277" s="745"/>
      <c r="R277" s="746"/>
    </row>
    <row r="278" spans="1:29" x14ac:dyDescent="0.25">
      <c r="A278" s="995">
        <v>2</v>
      </c>
      <c r="B278" s="996" t="s">
        <v>45</v>
      </c>
      <c r="C278" s="996" t="s">
        <v>46</v>
      </c>
      <c r="D278" s="997">
        <v>10258964</v>
      </c>
      <c r="E278" s="998">
        <v>1000000</v>
      </c>
      <c r="F278" s="996">
        <v>30</v>
      </c>
      <c r="G278" s="997">
        <f t="shared" ref="G278:G279" si="163">(E278/30)*F278</f>
        <v>1000000.0000000001</v>
      </c>
      <c r="H278" s="997">
        <v>117174</v>
      </c>
      <c r="I278" s="999">
        <f>SUM(G278:H278)</f>
        <v>1117174</v>
      </c>
      <c r="J278" s="745"/>
      <c r="K278" s="745"/>
      <c r="L278" s="745"/>
      <c r="M278" s="745"/>
      <c r="N278" s="745"/>
      <c r="O278" s="745"/>
      <c r="P278" s="745"/>
      <c r="Q278" s="745"/>
      <c r="R278" s="746"/>
    </row>
    <row r="279" spans="1:29" x14ac:dyDescent="0.25">
      <c r="A279" s="995">
        <v>3</v>
      </c>
      <c r="B279" s="996" t="s">
        <v>47</v>
      </c>
      <c r="C279" s="996" t="s">
        <v>48</v>
      </c>
      <c r="D279" s="997">
        <v>4569852</v>
      </c>
      <c r="E279" s="998">
        <v>1000000</v>
      </c>
      <c r="F279" s="996">
        <v>30</v>
      </c>
      <c r="G279" s="997">
        <f t="shared" si="163"/>
        <v>1000000.0000000001</v>
      </c>
      <c r="H279" s="997">
        <v>117174</v>
      </c>
      <c r="I279" s="999">
        <f>SUM(G279:H279)</f>
        <v>1117174</v>
      </c>
      <c r="J279" s="745"/>
      <c r="K279" s="745"/>
      <c r="L279" s="745"/>
      <c r="M279" s="745"/>
      <c r="N279" s="745"/>
      <c r="O279" s="745"/>
      <c r="P279" s="745"/>
      <c r="Q279" s="745"/>
      <c r="R279" s="746"/>
    </row>
    <row r="280" spans="1:29" x14ac:dyDescent="0.25">
      <c r="A280" s="761"/>
      <c r="B280" s="996"/>
      <c r="C280" s="426" t="s">
        <v>49</v>
      </c>
      <c r="D280" s="996"/>
      <c r="E280" s="1000">
        <f>SUM(E277:E279)</f>
        <v>4000000</v>
      </c>
      <c r="F280" s="996"/>
      <c r="G280" s="1001">
        <f>SUM(G277:G279)</f>
        <v>4000000.0000000005</v>
      </c>
      <c r="H280" s="1002">
        <f>SUM(H279:H279)</f>
        <v>117174</v>
      </c>
      <c r="I280" s="1002">
        <f t="shared" ref="I280" si="164">SUM(I277:I279)</f>
        <v>4234348</v>
      </c>
      <c r="J280" s="745"/>
      <c r="K280" s="745"/>
      <c r="L280" s="745"/>
      <c r="M280" s="745"/>
      <c r="N280" s="745"/>
      <c r="O280" s="745"/>
      <c r="P280" s="745"/>
      <c r="Q280" s="745"/>
      <c r="R280" s="746"/>
    </row>
    <row r="281" spans="1:29" x14ac:dyDescent="0.25">
      <c r="A281" s="757"/>
      <c r="B281" s="745"/>
      <c r="C281" s="745"/>
      <c r="D281" s="745"/>
      <c r="E281" s="745"/>
      <c r="F281" s="745"/>
      <c r="G281" s="745"/>
      <c r="H281" s="1003"/>
      <c r="I281" s="1003"/>
      <c r="J281" s="1003"/>
      <c r="K281" s="1003"/>
      <c r="L281" s="1003"/>
      <c r="M281" s="745"/>
      <c r="N281" s="745"/>
      <c r="O281" s="745"/>
      <c r="P281" s="745"/>
      <c r="Q281" s="745"/>
      <c r="R281" s="746"/>
    </row>
    <row r="282" spans="1:29" x14ac:dyDescent="0.25">
      <c r="A282" s="757"/>
      <c r="B282" s="745"/>
      <c r="C282" s="745"/>
      <c r="D282" s="745"/>
      <c r="E282" s="745"/>
      <c r="F282" s="745"/>
      <c r="G282" s="745"/>
      <c r="H282" s="745"/>
      <c r="I282" s="745"/>
      <c r="J282" s="745"/>
      <c r="K282" s="745"/>
      <c r="L282" s="745"/>
      <c r="M282" s="745"/>
      <c r="N282" s="745"/>
      <c r="O282" s="745"/>
      <c r="P282" s="745"/>
      <c r="Q282" s="745"/>
      <c r="R282" s="746"/>
    </row>
    <row r="283" spans="1:29" ht="21" x14ac:dyDescent="0.25">
      <c r="A283" s="1723" t="s">
        <v>50</v>
      </c>
      <c r="B283" s="1684"/>
      <c r="C283" s="1684"/>
      <c r="D283" s="1684"/>
      <c r="E283" s="1684"/>
      <c r="F283" s="1684"/>
      <c r="G283" s="1684"/>
      <c r="H283" s="1684"/>
      <c r="I283" s="745"/>
      <c r="J283" s="745"/>
      <c r="K283" s="745"/>
      <c r="L283" s="745"/>
      <c r="M283" s="745"/>
      <c r="N283" s="745"/>
      <c r="O283" s="745"/>
      <c r="P283" s="745"/>
      <c r="Q283" s="745"/>
      <c r="R283" s="746"/>
    </row>
    <row r="284" spans="1:29" ht="30" x14ac:dyDescent="0.25">
      <c r="A284" s="993" t="s">
        <v>35</v>
      </c>
      <c r="B284" s="221" t="s">
        <v>36</v>
      </c>
      <c r="C284" s="221" t="s">
        <v>37</v>
      </c>
      <c r="D284" s="221" t="s">
        <v>38</v>
      </c>
      <c r="E284" s="25" t="s">
        <v>51</v>
      </c>
      <c r="F284" s="25" t="s">
        <v>52</v>
      </c>
      <c r="G284" s="25" t="s">
        <v>53</v>
      </c>
      <c r="H284" s="25" t="s">
        <v>54</v>
      </c>
      <c r="I284" s="745"/>
      <c r="J284" s="745"/>
      <c r="K284" s="745"/>
      <c r="L284" s="745"/>
      <c r="M284" s="745"/>
      <c r="N284" s="745"/>
      <c r="O284" s="745"/>
      <c r="P284" s="745"/>
      <c r="Q284" s="745"/>
      <c r="R284" s="746"/>
    </row>
    <row r="285" spans="1:29" x14ac:dyDescent="0.25">
      <c r="A285" s="995">
        <v>1</v>
      </c>
      <c r="B285" s="996" t="s">
        <v>44</v>
      </c>
      <c r="C285" s="996" t="s">
        <v>72</v>
      </c>
      <c r="D285" s="997">
        <v>4897654123</v>
      </c>
      <c r="E285" s="998">
        <f>+(I277-H277)*4%</f>
        <v>80000.000000000015</v>
      </c>
      <c r="F285" s="997">
        <f>+(I277-H277)*4%</f>
        <v>80000.000000000015</v>
      </c>
      <c r="G285" s="1004">
        <f>SUM(E285:F285)</f>
        <v>160000.00000000003</v>
      </c>
      <c r="H285" s="999">
        <f>I277-G285</f>
        <v>1840000.0000000002</v>
      </c>
      <c r="I285" s="745"/>
      <c r="J285" s="745"/>
      <c r="K285" s="745"/>
      <c r="L285" s="745"/>
      <c r="M285" s="745"/>
      <c r="N285" s="745"/>
      <c r="O285" s="745"/>
      <c r="P285" s="745"/>
      <c r="Q285" s="745"/>
      <c r="R285" s="746"/>
    </row>
    <row r="286" spans="1:29" x14ac:dyDescent="0.25">
      <c r="A286" s="995">
        <v>2</v>
      </c>
      <c r="B286" s="996" t="s">
        <v>45</v>
      </c>
      <c r="C286" s="996" t="s">
        <v>46</v>
      </c>
      <c r="D286" s="997">
        <v>10258964</v>
      </c>
      <c r="E286" s="998">
        <f t="shared" ref="E286:E287" si="165">+(I278-H278)*4%</f>
        <v>40000</v>
      </c>
      <c r="F286" s="997">
        <f t="shared" ref="F286:F287" si="166">+(I278-H278)*4%</f>
        <v>40000</v>
      </c>
      <c r="G286" s="1004">
        <f>SUM(E286:F286)</f>
        <v>80000</v>
      </c>
      <c r="H286" s="999">
        <f>I278-G286</f>
        <v>1037174</v>
      </c>
      <c r="I286" s="745"/>
      <c r="J286" s="745"/>
      <c r="K286" s="745"/>
      <c r="L286" s="745"/>
      <c r="M286" s="745"/>
      <c r="N286" s="745"/>
      <c r="O286" s="745"/>
      <c r="P286" s="745"/>
      <c r="Q286" s="745"/>
      <c r="R286" s="746"/>
    </row>
    <row r="287" spans="1:29" x14ac:dyDescent="0.25">
      <c r="A287" s="995">
        <v>3</v>
      </c>
      <c r="B287" s="996" t="s">
        <v>47</v>
      </c>
      <c r="C287" s="996" t="s">
        <v>48</v>
      </c>
      <c r="D287" s="997">
        <v>4569852</v>
      </c>
      <c r="E287" s="998">
        <f t="shared" si="165"/>
        <v>40000</v>
      </c>
      <c r="F287" s="997">
        <f t="shared" si="166"/>
        <v>40000</v>
      </c>
      <c r="G287" s="1004">
        <f>SUM(E287:F287)</f>
        <v>80000</v>
      </c>
      <c r="H287" s="999">
        <f>I279-G287</f>
        <v>1037174</v>
      </c>
      <c r="I287" s="745"/>
      <c r="J287" s="745"/>
      <c r="K287" s="745"/>
      <c r="L287" s="745"/>
      <c r="M287" s="745"/>
      <c r="N287" s="745"/>
      <c r="O287" s="745"/>
      <c r="P287" s="745"/>
      <c r="Q287" s="745"/>
      <c r="R287" s="746"/>
    </row>
    <row r="288" spans="1:29" x14ac:dyDescent="0.25">
      <c r="A288" s="761"/>
      <c r="B288" s="996"/>
      <c r="C288" s="426" t="s">
        <v>49</v>
      </c>
      <c r="D288" s="996"/>
      <c r="E288" s="1005">
        <f>SUM(E285:E287)</f>
        <v>160000</v>
      </c>
      <c r="F288" s="1005">
        <f>SUM(F285:F287)</f>
        <v>160000</v>
      </c>
      <c r="G288" s="1000">
        <f>SUM(E288:F288)</f>
        <v>320000</v>
      </c>
      <c r="H288" s="1001">
        <f>I280-G288</f>
        <v>3914348</v>
      </c>
      <c r="I288" s="745"/>
      <c r="J288" s="745"/>
      <c r="K288" s="745"/>
      <c r="L288" s="745"/>
      <c r="M288" s="745"/>
      <c r="N288" s="745"/>
      <c r="O288" s="745"/>
      <c r="P288" s="745"/>
      <c r="Q288" s="745"/>
      <c r="R288" s="746"/>
    </row>
    <row r="289" spans="1:18" x14ac:dyDescent="0.25">
      <c r="A289" s="757"/>
      <c r="B289" s="745"/>
      <c r="C289" s="745"/>
      <c r="D289" s="745"/>
      <c r="E289" s="745"/>
      <c r="F289" s="745"/>
      <c r="G289" s="745"/>
      <c r="H289" s="745"/>
      <c r="I289" s="745"/>
      <c r="J289" s="745"/>
      <c r="K289" s="745"/>
      <c r="L289" s="745"/>
      <c r="M289" s="745"/>
      <c r="N289" s="745"/>
      <c r="O289" s="745"/>
      <c r="P289" s="745"/>
      <c r="Q289" s="745"/>
      <c r="R289" s="746"/>
    </row>
    <row r="290" spans="1:18" x14ac:dyDescent="0.25">
      <c r="A290" s="757"/>
      <c r="B290" s="745"/>
      <c r="C290" s="745"/>
      <c r="D290" s="745"/>
      <c r="E290" s="745"/>
      <c r="F290" s="745"/>
      <c r="G290" s="745"/>
      <c r="H290" s="745"/>
      <c r="I290" s="745"/>
      <c r="J290" s="745"/>
      <c r="K290" s="745"/>
      <c r="L290" s="745"/>
      <c r="M290" s="745"/>
      <c r="N290" s="745"/>
      <c r="O290" s="745"/>
      <c r="P290" s="745"/>
      <c r="Q290" s="745"/>
      <c r="R290" s="746"/>
    </row>
    <row r="291" spans="1:18" ht="18.75" x14ac:dyDescent="0.25">
      <c r="A291" s="1718" t="s">
        <v>55</v>
      </c>
      <c r="B291" s="1719"/>
      <c r="C291" s="1719"/>
      <c r="D291" s="1719"/>
      <c r="E291" s="1719"/>
      <c r="F291" s="1719"/>
      <c r="G291" s="1719"/>
      <c r="H291" s="1719"/>
      <c r="I291" s="1719"/>
      <c r="J291" s="1719"/>
      <c r="K291" s="1719"/>
      <c r="L291" s="1719"/>
      <c r="M291" s="1719"/>
      <c r="N291" s="1719"/>
      <c r="O291" s="1719"/>
      <c r="P291" s="1719"/>
      <c r="Q291" s="1719"/>
      <c r="R291" s="1720"/>
    </row>
    <row r="292" spans="1:18" ht="60" x14ac:dyDescent="0.25">
      <c r="A292" s="993" t="s">
        <v>35</v>
      </c>
      <c r="B292" s="221" t="s">
        <v>36</v>
      </c>
      <c r="C292" s="221" t="s">
        <v>37</v>
      </c>
      <c r="D292" s="25" t="s">
        <v>56</v>
      </c>
      <c r="E292" s="25" t="s">
        <v>57</v>
      </c>
      <c r="F292" s="25" t="s">
        <v>58</v>
      </c>
      <c r="G292" s="25" t="s">
        <v>59</v>
      </c>
      <c r="H292" s="25" t="s">
        <v>60</v>
      </c>
      <c r="I292" s="25" t="s">
        <v>61</v>
      </c>
      <c r="J292" s="25" t="s">
        <v>62</v>
      </c>
      <c r="K292" s="25" t="s">
        <v>63</v>
      </c>
      <c r="L292" s="25" t="s">
        <v>64</v>
      </c>
      <c r="M292" s="25" t="s">
        <v>65</v>
      </c>
      <c r="N292" s="25" t="s">
        <v>66</v>
      </c>
      <c r="O292" s="25" t="s">
        <v>67</v>
      </c>
      <c r="P292" s="25" t="s">
        <v>68</v>
      </c>
      <c r="Q292" s="25" t="s">
        <v>69</v>
      </c>
      <c r="R292" s="423" t="s">
        <v>70</v>
      </c>
    </row>
    <row r="293" spans="1:18" x14ac:dyDescent="0.25">
      <c r="A293" s="995">
        <v>1</v>
      </c>
      <c r="B293" s="996" t="s">
        <v>44</v>
      </c>
      <c r="C293" s="996" t="s">
        <v>72</v>
      </c>
      <c r="D293" s="1006">
        <f>(I277-H277)*8.5%</f>
        <v>170000.00000000003</v>
      </c>
      <c r="E293" s="997">
        <f>(I277-H277)*12%</f>
        <v>240000.00000000003</v>
      </c>
      <c r="F293" s="997">
        <f>(I277-H277)*0.522%</f>
        <v>10440</v>
      </c>
      <c r="G293" s="997">
        <f>(I277-H277)*3%</f>
        <v>60000.000000000007</v>
      </c>
      <c r="H293" s="997">
        <f>(I277-H277)*2%</f>
        <v>40000.000000000007</v>
      </c>
      <c r="I293" s="997">
        <f>(I277-H277)*4%</f>
        <v>80000.000000000015</v>
      </c>
      <c r="J293" s="999">
        <f>I277*8.33%</f>
        <v>166600.00000000003</v>
      </c>
      <c r="K293" s="1004">
        <f>I277*1%</f>
        <v>20000.000000000004</v>
      </c>
      <c r="L293" s="997">
        <f>I277*8.33%</f>
        <v>166600.00000000003</v>
      </c>
      <c r="M293" s="997">
        <f>(I277-H277)*4.17%</f>
        <v>83400.000000000015</v>
      </c>
      <c r="N293" s="997">
        <f>(I277+D293+E293+F293+G293+H293+I293+J293+K293+L293+M293)</f>
        <v>3037040.0000000005</v>
      </c>
      <c r="O293" s="997">
        <f>N293/30</f>
        <v>101234.66666666669</v>
      </c>
      <c r="P293" s="997">
        <f>O293/8</f>
        <v>12654.333333333336</v>
      </c>
      <c r="Q293" s="1007">
        <f>+P293/60</f>
        <v>210.90555555555559</v>
      </c>
      <c r="R293" s="1008">
        <f>+Q293/60</f>
        <v>3.5150925925925933</v>
      </c>
    </row>
    <row r="294" spans="1:18" x14ac:dyDescent="0.25">
      <c r="A294" s="995">
        <v>2</v>
      </c>
      <c r="B294" s="996" t="s">
        <v>45</v>
      </c>
      <c r="C294" s="996" t="s">
        <v>46</v>
      </c>
      <c r="D294" s="1006">
        <f t="shared" ref="D294:D295" si="167">(I278-H278)*8.5%</f>
        <v>85000</v>
      </c>
      <c r="E294" s="997">
        <f t="shared" ref="E294:E295" si="168">(I278-H278)*12%</f>
        <v>120000</v>
      </c>
      <c r="F294" s="997">
        <f>(I278-H278)*0.522%</f>
        <v>5220</v>
      </c>
      <c r="G294" s="997">
        <f t="shared" ref="G294:G295" si="169">(I278-H278)*3%</f>
        <v>30000</v>
      </c>
      <c r="H294" s="997">
        <f t="shared" ref="H294:H295" si="170">(I278-H278)*2%</f>
        <v>20000</v>
      </c>
      <c r="I294" s="997">
        <f t="shared" ref="I294:I295" si="171">(I278-H278)*4%</f>
        <v>40000</v>
      </c>
      <c r="J294" s="999">
        <f>I278*8.33%</f>
        <v>93060.594199999992</v>
      </c>
      <c r="K294" s="1004">
        <f>I278*1%</f>
        <v>11171.74</v>
      </c>
      <c r="L294" s="997">
        <f>I278*8.33%</f>
        <v>93060.594199999992</v>
      </c>
      <c r="M294" s="997">
        <f>(I278-H278)*4.17%</f>
        <v>41700</v>
      </c>
      <c r="N294" s="997">
        <f>(I278+D294+E294+F294+G294+H294+I294+J294+K294+L294+M294)</f>
        <v>1656386.9283999999</v>
      </c>
      <c r="O294" s="997">
        <f t="shared" ref="O294:O295" si="172">N294/30</f>
        <v>55212.897613333327</v>
      </c>
      <c r="P294" s="997">
        <f t="shared" ref="P294:P295" si="173">O294/8</f>
        <v>6901.6122016666659</v>
      </c>
      <c r="Q294" s="1007">
        <f t="shared" ref="Q294:Q295" si="174">+P294/60</f>
        <v>115.02687002777776</v>
      </c>
      <c r="R294" s="1008">
        <f t="shared" ref="R294:R295" si="175">+Q294/60</f>
        <v>1.9171145004629626</v>
      </c>
    </row>
    <row r="295" spans="1:18" x14ac:dyDescent="0.25">
      <c r="A295" s="995">
        <v>3</v>
      </c>
      <c r="B295" s="996" t="s">
        <v>47</v>
      </c>
      <c r="C295" s="996" t="s">
        <v>48</v>
      </c>
      <c r="D295" s="1006">
        <f t="shared" si="167"/>
        <v>85000</v>
      </c>
      <c r="E295" s="997">
        <f t="shared" si="168"/>
        <v>120000</v>
      </c>
      <c r="F295" s="997">
        <f>(I279-H279)*0.522%</f>
        <v>5220</v>
      </c>
      <c r="G295" s="997">
        <f t="shared" si="169"/>
        <v>30000</v>
      </c>
      <c r="H295" s="997">
        <f t="shared" si="170"/>
        <v>20000</v>
      </c>
      <c r="I295" s="997">
        <f t="shared" si="171"/>
        <v>40000</v>
      </c>
      <c r="J295" s="999">
        <f>I279*8.33%</f>
        <v>93060.594199999992</v>
      </c>
      <c r="K295" s="1004">
        <f>I279*1%</f>
        <v>11171.74</v>
      </c>
      <c r="L295" s="997">
        <f>I279*8.33%</f>
        <v>93060.594199999992</v>
      </c>
      <c r="M295" s="997">
        <f>(I279-H279)*4.17%</f>
        <v>41700</v>
      </c>
      <c r="N295" s="997">
        <f>(I279+D295+E295+F295+G295+H295+I295+J295+K295+L295+M295)</f>
        <v>1656386.9283999999</v>
      </c>
      <c r="O295" s="997">
        <f t="shared" si="172"/>
        <v>55212.897613333327</v>
      </c>
      <c r="P295" s="997">
        <f t="shared" si="173"/>
        <v>6901.6122016666659</v>
      </c>
      <c r="Q295" s="1007">
        <f t="shared" si="174"/>
        <v>115.02687002777776</v>
      </c>
      <c r="R295" s="1008">
        <f t="shared" si="175"/>
        <v>1.9171145004629626</v>
      </c>
    </row>
    <row r="296" spans="1:18" ht="15.75" thickBot="1" x14ac:dyDescent="0.3">
      <c r="A296" s="1009"/>
      <c r="B296" s="1010"/>
      <c r="C296" s="1011" t="s">
        <v>49</v>
      </c>
      <c r="D296" s="1012">
        <f t="shared" ref="D296:M296" si="176">SUM(D293:D295)</f>
        <v>340000</v>
      </c>
      <c r="E296" s="1012">
        <f t="shared" si="176"/>
        <v>480000</v>
      </c>
      <c r="F296" s="1012">
        <f t="shared" si="176"/>
        <v>20880</v>
      </c>
      <c r="G296" s="1012">
        <f t="shared" si="176"/>
        <v>120000</v>
      </c>
      <c r="H296" s="1012">
        <f t="shared" si="176"/>
        <v>80000</v>
      </c>
      <c r="I296" s="1012">
        <f t="shared" si="176"/>
        <v>160000</v>
      </c>
      <c r="J296" s="1012">
        <f t="shared" si="176"/>
        <v>352721.18839999998</v>
      </c>
      <c r="K296" s="1012">
        <f t="shared" si="176"/>
        <v>42343.48</v>
      </c>
      <c r="L296" s="1013">
        <f t="shared" si="176"/>
        <v>352721.18839999998</v>
      </c>
      <c r="M296" s="1013">
        <f t="shared" si="176"/>
        <v>166800</v>
      </c>
      <c r="N296" s="1013">
        <f>SUM(N293:N295)</f>
        <v>6349813.8568000002</v>
      </c>
      <c r="O296" s="1013">
        <f t="shared" ref="O296:R296" si="177">SUM(O293:O295)</f>
        <v>211660.46189333335</v>
      </c>
      <c r="P296" s="1013">
        <f t="shared" si="177"/>
        <v>26457.557736666669</v>
      </c>
      <c r="Q296" s="1014">
        <f t="shared" si="177"/>
        <v>440.95929561111114</v>
      </c>
      <c r="R296" s="1015">
        <f t="shared" si="177"/>
        <v>7.3493215935185185</v>
      </c>
    </row>
    <row r="297" spans="1:18" s="37" customFormat="1" x14ac:dyDescent="0.25"/>
    <row r="298" spans="1:18" s="37" customFormat="1" x14ac:dyDescent="0.25"/>
    <row r="299" spans="1:18" s="37" customFormat="1" x14ac:dyDescent="0.25"/>
    <row r="300" spans="1:18" s="37" customFormat="1" hidden="1" x14ac:dyDescent="0.25"/>
    <row r="301" spans="1:18" s="37" customFormat="1" hidden="1" x14ac:dyDescent="0.25"/>
    <row r="302" spans="1:18" s="37" customFormat="1" hidden="1" x14ac:dyDescent="0.25"/>
    <row r="303" spans="1:18" s="37" customFormat="1" hidden="1" x14ac:dyDescent="0.25"/>
    <row r="304" spans="1:18" s="37" customFormat="1" hidden="1" x14ac:dyDescent="0.25"/>
    <row r="305" s="37" customFormat="1" hidden="1" x14ac:dyDescent="0.25"/>
    <row r="306" s="37" customFormat="1" hidden="1" x14ac:dyDescent="0.25"/>
    <row r="307" s="37" customFormat="1" hidden="1" x14ac:dyDescent="0.25"/>
    <row r="308" s="37" customFormat="1" hidden="1" x14ac:dyDescent="0.25"/>
    <row r="309" s="37" customFormat="1" hidden="1" x14ac:dyDescent="0.25"/>
    <row r="310" s="37" customFormat="1" hidden="1" x14ac:dyDescent="0.25"/>
    <row r="311" s="37" customFormat="1" hidden="1" x14ac:dyDescent="0.25"/>
    <row r="312" s="37" customFormat="1" hidden="1" x14ac:dyDescent="0.25"/>
    <row r="313" s="37" customFormat="1" hidden="1" x14ac:dyDescent="0.25"/>
    <row r="314" s="37" customFormat="1" hidden="1" x14ac:dyDescent="0.25"/>
    <row r="315" s="37" customFormat="1" hidden="1" x14ac:dyDescent="0.25"/>
    <row r="316" s="37" customFormat="1" hidden="1" x14ac:dyDescent="0.25"/>
    <row r="317" s="37" customFormat="1" hidden="1" x14ac:dyDescent="0.25"/>
    <row r="318" s="37" customFormat="1" hidden="1" x14ac:dyDescent="0.25"/>
    <row r="319" s="37" customFormat="1" hidden="1" x14ac:dyDescent="0.25"/>
    <row r="320" s="37" customFormat="1" hidden="1" x14ac:dyDescent="0.25"/>
    <row r="321" s="37" customFormat="1" hidden="1" x14ac:dyDescent="0.25"/>
    <row r="322" s="37" customFormat="1" hidden="1" x14ac:dyDescent="0.25"/>
    <row r="323" s="37" customFormat="1" hidden="1" x14ac:dyDescent="0.25"/>
    <row r="324" s="37" customFormat="1" hidden="1" x14ac:dyDescent="0.25"/>
    <row r="325" s="37" customFormat="1" hidden="1" x14ac:dyDescent="0.25"/>
    <row r="326" s="37" customFormat="1" hidden="1" x14ac:dyDescent="0.25"/>
    <row r="327" s="37" customFormat="1" hidden="1" x14ac:dyDescent="0.25"/>
    <row r="328" s="37" customFormat="1" hidden="1" x14ac:dyDescent="0.25"/>
    <row r="329" s="37" customFormat="1" hidden="1" x14ac:dyDescent="0.25"/>
    <row r="330" s="37" customFormat="1" hidden="1" x14ac:dyDescent="0.25"/>
    <row r="331" s="37" customFormat="1" hidden="1" x14ac:dyDescent="0.25"/>
    <row r="332" s="37" customFormat="1" hidden="1" x14ac:dyDescent="0.25"/>
    <row r="333" s="37" customFormat="1" hidden="1" x14ac:dyDescent="0.25"/>
    <row r="334" s="37" customFormat="1" hidden="1" x14ac:dyDescent="0.25"/>
    <row r="335" s="37" customFormat="1" hidden="1" x14ac:dyDescent="0.25"/>
    <row r="336" s="37" customFormat="1" hidden="1" x14ac:dyDescent="0.25"/>
    <row r="337" s="37" customFormat="1" hidden="1" x14ac:dyDescent="0.25"/>
    <row r="338" s="37" customFormat="1" hidden="1" x14ac:dyDescent="0.25"/>
    <row r="339" s="37" customFormat="1" hidden="1" x14ac:dyDescent="0.25"/>
    <row r="340" s="37" customFormat="1" hidden="1" x14ac:dyDescent="0.25"/>
    <row r="341" s="37" customFormat="1" hidden="1" x14ac:dyDescent="0.25"/>
    <row r="342" s="37" customFormat="1" hidden="1" x14ac:dyDescent="0.25"/>
    <row r="343" s="37" customFormat="1" hidden="1" x14ac:dyDescent="0.25"/>
    <row r="344" s="37" customFormat="1" hidden="1" x14ac:dyDescent="0.25"/>
    <row r="345" s="37" customFormat="1" hidden="1" x14ac:dyDescent="0.25"/>
    <row r="346" s="37" customFormat="1" hidden="1" x14ac:dyDescent="0.25"/>
    <row r="347" s="37" customFormat="1" hidden="1" x14ac:dyDescent="0.25"/>
    <row r="348" s="37" customFormat="1" hidden="1" x14ac:dyDescent="0.25"/>
    <row r="349" s="37" customFormat="1" hidden="1" x14ac:dyDescent="0.25"/>
    <row r="350" s="37" customFormat="1" hidden="1" x14ac:dyDescent="0.25"/>
    <row r="351" s="37" customFormat="1" hidden="1" x14ac:dyDescent="0.25"/>
    <row r="352" s="37" customFormat="1" hidden="1" x14ac:dyDescent="0.25"/>
    <row r="353" s="37" customFormat="1" hidden="1" x14ac:dyDescent="0.25"/>
    <row r="354" s="37" customFormat="1" hidden="1" x14ac:dyDescent="0.25"/>
    <row r="355" s="37" customFormat="1" hidden="1" x14ac:dyDescent="0.25"/>
    <row r="356" s="37" customFormat="1" hidden="1" x14ac:dyDescent="0.25"/>
    <row r="357" s="37" customFormat="1" hidden="1" x14ac:dyDescent="0.25"/>
    <row r="358" s="37" customFormat="1" hidden="1" x14ac:dyDescent="0.25"/>
    <row r="359" s="37" customFormat="1" hidden="1" x14ac:dyDescent="0.25"/>
    <row r="360" s="37" customFormat="1" hidden="1" x14ac:dyDescent="0.25"/>
    <row r="361" s="37" customFormat="1" hidden="1" x14ac:dyDescent="0.25"/>
    <row r="362" s="37" customFormat="1" hidden="1" x14ac:dyDescent="0.25"/>
    <row r="363" s="37" customFormat="1" hidden="1" x14ac:dyDescent="0.25"/>
    <row r="364" s="37" customFormat="1" hidden="1" x14ac:dyDescent="0.25"/>
    <row r="365" s="37" customFormat="1" hidden="1" x14ac:dyDescent="0.25"/>
    <row r="366" s="37" customFormat="1" hidden="1" x14ac:dyDescent="0.25"/>
    <row r="367" s="37" customFormat="1" hidden="1" x14ac:dyDescent="0.25"/>
    <row r="368" s="37" customFormat="1" hidden="1" x14ac:dyDescent="0.25"/>
    <row r="369" s="37" customFormat="1" hidden="1" x14ac:dyDescent="0.25"/>
    <row r="370" s="37" customFormat="1" hidden="1" x14ac:dyDescent="0.25"/>
    <row r="371" s="37" customFormat="1" hidden="1" x14ac:dyDescent="0.25"/>
    <row r="372" s="37" customFormat="1" hidden="1" x14ac:dyDescent="0.25"/>
    <row r="373" s="37" customFormat="1" hidden="1" x14ac:dyDescent="0.25"/>
    <row r="374" s="37" customFormat="1" hidden="1" x14ac:dyDescent="0.25"/>
    <row r="375" s="37" customFormat="1" hidden="1" x14ac:dyDescent="0.25"/>
    <row r="376" s="37" customFormat="1" hidden="1" x14ac:dyDescent="0.25"/>
    <row r="377" s="37" customFormat="1" hidden="1" x14ac:dyDescent="0.25"/>
    <row r="378" s="37" customFormat="1" hidden="1" x14ac:dyDescent="0.25"/>
    <row r="379" s="37" customFormat="1" hidden="1" x14ac:dyDescent="0.25"/>
    <row r="380" s="37" customFormat="1" hidden="1" x14ac:dyDescent="0.25"/>
    <row r="381" s="37" customFormat="1" hidden="1" x14ac:dyDescent="0.25"/>
    <row r="382" s="37" customFormat="1" hidden="1" x14ac:dyDescent="0.25"/>
    <row r="383" s="37" customFormat="1" hidden="1" x14ac:dyDescent="0.25"/>
    <row r="384" s="37" customFormat="1" hidden="1" x14ac:dyDescent="0.25"/>
    <row r="385" s="37" customFormat="1" hidden="1" x14ac:dyDescent="0.25"/>
    <row r="386" s="37" customFormat="1" hidden="1" x14ac:dyDescent="0.25"/>
    <row r="387" s="37" customFormat="1" hidden="1" x14ac:dyDescent="0.25"/>
    <row r="388" s="37" customFormat="1" hidden="1" x14ac:dyDescent="0.25"/>
    <row r="389" s="37" customFormat="1" hidden="1" x14ac:dyDescent="0.25"/>
    <row r="390" s="37" customFormat="1" hidden="1" x14ac:dyDescent="0.25"/>
    <row r="391" s="37" customFormat="1" hidden="1" x14ac:dyDescent="0.25"/>
    <row r="392" s="37" customFormat="1" hidden="1" x14ac:dyDescent="0.25"/>
    <row r="393" s="37" customFormat="1" hidden="1" x14ac:dyDescent="0.25"/>
    <row r="394" s="37" customFormat="1" hidden="1" x14ac:dyDescent="0.25"/>
    <row r="395" s="37" customFormat="1" hidden="1" x14ac:dyDescent="0.25"/>
    <row r="396" s="37" customFormat="1" hidden="1" x14ac:dyDescent="0.25"/>
    <row r="397" s="37" customFormat="1" hidden="1" x14ac:dyDescent="0.25"/>
    <row r="398" s="37" customFormat="1" hidden="1" x14ac:dyDescent="0.25"/>
    <row r="399" s="37" customFormat="1" hidden="1" x14ac:dyDescent="0.25"/>
    <row r="400" s="37" customFormat="1" hidden="1" x14ac:dyDescent="0.25"/>
    <row r="401" s="37" customFormat="1" hidden="1" x14ac:dyDescent="0.25"/>
    <row r="402" s="37" customFormat="1" hidden="1" x14ac:dyDescent="0.25"/>
    <row r="403" s="37" customFormat="1" hidden="1" x14ac:dyDescent="0.25"/>
    <row r="404" s="37" customFormat="1" hidden="1" x14ac:dyDescent="0.25"/>
    <row r="405" s="37" customFormat="1" hidden="1" x14ac:dyDescent="0.25"/>
    <row r="406" s="37" customFormat="1" hidden="1" x14ac:dyDescent="0.25"/>
    <row r="407" s="37" customFormat="1" hidden="1" x14ac:dyDescent="0.25"/>
    <row r="408" s="37" customFormat="1" hidden="1" x14ac:dyDescent="0.25"/>
    <row r="409" s="37" customFormat="1" hidden="1" x14ac:dyDescent="0.25"/>
    <row r="410" s="37" customFormat="1" hidden="1" x14ac:dyDescent="0.25"/>
    <row r="411" s="37" customFormat="1" hidden="1" x14ac:dyDescent="0.25"/>
    <row r="412" s="37" customFormat="1" hidden="1" x14ac:dyDescent="0.25"/>
    <row r="413" s="37" customFormat="1" hidden="1" x14ac:dyDescent="0.25"/>
    <row r="414" s="37" customFormat="1" hidden="1" x14ac:dyDescent="0.25"/>
    <row r="415" s="37" customFormat="1" hidden="1" x14ac:dyDescent="0.25"/>
    <row r="416" s="37" customFormat="1" hidden="1" x14ac:dyDescent="0.25"/>
    <row r="417" s="37" customFormat="1" hidden="1" x14ac:dyDescent="0.25"/>
    <row r="418" s="37" customFormat="1" hidden="1" x14ac:dyDescent="0.25"/>
    <row r="419" s="37" customFormat="1" hidden="1" x14ac:dyDescent="0.25"/>
    <row r="420" s="37" customFormat="1" hidden="1" x14ac:dyDescent="0.25"/>
    <row r="421" s="37" customFormat="1" hidden="1" x14ac:dyDescent="0.25"/>
    <row r="422" s="37" customFormat="1" hidden="1" x14ac:dyDescent="0.25"/>
    <row r="423" s="37" customFormat="1" hidden="1" x14ac:dyDescent="0.25"/>
    <row r="424" s="37" customFormat="1" hidden="1" x14ac:dyDescent="0.25"/>
    <row r="425" s="37" customFormat="1" hidden="1" x14ac:dyDescent="0.25"/>
    <row r="426" s="37" customFormat="1" hidden="1" x14ac:dyDescent="0.25"/>
    <row r="427" s="37" customFormat="1" hidden="1" x14ac:dyDescent="0.25"/>
    <row r="428" s="37" customFormat="1" hidden="1" x14ac:dyDescent="0.25"/>
    <row r="429" s="37" customFormat="1" hidden="1" x14ac:dyDescent="0.25"/>
    <row r="430" s="37" customFormat="1" hidden="1" x14ac:dyDescent="0.25"/>
    <row r="431" s="37" customFormat="1" hidden="1" x14ac:dyDescent="0.25"/>
    <row r="432" s="37" customFormat="1" hidden="1" x14ac:dyDescent="0.25"/>
    <row r="433" s="37" customFormat="1" hidden="1" x14ac:dyDescent="0.25"/>
    <row r="434" s="37" customFormat="1" hidden="1" x14ac:dyDescent="0.25"/>
    <row r="435" s="37" customFormat="1" hidden="1" x14ac:dyDescent="0.25"/>
    <row r="436" s="37" customFormat="1" hidden="1" x14ac:dyDescent="0.25"/>
    <row r="437" s="37" customFormat="1" hidden="1" x14ac:dyDescent="0.25"/>
    <row r="438" s="37" customFormat="1" hidden="1" x14ac:dyDescent="0.25"/>
    <row r="439" s="37" customFormat="1" hidden="1" x14ac:dyDescent="0.25"/>
    <row r="440" s="37" customFormat="1" hidden="1" x14ac:dyDescent="0.25"/>
    <row r="441" s="37" customFormat="1" hidden="1" x14ac:dyDescent="0.25"/>
    <row r="442" s="37" customFormat="1" hidden="1" x14ac:dyDescent="0.25"/>
    <row r="443" s="37" customFormat="1" hidden="1" x14ac:dyDescent="0.25"/>
    <row r="444" s="37" customFormat="1" hidden="1" x14ac:dyDescent="0.25"/>
    <row r="445" s="37" customFormat="1" hidden="1" x14ac:dyDescent="0.25"/>
    <row r="446" s="37" customFormat="1" hidden="1" x14ac:dyDescent="0.25"/>
    <row r="447" s="37" customFormat="1" hidden="1" x14ac:dyDescent="0.25"/>
    <row r="448" s="37" customFormat="1" hidden="1" x14ac:dyDescent="0.25"/>
    <row r="449" s="37" customFormat="1" hidden="1" x14ac:dyDescent="0.25"/>
    <row r="450" s="37" customFormat="1" hidden="1" x14ac:dyDescent="0.25"/>
    <row r="451" s="37" customFormat="1" hidden="1" x14ac:dyDescent="0.25"/>
    <row r="452" s="37" customFormat="1" hidden="1" x14ac:dyDescent="0.25"/>
    <row r="453" s="37" customFormat="1" hidden="1" x14ac:dyDescent="0.25"/>
    <row r="454" s="37" customFormat="1" hidden="1" x14ac:dyDescent="0.25"/>
    <row r="455" s="37" customFormat="1" hidden="1" x14ac:dyDescent="0.25"/>
    <row r="456" s="37" customFormat="1" hidden="1" x14ac:dyDescent="0.25"/>
    <row r="457" s="37" customFormat="1" hidden="1" x14ac:dyDescent="0.25"/>
    <row r="458" s="37" customFormat="1" hidden="1" x14ac:dyDescent="0.25"/>
    <row r="459" s="37" customFormat="1" hidden="1" x14ac:dyDescent="0.25"/>
    <row r="460" s="37" customFormat="1" hidden="1" x14ac:dyDescent="0.25"/>
    <row r="461" s="37" customFormat="1" hidden="1" x14ac:dyDescent="0.25"/>
    <row r="462" s="37" customFormat="1" hidden="1" x14ac:dyDescent="0.25"/>
    <row r="463" s="37" customFormat="1" hidden="1" x14ac:dyDescent="0.25"/>
    <row r="464" s="37" customFormat="1" hidden="1" x14ac:dyDescent="0.25"/>
    <row r="465" s="37" customFormat="1" hidden="1" x14ac:dyDescent="0.25"/>
    <row r="466" s="37" customFormat="1" hidden="1" x14ac:dyDescent="0.25"/>
    <row r="467" s="37" customFormat="1" hidden="1" x14ac:dyDescent="0.25"/>
    <row r="468" s="37" customFormat="1" hidden="1" x14ac:dyDescent="0.25"/>
    <row r="469" s="37" customFormat="1" hidden="1" x14ac:dyDescent="0.25"/>
    <row r="470" s="37" customFormat="1" hidden="1" x14ac:dyDescent="0.25"/>
    <row r="471" s="37" customFormat="1" hidden="1" x14ac:dyDescent="0.25"/>
    <row r="472" s="37" customFormat="1" hidden="1" x14ac:dyDescent="0.25"/>
    <row r="473" s="37" customFormat="1" hidden="1" x14ac:dyDescent="0.25"/>
    <row r="474" s="37" customFormat="1" hidden="1" x14ac:dyDescent="0.25"/>
    <row r="475" s="37" customFormat="1" hidden="1" x14ac:dyDescent="0.25"/>
    <row r="476" s="37" customFormat="1" hidden="1" x14ac:dyDescent="0.25"/>
    <row r="477" s="37" customFormat="1" hidden="1" x14ac:dyDescent="0.25"/>
    <row r="478" s="37" customFormat="1" hidden="1" x14ac:dyDescent="0.25"/>
  </sheetData>
  <mergeCells count="51">
    <mergeCell ref="A11:I11"/>
    <mergeCell ref="A19:H19"/>
    <mergeCell ref="A35:I35"/>
    <mergeCell ref="A43:H43"/>
    <mergeCell ref="A59:I59"/>
    <mergeCell ref="A27:R27"/>
    <mergeCell ref="A51:R51"/>
    <mergeCell ref="A154:R154"/>
    <mergeCell ref="A130:R130"/>
    <mergeCell ref="A171:R171"/>
    <mergeCell ref="A58:R58"/>
    <mergeCell ref="A34:R34"/>
    <mergeCell ref="A67:H67"/>
    <mergeCell ref="A291:R291"/>
    <mergeCell ref="A274:R274"/>
    <mergeCell ref="A251:I251"/>
    <mergeCell ref="A259:H259"/>
    <mergeCell ref="A283:H283"/>
    <mergeCell ref="A275:I275"/>
    <mergeCell ref="A155:I155"/>
    <mergeCell ref="A163:H163"/>
    <mergeCell ref="A243:R243"/>
    <mergeCell ref="A267:R267"/>
    <mergeCell ref="A250:R250"/>
    <mergeCell ref="A178:R178"/>
    <mergeCell ref="A5:R5"/>
    <mergeCell ref="A6:R6"/>
    <mergeCell ref="A131:I131"/>
    <mergeCell ref="A139:H139"/>
    <mergeCell ref="B147:R147"/>
    <mergeCell ref="A83:I83"/>
    <mergeCell ref="A91:H91"/>
    <mergeCell ref="B99:R99"/>
    <mergeCell ref="A107:I107"/>
    <mergeCell ref="A115:H115"/>
    <mergeCell ref="B123:R123"/>
    <mergeCell ref="A106:R106"/>
    <mergeCell ref="A75:R75"/>
    <mergeCell ref="A82:R82"/>
    <mergeCell ref="A7:R7"/>
    <mergeCell ref="A10:R10"/>
    <mergeCell ref="A227:I227"/>
    <mergeCell ref="A235:H235"/>
    <mergeCell ref="A179:I179"/>
    <mergeCell ref="A187:H187"/>
    <mergeCell ref="A203:I203"/>
    <mergeCell ref="A211:H211"/>
    <mergeCell ref="A195:R195"/>
    <mergeCell ref="A202:R202"/>
    <mergeCell ref="A219:R219"/>
    <mergeCell ref="A226:R22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CE37-E19C-4332-A631-CFFDFC7801A8}">
  <sheetPr>
    <tabColor theme="9" tint="-0.249977111117893"/>
  </sheetPr>
  <dimension ref="A1:AU112"/>
  <sheetViews>
    <sheetView topLeftCell="J10" workbookViewId="0">
      <selection activeCell="T29" sqref="T29:U29"/>
    </sheetView>
  </sheetViews>
  <sheetFormatPr baseColWidth="10" defaultColWidth="0" defaultRowHeight="15" zeroHeight="1" x14ac:dyDescent="0.25"/>
  <cols>
    <col min="1" max="1" width="11.42578125" style="37" customWidth="1"/>
    <col min="2" max="2" width="10" style="311" customWidth="1"/>
    <col min="3" max="3" width="10" style="17" customWidth="1"/>
    <col min="4" max="4" width="16.85546875" customWidth="1"/>
    <col min="5" max="5" width="19.42578125" customWidth="1"/>
    <col min="6" max="6" width="6.85546875" style="37" customWidth="1"/>
    <col min="7" max="7" width="20.140625" style="311" customWidth="1"/>
    <col min="8" max="8" width="14.5703125" customWidth="1"/>
    <col min="9" max="9" width="18.28515625" customWidth="1"/>
    <col min="10" max="10" width="16.42578125" customWidth="1"/>
    <col min="11" max="11" width="5.7109375" style="37" customWidth="1"/>
    <col min="12" max="12" width="10.28515625" style="311" customWidth="1"/>
    <col min="13" max="13" width="15" customWidth="1"/>
    <col min="14" max="14" width="15.7109375" customWidth="1"/>
    <col min="15" max="15" width="13.42578125" customWidth="1"/>
    <col min="16" max="16" width="14.42578125" customWidth="1"/>
    <col min="17" max="17" width="14.7109375" customWidth="1"/>
    <col min="18" max="18" width="15" customWidth="1"/>
    <col min="19" max="19" width="16" customWidth="1"/>
    <col min="20" max="20" width="17.140625" customWidth="1"/>
    <col min="21" max="21" width="13.42578125" customWidth="1"/>
    <col min="22" max="22" width="11.42578125" style="37" customWidth="1"/>
    <col min="23" max="41" width="0" style="37" hidden="1"/>
    <col min="48" max="16384" width="11.42578125" hidden="1"/>
  </cols>
  <sheetData>
    <row r="1" spans="1:41" s="37" customFormat="1" x14ac:dyDescent="0.25">
      <c r="B1" s="304"/>
      <c r="C1" s="147"/>
      <c r="G1" s="304"/>
      <c r="L1" s="304"/>
    </row>
    <row r="2" spans="1:41" s="37" customFormat="1" x14ac:dyDescent="0.25">
      <c r="B2" s="304"/>
      <c r="C2" s="147"/>
      <c r="G2" s="304"/>
      <c r="L2" s="304"/>
    </row>
    <row r="3" spans="1:41" s="37" customFormat="1" x14ac:dyDescent="0.25">
      <c r="B3" s="304"/>
      <c r="C3" s="147"/>
      <c r="G3" s="304"/>
      <c r="L3" s="304"/>
    </row>
    <row r="4" spans="1:41" s="37" customFormat="1" x14ac:dyDescent="0.25">
      <c r="B4" s="304"/>
      <c r="C4" s="147"/>
      <c r="G4" s="304"/>
      <c r="L4" s="304"/>
    </row>
    <row r="5" spans="1:41" s="37" customFormat="1" x14ac:dyDescent="0.25">
      <c r="B5" s="304"/>
      <c r="C5" s="147"/>
      <c r="G5" s="304"/>
      <c r="L5" s="304"/>
    </row>
    <row r="6" spans="1:41" s="37" customFormat="1" x14ac:dyDescent="0.25">
      <c r="B6" s="304"/>
      <c r="C6" s="147"/>
      <c r="G6" s="304"/>
      <c r="L6" s="304"/>
    </row>
    <row r="7" spans="1:41" s="920" customFormat="1" ht="21" x14ac:dyDescent="0.35">
      <c r="B7" s="1738" t="s">
        <v>73</v>
      </c>
      <c r="C7" s="1738"/>
      <c r="D7" s="1738"/>
      <c r="E7" s="1738"/>
      <c r="F7" s="1738"/>
      <c r="G7" s="1738"/>
      <c r="H7" s="1738"/>
      <c r="I7" s="1738"/>
      <c r="J7" s="1738"/>
      <c r="K7" s="1738"/>
      <c r="L7" s="1738"/>
      <c r="M7" s="1738"/>
      <c r="N7" s="1738"/>
      <c r="O7" s="1738"/>
      <c r="P7" s="1738"/>
      <c r="Q7" s="1738"/>
      <c r="R7" s="1738"/>
      <c r="S7" s="1738"/>
      <c r="T7" s="1738"/>
      <c r="U7" s="1738"/>
    </row>
    <row r="8" spans="1:41" s="920" customFormat="1" ht="21" x14ac:dyDescent="0.35">
      <c r="B8" s="1738" t="s">
        <v>602</v>
      </c>
      <c r="C8" s="1738"/>
      <c r="D8" s="1738"/>
      <c r="E8" s="1738"/>
      <c r="F8" s="1738"/>
      <c r="G8" s="1738"/>
      <c r="H8" s="1738"/>
      <c r="I8" s="1738"/>
      <c r="J8" s="1738"/>
      <c r="K8" s="1738"/>
      <c r="L8" s="1738"/>
      <c r="M8" s="1738"/>
      <c r="N8" s="1738"/>
      <c r="O8" s="1738"/>
      <c r="P8" s="1738"/>
      <c r="Q8" s="1738"/>
      <c r="R8" s="1738"/>
      <c r="S8" s="1738"/>
      <c r="T8" s="1738"/>
      <c r="U8" s="1738"/>
    </row>
    <row r="9" spans="1:41" s="920" customFormat="1" ht="21" x14ac:dyDescent="0.35">
      <c r="B9" s="1738" t="s">
        <v>603</v>
      </c>
      <c r="C9" s="1738"/>
      <c r="D9" s="1738"/>
      <c r="E9" s="1738"/>
      <c r="F9" s="1738"/>
      <c r="G9" s="1738"/>
      <c r="H9" s="1738"/>
      <c r="I9" s="1738"/>
      <c r="J9" s="1738"/>
      <c r="K9" s="1738"/>
      <c r="L9" s="1738"/>
      <c r="M9" s="1738"/>
      <c r="N9" s="1738"/>
      <c r="O9" s="1738"/>
      <c r="P9" s="1738"/>
      <c r="Q9" s="1738"/>
      <c r="R9" s="1738"/>
      <c r="S9" s="1738"/>
      <c r="T9" s="1738"/>
      <c r="U9" s="1738"/>
    </row>
    <row r="10" spans="1:41" s="37" customFormat="1" x14ac:dyDescent="0.25">
      <c r="B10" s="304"/>
      <c r="C10" s="147"/>
      <c r="G10" s="304"/>
      <c r="L10" s="304"/>
    </row>
    <row r="11" spans="1:41" s="37" customFormat="1" x14ac:dyDescent="0.25">
      <c r="B11" s="304"/>
      <c r="C11" s="147"/>
      <c r="G11" s="304"/>
      <c r="L11" s="304"/>
    </row>
    <row r="12" spans="1:41" s="37" customFormat="1" x14ac:dyDescent="0.25">
      <c r="B12" s="304"/>
      <c r="C12" s="147"/>
      <c r="G12" s="304"/>
      <c r="L12" s="304"/>
    </row>
    <row r="13" spans="1:41" s="37" customFormat="1" x14ac:dyDescent="0.25">
      <c r="B13" s="304"/>
      <c r="C13" s="147"/>
      <c r="G13" s="304"/>
      <c r="L13" s="304"/>
    </row>
    <row r="14" spans="1:41" ht="19.5" customHeight="1" x14ac:dyDescent="0.25">
      <c r="B14" s="1744" t="s">
        <v>449</v>
      </c>
      <c r="C14" s="1744"/>
      <c r="D14" s="1744"/>
      <c r="E14" s="1744"/>
      <c r="G14" s="1744" t="s">
        <v>254</v>
      </c>
      <c r="H14" s="1744"/>
      <c r="I14" s="1744"/>
      <c r="J14" s="1744"/>
      <c r="L14" s="1743" t="s">
        <v>248</v>
      </c>
      <c r="M14" s="1743"/>
      <c r="N14" s="1743"/>
      <c r="O14" s="1743"/>
      <c r="P14" s="1743"/>
      <c r="Q14" s="1743"/>
      <c r="R14" s="1743"/>
      <c r="S14" s="1743"/>
      <c r="T14" s="1743"/>
      <c r="U14" s="1743"/>
    </row>
    <row r="15" spans="1:41" s="22" customFormat="1" ht="45" x14ac:dyDescent="0.25">
      <c r="A15" s="34"/>
      <c r="B15" s="913" t="s">
        <v>247</v>
      </c>
      <c r="C15" s="23" t="s">
        <v>245</v>
      </c>
      <c r="D15" s="23" t="s">
        <v>450</v>
      </c>
      <c r="E15" s="23" t="s">
        <v>313</v>
      </c>
      <c r="F15" s="34"/>
      <c r="G15" s="913" t="s">
        <v>246</v>
      </c>
      <c r="H15" s="23" t="s">
        <v>44</v>
      </c>
      <c r="I15" s="23" t="s">
        <v>45</v>
      </c>
      <c r="J15" s="23" t="s">
        <v>47</v>
      </c>
      <c r="K15" s="34"/>
      <c r="L15" s="913" t="s">
        <v>333</v>
      </c>
      <c r="M15" s="23" t="s">
        <v>91</v>
      </c>
      <c r="N15" s="23" t="s">
        <v>122</v>
      </c>
      <c r="O15" s="23" t="s">
        <v>92</v>
      </c>
      <c r="P15" s="23" t="s">
        <v>190</v>
      </c>
      <c r="Q15" s="24" t="s">
        <v>163</v>
      </c>
      <c r="R15" s="23" t="s">
        <v>191</v>
      </c>
      <c r="S15" s="24" t="s">
        <v>213</v>
      </c>
      <c r="T15" s="24" t="s">
        <v>214</v>
      </c>
      <c r="U15" s="24" t="s">
        <v>194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41" x14ac:dyDescent="0.25">
      <c r="B16" s="914">
        <v>44348</v>
      </c>
      <c r="C16" s="5">
        <v>30</v>
      </c>
      <c r="D16" s="21">
        <f>+'COMPRA DE MP ANUAL'!C41</f>
        <v>3889866.6666666665</v>
      </c>
      <c r="E16" s="21">
        <f>+C16*D16</f>
        <v>116696000</v>
      </c>
      <c r="G16" s="914">
        <v>44348</v>
      </c>
      <c r="H16" s="15">
        <f>+'NOMINA ANUAL'!N29</f>
        <v>3037040.0000000005</v>
      </c>
      <c r="I16" s="15">
        <f>+'NOMINA ANUAL'!N30</f>
        <v>1656386.9283999999</v>
      </c>
      <c r="J16" s="15">
        <f>+'NOMINA ANUAL'!N31</f>
        <v>1656386.9283999999</v>
      </c>
      <c r="L16" s="914">
        <v>44348</v>
      </c>
      <c r="M16" s="4">
        <f>+CIF!C29</f>
        <v>459890</v>
      </c>
      <c r="N16" s="4">
        <f>+CIF!C30</f>
        <v>585000</v>
      </c>
      <c r="O16" s="4">
        <f>+CIF!C31</f>
        <v>69000</v>
      </c>
      <c r="P16" s="4">
        <f>+CIF!C32</f>
        <v>75000</v>
      </c>
      <c r="Q16" s="49">
        <f>+CIF!D37</f>
        <v>15000</v>
      </c>
      <c r="R16" s="4">
        <f>+CIF!D38</f>
        <v>10416.666666666666</v>
      </c>
      <c r="S16" s="4">
        <f>+CIF!D39</f>
        <v>5010000</v>
      </c>
      <c r="T16" s="4">
        <f>+CIF!C40</f>
        <v>400000</v>
      </c>
      <c r="U16" s="4">
        <f>+CIF!D41</f>
        <v>17500</v>
      </c>
    </row>
    <row r="17" spans="1:47" x14ac:dyDescent="0.25">
      <c r="B17" s="914">
        <v>44378</v>
      </c>
      <c r="C17" s="5">
        <v>30</v>
      </c>
      <c r="D17" s="21">
        <f>+'COMPRA DE MP ANUAL'!G41</f>
        <v>3864580.6451612902</v>
      </c>
      <c r="E17" s="21">
        <f t="shared" ref="E17:E27" si="0">+C17*D17</f>
        <v>115937419.3548387</v>
      </c>
      <c r="G17" s="914">
        <v>44378</v>
      </c>
      <c r="H17" s="15">
        <f>+'NOMINA ANUAL'!N53</f>
        <v>3037040.0000000005</v>
      </c>
      <c r="I17" s="15">
        <f>+'NOMINA ANUAL'!N54</f>
        <v>1656386.9283999999</v>
      </c>
      <c r="J17" s="15">
        <f>+'NOMINA ANUAL'!N55</f>
        <v>1656386.9283999999</v>
      </c>
      <c r="L17" s="914">
        <v>44378</v>
      </c>
      <c r="M17" s="4">
        <v>487650</v>
      </c>
      <c r="N17" s="4">
        <v>576320</v>
      </c>
      <c r="O17" s="4">
        <f>+$O$16</f>
        <v>69000</v>
      </c>
      <c r="P17" s="4">
        <f>+$P$16</f>
        <v>75000</v>
      </c>
      <c r="Q17" s="101">
        <f>+$Q$16</f>
        <v>15000</v>
      </c>
      <c r="R17" s="4">
        <f>+$R$16</f>
        <v>10416.666666666666</v>
      </c>
      <c r="S17" s="4">
        <f>+$S$16</f>
        <v>5010000</v>
      </c>
      <c r="T17" s="4">
        <f>+$T$16</f>
        <v>400000</v>
      </c>
      <c r="U17" s="4">
        <f>+$U$16</f>
        <v>17500</v>
      </c>
    </row>
    <row r="18" spans="1:47" x14ac:dyDescent="0.25">
      <c r="B18" s="914">
        <v>44409</v>
      </c>
      <c r="C18" s="5">
        <v>30</v>
      </c>
      <c r="D18" s="21">
        <f>+'COMPRA DE MP ANUAL'!K41</f>
        <v>3861133.3333333335</v>
      </c>
      <c r="E18" s="21">
        <f t="shared" si="0"/>
        <v>115834000</v>
      </c>
      <c r="G18" s="914">
        <v>44409</v>
      </c>
      <c r="H18" s="15">
        <f>+$H$16</f>
        <v>3037040.0000000005</v>
      </c>
      <c r="I18" s="15">
        <f>+$I$16</f>
        <v>1656386.9283999999</v>
      </c>
      <c r="J18" s="15">
        <f>+$J$16</f>
        <v>1656386.9283999999</v>
      </c>
      <c r="L18" s="914">
        <v>44409</v>
      </c>
      <c r="M18" s="4">
        <v>467934</v>
      </c>
      <c r="N18" s="4">
        <v>567920</v>
      </c>
      <c r="O18" s="4">
        <f t="shared" ref="O18:O27" si="1">+$O$16</f>
        <v>69000</v>
      </c>
      <c r="P18" s="4">
        <f t="shared" ref="P18:P27" si="2">+$P$16</f>
        <v>75000</v>
      </c>
      <c r="Q18" s="101">
        <f t="shared" ref="Q18:Q22" si="3">+$Q$16</f>
        <v>15000</v>
      </c>
      <c r="R18" s="4">
        <f t="shared" ref="R18:R22" si="4">+$R$16</f>
        <v>10416.666666666666</v>
      </c>
      <c r="S18" s="4">
        <f t="shared" ref="S18:S22" si="5">+$S$16</f>
        <v>5010000</v>
      </c>
      <c r="T18" s="4">
        <f t="shared" ref="T18:T22" si="6">+$T$16</f>
        <v>400000</v>
      </c>
      <c r="U18" s="4">
        <f t="shared" ref="U18:U22" si="7">+$U$16</f>
        <v>17500</v>
      </c>
    </row>
    <row r="19" spans="1:47" x14ac:dyDescent="0.25">
      <c r="B19" s="914">
        <v>44440</v>
      </c>
      <c r="C19" s="5">
        <v>30</v>
      </c>
      <c r="D19" s="21">
        <f>+'COMPRA DE MP ANUAL'!O41</f>
        <v>3878800</v>
      </c>
      <c r="E19" s="21">
        <f t="shared" si="0"/>
        <v>116364000</v>
      </c>
      <c r="G19" s="914">
        <v>44440</v>
      </c>
      <c r="H19" s="15">
        <f t="shared" ref="H19:H27" si="8">+$H$16</f>
        <v>3037040.0000000005</v>
      </c>
      <c r="I19" s="15">
        <f t="shared" ref="I19:I27" si="9">+$I$16</f>
        <v>1656386.9283999999</v>
      </c>
      <c r="J19" s="15">
        <f t="shared" ref="J19:J27" si="10">+$J$16</f>
        <v>1656386.9283999999</v>
      </c>
      <c r="L19" s="914">
        <v>44440</v>
      </c>
      <c r="M19" s="4">
        <v>467908</v>
      </c>
      <c r="N19" s="4">
        <v>587690</v>
      </c>
      <c r="O19" s="4">
        <f t="shared" si="1"/>
        <v>69000</v>
      </c>
      <c r="P19" s="4">
        <f t="shared" si="2"/>
        <v>75000</v>
      </c>
      <c r="Q19" s="101">
        <f t="shared" si="3"/>
        <v>15000</v>
      </c>
      <c r="R19" s="4">
        <f t="shared" si="4"/>
        <v>10416.666666666666</v>
      </c>
      <c r="S19" s="4">
        <f t="shared" si="5"/>
        <v>5010000</v>
      </c>
      <c r="T19" s="4">
        <f t="shared" si="6"/>
        <v>400000</v>
      </c>
      <c r="U19" s="4">
        <f t="shared" si="7"/>
        <v>17500</v>
      </c>
    </row>
    <row r="20" spans="1:47" x14ac:dyDescent="0.25">
      <c r="B20" s="914">
        <v>44470</v>
      </c>
      <c r="C20" s="5">
        <v>30</v>
      </c>
      <c r="D20" s="21">
        <f>+'COMPRA DE MP ANUAL'!S41</f>
        <v>3863933.3333333335</v>
      </c>
      <c r="E20" s="21">
        <f t="shared" si="0"/>
        <v>115918000</v>
      </c>
      <c r="G20" s="914">
        <v>44470</v>
      </c>
      <c r="H20" s="15">
        <f t="shared" si="8"/>
        <v>3037040.0000000005</v>
      </c>
      <c r="I20" s="15">
        <f t="shared" si="9"/>
        <v>1656386.9283999999</v>
      </c>
      <c r="J20" s="15">
        <f t="shared" si="10"/>
        <v>1656386.9283999999</v>
      </c>
      <c r="L20" s="914">
        <v>44470</v>
      </c>
      <c r="M20" s="4">
        <v>443560</v>
      </c>
      <c r="N20" s="4">
        <v>567890</v>
      </c>
      <c r="O20" s="4">
        <f t="shared" si="1"/>
        <v>69000</v>
      </c>
      <c r="P20" s="4">
        <f t="shared" si="2"/>
        <v>75000</v>
      </c>
      <c r="Q20" s="101">
        <f t="shared" si="3"/>
        <v>15000</v>
      </c>
      <c r="R20" s="4">
        <f t="shared" si="4"/>
        <v>10416.666666666666</v>
      </c>
      <c r="S20" s="4">
        <f t="shared" si="5"/>
        <v>5010000</v>
      </c>
      <c r="T20" s="4">
        <f t="shared" si="6"/>
        <v>400000</v>
      </c>
      <c r="U20" s="4">
        <f t="shared" si="7"/>
        <v>17500</v>
      </c>
    </row>
    <row r="21" spans="1:47" x14ac:dyDescent="0.25">
      <c r="B21" s="914">
        <v>44501</v>
      </c>
      <c r="C21" s="5">
        <v>30</v>
      </c>
      <c r="D21" s="21">
        <f>+'COMPRA DE MP ANUAL'!W41</f>
        <v>3886516.1290322579</v>
      </c>
      <c r="E21" s="21">
        <f t="shared" si="0"/>
        <v>116595483.87096775</v>
      </c>
      <c r="G21" s="914">
        <v>44501</v>
      </c>
      <c r="H21" s="15">
        <f t="shared" si="8"/>
        <v>3037040.0000000005</v>
      </c>
      <c r="I21" s="15">
        <f t="shared" si="9"/>
        <v>1656386.9283999999</v>
      </c>
      <c r="J21" s="15">
        <f t="shared" si="10"/>
        <v>1656386.9283999999</v>
      </c>
      <c r="L21" s="914">
        <v>44501</v>
      </c>
      <c r="M21" s="4">
        <v>456907</v>
      </c>
      <c r="N21" s="4">
        <v>534567</v>
      </c>
      <c r="O21" s="4">
        <f t="shared" si="1"/>
        <v>69000</v>
      </c>
      <c r="P21" s="4">
        <f t="shared" si="2"/>
        <v>75000</v>
      </c>
      <c r="Q21" s="101">
        <f t="shared" si="3"/>
        <v>15000</v>
      </c>
      <c r="R21" s="4">
        <f t="shared" si="4"/>
        <v>10416.666666666666</v>
      </c>
      <c r="S21" s="4">
        <f t="shared" si="5"/>
        <v>5010000</v>
      </c>
      <c r="T21" s="4">
        <f t="shared" si="6"/>
        <v>400000</v>
      </c>
      <c r="U21" s="4">
        <f t="shared" si="7"/>
        <v>17500</v>
      </c>
    </row>
    <row r="22" spans="1:47" x14ac:dyDescent="0.25">
      <c r="B22" s="914">
        <v>44531</v>
      </c>
      <c r="C22" s="5">
        <v>30</v>
      </c>
      <c r="D22" s="21">
        <f>+'COMPRA DE MP ANUAL'!AA41</f>
        <v>3849548.3870967743</v>
      </c>
      <c r="E22" s="21">
        <f t="shared" si="0"/>
        <v>115486451.61290322</v>
      </c>
      <c r="G22" s="914">
        <v>44531</v>
      </c>
      <c r="H22" s="15">
        <f t="shared" si="8"/>
        <v>3037040.0000000005</v>
      </c>
      <c r="I22" s="15">
        <f t="shared" si="9"/>
        <v>1656386.9283999999</v>
      </c>
      <c r="J22" s="15">
        <f t="shared" si="10"/>
        <v>1656386.9283999999</v>
      </c>
      <c r="L22" s="914">
        <v>44531</v>
      </c>
      <c r="M22" s="4">
        <v>476543</v>
      </c>
      <c r="N22" s="4">
        <v>534700</v>
      </c>
      <c r="O22" s="4">
        <f t="shared" si="1"/>
        <v>69000</v>
      </c>
      <c r="P22" s="4">
        <f t="shared" si="2"/>
        <v>75000</v>
      </c>
      <c r="Q22" s="101">
        <f t="shared" si="3"/>
        <v>15000</v>
      </c>
      <c r="R22" s="4">
        <f t="shared" si="4"/>
        <v>10416.666666666666</v>
      </c>
      <c r="S22" s="4">
        <f t="shared" si="5"/>
        <v>5010000</v>
      </c>
      <c r="T22" s="4">
        <f t="shared" si="6"/>
        <v>400000</v>
      </c>
      <c r="U22" s="4">
        <f t="shared" si="7"/>
        <v>17500</v>
      </c>
    </row>
    <row r="23" spans="1:47" ht="20.25" customHeight="1" x14ac:dyDescent="0.25">
      <c r="B23" s="914">
        <v>44562</v>
      </c>
      <c r="C23" s="5">
        <v>30</v>
      </c>
      <c r="D23" s="21">
        <f>+'COMPRA DE MP ANUAL'!AE41</f>
        <v>3838322.5806451612</v>
      </c>
      <c r="E23" s="21">
        <f t="shared" si="0"/>
        <v>115149677.41935484</v>
      </c>
      <c r="G23" s="914">
        <v>44562</v>
      </c>
      <c r="H23" s="15">
        <f t="shared" si="8"/>
        <v>3037040.0000000005</v>
      </c>
      <c r="I23" s="15">
        <f t="shared" si="9"/>
        <v>1656386.9283999999</v>
      </c>
      <c r="J23" s="15">
        <f t="shared" si="10"/>
        <v>1656386.9283999999</v>
      </c>
      <c r="L23" s="914">
        <v>44562</v>
      </c>
      <c r="M23" s="4">
        <v>450200</v>
      </c>
      <c r="N23" s="4">
        <v>540000</v>
      </c>
      <c r="O23" s="4">
        <f t="shared" si="1"/>
        <v>69000</v>
      </c>
      <c r="P23" s="4">
        <f t="shared" si="2"/>
        <v>75000</v>
      </c>
      <c r="Q23" s="4">
        <f>+CIF!L37</f>
        <v>16083.333333333334</v>
      </c>
      <c r="R23" s="4">
        <f>+CIF!L38</f>
        <v>11458.333333333334</v>
      </c>
      <c r="S23" s="4">
        <f>+CIF!L39</f>
        <v>5610000</v>
      </c>
      <c r="T23" s="4">
        <f>+CIF!L40</f>
        <v>425000</v>
      </c>
      <c r="U23" s="4">
        <f>+CIF!L41</f>
        <v>19583.333333333332</v>
      </c>
    </row>
    <row r="24" spans="1:47" x14ac:dyDescent="0.25">
      <c r="B24" s="914">
        <v>44593</v>
      </c>
      <c r="C24" s="5">
        <v>30</v>
      </c>
      <c r="D24" s="21">
        <f>+'COMPRA DE MP ANUAL'!AI41</f>
        <v>3903419.3548387098</v>
      </c>
      <c r="E24" s="21">
        <f t="shared" si="0"/>
        <v>117102580.6451613</v>
      </c>
      <c r="G24" s="914">
        <v>44593</v>
      </c>
      <c r="H24" s="15">
        <f t="shared" si="8"/>
        <v>3037040.0000000005</v>
      </c>
      <c r="I24" s="15">
        <f t="shared" si="9"/>
        <v>1656386.9283999999</v>
      </c>
      <c r="J24" s="15">
        <f t="shared" si="10"/>
        <v>1656386.9283999999</v>
      </c>
      <c r="L24" s="914">
        <v>44593</v>
      </c>
      <c r="M24" s="4">
        <v>435670</v>
      </c>
      <c r="N24" s="4">
        <v>535500</v>
      </c>
      <c r="O24" s="4">
        <f t="shared" si="1"/>
        <v>69000</v>
      </c>
      <c r="P24" s="4">
        <f t="shared" si="2"/>
        <v>75000</v>
      </c>
      <c r="Q24" s="4">
        <f>+$Q$23</f>
        <v>16083.333333333334</v>
      </c>
      <c r="R24" s="4">
        <f>+$R$23</f>
        <v>11458.333333333334</v>
      </c>
      <c r="S24" s="4">
        <f>+$S$23</f>
        <v>5610000</v>
      </c>
      <c r="T24" s="4">
        <f>+$T$23</f>
        <v>425000</v>
      </c>
      <c r="U24" s="4">
        <f>+$U$23</f>
        <v>19583.333333333332</v>
      </c>
    </row>
    <row r="25" spans="1:47" x14ac:dyDescent="0.25">
      <c r="B25" s="914">
        <v>44621</v>
      </c>
      <c r="C25" s="5">
        <v>30</v>
      </c>
      <c r="D25" s="21">
        <f>+'COMPRA DE MP ANUAL'!AM41</f>
        <v>3904133.3333333335</v>
      </c>
      <c r="E25" s="21">
        <f t="shared" si="0"/>
        <v>117124000</v>
      </c>
      <c r="F25" s="911"/>
      <c r="G25" s="914">
        <v>44621</v>
      </c>
      <c r="H25" s="15">
        <f t="shared" si="8"/>
        <v>3037040.0000000005</v>
      </c>
      <c r="I25" s="15">
        <f t="shared" si="9"/>
        <v>1656386.9283999999</v>
      </c>
      <c r="J25" s="15">
        <f t="shared" si="10"/>
        <v>1656386.9283999999</v>
      </c>
      <c r="L25" s="914">
        <v>44621</v>
      </c>
      <c r="M25" s="4">
        <v>467100</v>
      </c>
      <c r="N25" s="4">
        <v>537000</v>
      </c>
      <c r="O25" s="4">
        <f t="shared" si="1"/>
        <v>69000</v>
      </c>
      <c r="P25" s="4">
        <f t="shared" si="2"/>
        <v>75000</v>
      </c>
      <c r="Q25" s="4">
        <f t="shared" ref="Q25:Q27" si="11">+$Q$23</f>
        <v>16083.333333333334</v>
      </c>
      <c r="R25" s="4">
        <f t="shared" ref="R25:R26" si="12">+$R$23</f>
        <v>11458.333333333334</v>
      </c>
      <c r="S25" s="4">
        <f t="shared" ref="S25:S27" si="13">+$S$23</f>
        <v>5610000</v>
      </c>
      <c r="T25" s="4">
        <f t="shared" ref="T25:T27" si="14">+$T$23</f>
        <v>425000</v>
      </c>
      <c r="U25" s="4">
        <f t="shared" ref="U25:U27" si="15">+$U$23</f>
        <v>19583.333333333332</v>
      </c>
    </row>
    <row r="26" spans="1:47" x14ac:dyDescent="0.25">
      <c r="B26" s="914">
        <v>44652</v>
      </c>
      <c r="C26" s="5">
        <v>30</v>
      </c>
      <c r="D26" s="21">
        <f>+'COMPRA DE MP ANUAL'!AQ41</f>
        <v>3871666.6666666665</v>
      </c>
      <c r="E26" s="21">
        <f t="shared" si="0"/>
        <v>116150000</v>
      </c>
      <c r="F26" s="96"/>
      <c r="G26" s="914">
        <v>44652</v>
      </c>
      <c r="H26" s="15">
        <f t="shared" si="8"/>
        <v>3037040.0000000005</v>
      </c>
      <c r="I26" s="15">
        <f t="shared" si="9"/>
        <v>1656386.9283999999</v>
      </c>
      <c r="J26" s="15">
        <f t="shared" si="10"/>
        <v>1656386.9283999999</v>
      </c>
      <c r="L26" s="914">
        <v>44652</v>
      </c>
      <c r="M26" s="4">
        <v>478600</v>
      </c>
      <c r="N26" s="4">
        <v>545320</v>
      </c>
      <c r="O26" s="4">
        <f t="shared" si="1"/>
        <v>69000</v>
      </c>
      <c r="P26" s="4">
        <f t="shared" si="2"/>
        <v>75000</v>
      </c>
      <c r="Q26" s="4">
        <f t="shared" si="11"/>
        <v>16083.333333333334</v>
      </c>
      <c r="R26" s="4">
        <f t="shared" si="12"/>
        <v>11458.333333333334</v>
      </c>
      <c r="S26" s="4">
        <f t="shared" si="13"/>
        <v>5610000</v>
      </c>
      <c r="T26" s="4">
        <f t="shared" si="14"/>
        <v>425000</v>
      </c>
      <c r="U26" s="4">
        <f t="shared" si="15"/>
        <v>19583.333333333332</v>
      </c>
    </row>
    <row r="27" spans="1:47" s="7" customFormat="1" x14ac:dyDescent="0.25">
      <c r="A27" s="35"/>
      <c r="B27" s="917">
        <v>44682</v>
      </c>
      <c r="C27" s="918">
        <v>30</v>
      </c>
      <c r="D27" s="138">
        <f>+'COMPRA DE MP ANUAL'!AU41</f>
        <v>3877096.7741935486</v>
      </c>
      <c r="E27" s="21">
        <f t="shared" si="0"/>
        <v>116312903.22580646</v>
      </c>
      <c r="F27" s="35"/>
      <c r="G27" s="914">
        <v>44682</v>
      </c>
      <c r="H27" s="15">
        <f t="shared" si="8"/>
        <v>3037040.0000000005</v>
      </c>
      <c r="I27" s="15">
        <f t="shared" si="9"/>
        <v>1656386.9283999999</v>
      </c>
      <c r="J27" s="15">
        <f t="shared" si="10"/>
        <v>1656386.9283999999</v>
      </c>
      <c r="K27" s="35"/>
      <c r="L27" s="914">
        <v>44682</v>
      </c>
      <c r="M27" s="4">
        <v>487200</v>
      </c>
      <c r="N27" s="4">
        <v>552320</v>
      </c>
      <c r="O27" s="4">
        <f t="shared" si="1"/>
        <v>69000</v>
      </c>
      <c r="P27" s="4">
        <f t="shared" si="2"/>
        <v>75000</v>
      </c>
      <c r="Q27" s="4">
        <f t="shared" si="11"/>
        <v>16083.333333333334</v>
      </c>
      <c r="R27" s="4">
        <f>+$R$23</f>
        <v>11458.333333333334</v>
      </c>
      <c r="S27" s="4">
        <f t="shared" si="13"/>
        <v>5610000</v>
      </c>
      <c r="T27" s="4">
        <f t="shared" si="14"/>
        <v>425000</v>
      </c>
      <c r="U27" s="4">
        <f t="shared" si="15"/>
        <v>19583.333333333332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</row>
    <row r="28" spans="1:47" x14ac:dyDescent="0.25">
      <c r="B28" s="1499" t="s">
        <v>257</v>
      </c>
      <c r="C28" s="1501"/>
      <c r="D28" s="461">
        <f>+SUM(D16:D27)</f>
        <v>46489017.204301074</v>
      </c>
      <c r="E28" s="461">
        <f>+SUM(E16:E27)</f>
        <v>1394670516.1290324</v>
      </c>
      <c r="G28" s="915" t="s">
        <v>452</v>
      </c>
      <c r="H28" s="916">
        <f>+SUM(H16:H27)</f>
        <v>36444480.000000007</v>
      </c>
      <c r="I28" s="916">
        <f t="shared" ref="I28:J28" si="16">+SUM(I16:I27)</f>
        <v>19876643.140799999</v>
      </c>
      <c r="J28" s="916">
        <f t="shared" si="16"/>
        <v>19876643.140799999</v>
      </c>
      <c r="L28" s="915" t="s">
        <v>49</v>
      </c>
      <c r="M28" s="477">
        <f>+SUM(M16:M27)</f>
        <v>5579162</v>
      </c>
      <c r="N28" s="477">
        <f t="shared" ref="N28:U28" si="17">+SUM(N16:N27)</f>
        <v>6664227</v>
      </c>
      <c r="O28" s="477">
        <f t="shared" si="17"/>
        <v>828000</v>
      </c>
      <c r="P28" s="477">
        <f t="shared" si="17"/>
        <v>900000</v>
      </c>
      <c r="Q28" s="477">
        <f t="shared" si="17"/>
        <v>185416.66666666669</v>
      </c>
      <c r="R28" s="477">
        <f t="shared" ref="R28" si="18">+SUM(R16:R27)</f>
        <v>130208.3333333333</v>
      </c>
      <c r="S28" s="477">
        <f>+SUM(S16:S27)</f>
        <v>63120000</v>
      </c>
      <c r="T28" s="477">
        <f t="shared" si="17"/>
        <v>4925000</v>
      </c>
      <c r="U28" s="477">
        <f t="shared" si="17"/>
        <v>220416.66666666672</v>
      </c>
    </row>
    <row r="29" spans="1:47" x14ac:dyDescent="0.25">
      <c r="B29" s="304"/>
      <c r="C29" s="147"/>
      <c r="D29" s="37"/>
      <c r="E29" s="37"/>
      <c r="G29" s="1582" t="s">
        <v>451</v>
      </c>
      <c r="H29" s="1582"/>
      <c r="I29" s="1745">
        <f>+H28+I28+J28</f>
        <v>76197766.281599998</v>
      </c>
      <c r="J29" s="1582"/>
      <c r="L29" s="1740" t="s">
        <v>634</v>
      </c>
      <c r="M29" s="1741"/>
      <c r="N29" s="1741"/>
      <c r="O29" s="1741"/>
      <c r="P29" s="1741"/>
      <c r="Q29" s="1741"/>
      <c r="R29" s="1741"/>
      <c r="S29" s="1742"/>
      <c r="T29" s="1581">
        <f>+SUM(M28:U28)</f>
        <v>82552430.666666672</v>
      </c>
      <c r="U29" s="1582"/>
    </row>
    <row r="30" spans="1:47" s="37" customFormat="1" x14ac:dyDescent="0.25">
      <c r="B30" s="304"/>
      <c r="C30" s="147"/>
      <c r="G30" s="304"/>
      <c r="L30" s="304"/>
    </row>
    <row r="31" spans="1:47" s="37" customFormat="1" x14ac:dyDescent="0.25">
      <c r="B31" s="304"/>
      <c r="C31" s="147"/>
      <c r="G31" s="304"/>
      <c r="L31" s="304"/>
    </row>
    <row r="32" spans="1:47" hidden="1" x14ac:dyDescent="0.25">
      <c r="B32" s="1502" t="s">
        <v>453</v>
      </c>
      <c r="C32" s="1502"/>
      <c r="D32" s="1502"/>
      <c r="E32" s="37"/>
      <c r="G32" s="304"/>
      <c r="H32" s="37"/>
      <c r="I32" s="37"/>
      <c r="J32" s="37"/>
      <c r="L32" s="304"/>
      <c r="M32" s="37"/>
      <c r="N32" s="37"/>
      <c r="O32" s="37"/>
      <c r="P32" s="37"/>
      <c r="Q32" s="37"/>
      <c r="R32" s="37"/>
      <c r="S32" s="37"/>
      <c r="T32" s="37"/>
      <c r="U32" s="37"/>
      <c r="AP32" s="37"/>
      <c r="AQ32" s="37"/>
      <c r="AR32" s="37"/>
      <c r="AS32" s="37"/>
      <c r="AT32" s="37"/>
      <c r="AU32" s="37"/>
    </row>
    <row r="33" spans="2:47" ht="27" hidden="1" customHeight="1" x14ac:dyDescent="0.25">
      <c r="B33" s="1746" t="str">
        <f>+'GASTOS ANUALES'!B83</f>
        <v>CONCEPTO</v>
      </c>
      <c r="C33" s="1746"/>
      <c r="D33" s="11" t="str">
        <f>+'GASTOS ANUALES'!C83</f>
        <v>VALOR ANUAL</v>
      </c>
      <c r="E33" s="37"/>
      <c r="G33" s="304"/>
      <c r="H33" s="37"/>
      <c r="I33" s="37"/>
      <c r="J33" s="37"/>
      <c r="L33" s="304"/>
      <c r="M33" s="37"/>
      <c r="N33" s="37"/>
      <c r="O33" s="37"/>
      <c r="P33" s="37"/>
      <c r="Q33" s="37"/>
      <c r="R33" s="37"/>
      <c r="S33" s="37"/>
      <c r="T33" s="37"/>
      <c r="U33" s="37"/>
      <c r="AP33" s="37"/>
      <c r="AQ33" s="37"/>
      <c r="AR33" s="37"/>
      <c r="AS33" s="37"/>
      <c r="AT33" s="37"/>
      <c r="AU33" s="37"/>
    </row>
    <row r="34" spans="2:47" hidden="1" x14ac:dyDescent="0.25">
      <c r="B34" s="1737" t="str">
        <f>+'GASTOS ANUALES'!B84</f>
        <v>DOTACIONES</v>
      </c>
      <c r="C34" s="1737"/>
      <c r="D34" s="4">
        <f>+'GASTOS ANUALES'!C84</f>
        <v>2089000</v>
      </c>
      <c r="E34" s="37"/>
      <c r="G34" s="304"/>
      <c r="H34" s="37"/>
      <c r="I34" s="37"/>
      <c r="J34" s="37"/>
      <c r="L34" s="304"/>
      <c r="M34" s="37"/>
      <c r="N34" s="37"/>
      <c r="O34" s="37"/>
      <c r="P34" s="37"/>
      <c r="Q34" s="37"/>
      <c r="R34" s="37"/>
      <c r="S34" s="37"/>
      <c r="T34" s="37"/>
      <c r="U34" s="37"/>
      <c r="AP34" s="37"/>
      <c r="AQ34" s="37"/>
      <c r="AR34" s="37"/>
      <c r="AS34" s="37"/>
      <c r="AT34" s="37"/>
      <c r="AU34" s="37"/>
    </row>
    <row r="35" spans="2:47" hidden="1" x14ac:dyDescent="0.25">
      <c r="B35" s="1737" t="str">
        <f>+'GASTOS ANUALES'!B85</f>
        <v>BOLSAS PLASTICAS</v>
      </c>
      <c r="C35" s="1737"/>
      <c r="D35" s="4">
        <f>+'GASTOS ANUALES'!C85</f>
        <v>4416000</v>
      </c>
      <c r="E35" s="37"/>
      <c r="G35" s="304"/>
      <c r="H35" s="37"/>
      <c r="I35" s="37"/>
      <c r="J35" s="37"/>
      <c r="L35" s="304"/>
      <c r="M35" s="37"/>
      <c r="N35" s="37"/>
      <c r="O35" s="37"/>
      <c r="P35" s="37"/>
      <c r="Q35" s="37"/>
      <c r="R35" s="37"/>
      <c r="S35" s="37"/>
      <c r="T35" s="37"/>
      <c r="U35" s="37"/>
      <c r="AP35" s="37"/>
      <c r="AQ35" s="37"/>
      <c r="AR35" s="37"/>
      <c r="AS35" s="37"/>
      <c r="AT35" s="37"/>
      <c r="AU35" s="37"/>
    </row>
    <row r="36" spans="2:47" hidden="1" x14ac:dyDescent="0.25">
      <c r="B36" s="52" t="str">
        <f>+'GASTOS ANUALES'!B86</f>
        <v>ELEMENTOS DE ASEO</v>
      </c>
      <c r="C36" s="5"/>
      <c r="D36" s="4">
        <f>+'GASTOS ANUALES'!C86</f>
        <v>2870500</v>
      </c>
      <c r="E36" s="37"/>
      <c r="G36" s="304"/>
      <c r="H36" s="37"/>
      <c r="I36" s="37"/>
      <c r="J36" s="37"/>
      <c r="L36" s="304"/>
      <c r="M36" s="37"/>
      <c r="N36" s="37"/>
      <c r="O36" s="37"/>
      <c r="P36" s="37"/>
      <c r="Q36" s="37"/>
      <c r="R36" s="37"/>
      <c r="S36" s="37"/>
      <c r="T36" s="37"/>
      <c r="U36" s="37"/>
      <c r="AP36" s="37"/>
      <c r="AQ36" s="37"/>
      <c r="AR36" s="37"/>
      <c r="AS36" s="37"/>
      <c r="AT36" s="37"/>
      <c r="AU36" s="37"/>
    </row>
    <row r="37" spans="2:47" hidden="1" x14ac:dyDescent="0.25">
      <c r="B37" s="52" t="str">
        <f>+'GASTOS ANUALES'!B87</f>
        <v xml:space="preserve">UTILES DE PAPALERIA </v>
      </c>
      <c r="C37" s="5"/>
      <c r="D37" s="4">
        <f>+'GASTOS ANUALES'!C87</f>
        <v>1292600</v>
      </c>
      <c r="E37" s="37"/>
      <c r="F37" s="912"/>
      <c r="G37" s="304"/>
      <c r="H37" s="37"/>
      <c r="I37" s="37"/>
      <c r="J37" s="37"/>
      <c r="L37" s="304"/>
      <c r="M37" s="37"/>
      <c r="N37" s="37"/>
      <c r="O37" s="37"/>
      <c r="P37" s="37"/>
      <c r="Q37" s="37"/>
      <c r="R37" s="37"/>
      <c r="S37" s="37"/>
      <c r="T37" s="37"/>
      <c r="U37" s="37"/>
      <c r="AP37" s="37"/>
      <c r="AQ37" s="37"/>
      <c r="AR37" s="37"/>
      <c r="AS37" s="37"/>
      <c r="AT37" s="37"/>
      <c r="AU37" s="37"/>
    </row>
    <row r="38" spans="2:47" hidden="1" x14ac:dyDescent="0.25">
      <c r="B38" s="1737" t="str">
        <f>+'GASTOS ANUALES'!B88</f>
        <v xml:space="preserve">PARFISCALES </v>
      </c>
      <c r="C38" s="1737"/>
      <c r="D38" s="4">
        <f>+'GASTOS ANUALES'!C88</f>
        <v>25385590.281600002</v>
      </c>
      <c r="E38" s="37"/>
      <c r="G38" s="304"/>
      <c r="H38" s="37"/>
      <c r="I38" s="37"/>
      <c r="J38" s="37"/>
      <c r="L38" s="304"/>
      <c r="M38" s="37"/>
      <c r="N38" s="37"/>
      <c r="O38" s="37"/>
      <c r="P38" s="37"/>
      <c r="Q38" s="37"/>
      <c r="R38" s="37"/>
      <c r="S38" s="37"/>
      <c r="T38" s="37"/>
      <c r="U38" s="37"/>
      <c r="AP38" s="37"/>
      <c r="AQ38" s="37"/>
      <c r="AR38" s="37"/>
      <c r="AS38" s="37"/>
      <c r="AT38" s="37"/>
      <c r="AU38" s="37"/>
    </row>
    <row r="39" spans="2:47" ht="21" hidden="1" customHeight="1" x14ac:dyDescent="0.25">
      <c r="B39" s="1739" t="str">
        <f>+'GASTOS ANUALES'!B89</f>
        <v>TOTAL</v>
      </c>
      <c r="C39" s="1739"/>
      <c r="D39" s="919">
        <f>+SUM(D34:D38)</f>
        <v>36053690.281599998</v>
      </c>
      <c r="E39" s="37"/>
      <c r="G39" s="304"/>
      <c r="H39" s="37"/>
      <c r="I39" s="37"/>
      <c r="J39" s="37"/>
      <c r="L39" s="304"/>
      <c r="M39" s="37"/>
      <c r="N39" s="37"/>
      <c r="O39" s="37"/>
      <c r="P39" s="37"/>
      <c r="Q39" s="37"/>
      <c r="R39" s="37"/>
      <c r="S39" s="37"/>
      <c r="T39" s="37"/>
      <c r="U39" s="37"/>
      <c r="AP39" s="37"/>
      <c r="AQ39" s="37"/>
      <c r="AR39" s="37"/>
      <c r="AS39" s="37"/>
      <c r="AT39" s="37"/>
      <c r="AU39" s="37"/>
    </row>
    <row r="40" spans="2:47" s="37" customFormat="1" hidden="1" x14ac:dyDescent="0.25">
      <c r="B40" s="304"/>
      <c r="C40" s="147"/>
      <c r="G40" s="304"/>
      <c r="L40" s="304"/>
    </row>
    <row r="41" spans="2:47" s="37" customFormat="1" hidden="1" x14ac:dyDescent="0.25">
      <c r="B41" s="304"/>
      <c r="C41" s="147"/>
      <c r="G41" s="304"/>
      <c r="L41" s="304"/>
    </row>
    <row r="42" spans="2:47" s="37" customFormat="1" hidden="1" x14ac:dyDescent="0.25">
      <c r="B42" s="304"/>
      <c r="C42" s="147"/>
      <c r="G42" s="304"/>
      <c r="L42" s="304"/>
    </row>
    <row r="43" spans="2:47" s="37" customFormat="1" hidden="1" x14ac:dyDescent="0.25">
      <c r="B43" s="304"/>
      <c r="C43" s="147"/>
      <c r="G43" s="304"/>
      <c r="L43" s="304"/>
    </row>
    <row r="44" spans="2:47" s="37" customFormat="1" hidden="1" x14ac:dyDescent="0.25">
      <c r="B44" s="304"/>
      <c r="C44" s="147"/>
      <c r="G44" s="304"/>
      <c r="L44" s="304"/>
    </row>
    <row r="45" spans="2:47" s="37" customFormat="1" hidden="1" x14ac:dyDescent="0.25">
      <c r="B45" s="304"/>
      <c r="C45" s="147"/>
      <c r="G45" s="304"/>
      <c r="L45" s="304"/>
    </row>
    <row r="46" spans="2:47" s="37" customFormat="1" hidden="1" x14ac:dyDescent="0.25">
      <c r="B46" s="304"/>
      <c r="C46" s="147"/>
      <c r="G46" s="304"/>
      <c r="L46" s="304"/>
    </row>
    <row r="47" spans="2:47" s="37" customFormat="1" hidden="1" x14ac:dyDescent="0.25">
      <c r="B47" s="304"/>
      <c r="C47" s="147"/>
      <c r="G47" s="304"/>
      <c r="L47" s="304"/>
    </row>
    <row r="48" spans="2:47" s="37" customFormat="1" hidden="1" x14ac:dyDescent="0.25">
      <c r="B48" s="304"/>
      <c r="C48" s="147"/>
      <c r="G48" s="304"/>
      <c r="L48" s="304"/>
    </row>
    <row r="49" spans="2:12" s="37" customFormat="1" hidden="1" x14ac:dyDescent="0.25">
      <c r="B49" s="304"/>
      <c r="C49" s="147"/>
      <c r="G49" s="304"/>
      <c r="L49" s="304"/>
    </row>
    <row r="50" spans="2:12" s="37" customFormat="1" hidden="1" x14ac:dyDescent="0.25">
      <c r="B50" s="304"/>
      <c r="C50" s="147"/>
      <c r="G50" s="304"/>
      <c r="L50" s="304"/>
    </row>
    <row r="51" spans="2:12" s="37" customFormat="1" hidden="1" x14ac:dyDescent="0.25">
      <c r="B51" s="304"/>
      <c r="C51" s="147"/>
      <c r="G51" s="304"/>
      <c r="L51" s="304"/>
    </row>
    <row r="52" spans="2:12" s="37" customFormat="1" hidden="1" x14ac:dyDescent="0.25">
      <c r="B52" s="304"/>
      <c r="C52" s="147"/>
      <c r="G52" s="304"/>
      <c r="L52" s="304"/>
    </row>
    <row r="53" spans="2:12" s="37" customFormat="1" hidden="1" x14ac:dyDescent="0.25">
      <c r="B53" s="304"/>
      <c r="C53" s="147"/>
      <c r="G53" s="304"/>
      <c r="L53" s="304"/>
    </row>
    <row r="54" spans="2:12" s="37" customFormat="1" hidden="1" x14ac:dyDescent="0.25">
      <c r="B54" s="304"/>
      <c r="C54" s="147"/>
      <c r="G54" s="304"/>
      <c r="L54" s="304"/>
    </row>
    <row r="55" spans="2:12" s="37" customFormat="1" hidden="1" x14ac:dyDescent="0.25">
      <c r="B55" s="304"/>
      <c r="C55" s="147"/>
      <c r="G55" s="304"/>
      <c r="L55" s="304"/>
    </row>
    <row r="56" spans="2:12" s="37" customFormat="1" hidden="1" x14ac:dyDescent="0.25">
      <c r="B56" s="304"/>
      <c r="C56" s="147"/>
      <c r="G56" s="304"/>
      <c r="L56" s="304"/>
    </row>
    <row r="57" spans="2:12" s="37" customFormat="1" hidden="1" x14ac:dyDescent="0.25">
      <c r="B57" s="304"/>
      <c r="C57" s="147"/>
      <c r="G57" s="304"/>
      <c r="L57" s="304"/>
    </row>
    <row r="58" spans="2:12" s="37" customFormat="1" hidden="1" x14ac:dyDescent="0.25">
      <c r="B58" s="304"/>
      <c r="C58" s="147"/>
      <c r="G58" s="304"/>
      <c r="L58" s="304"/>
    </row>
    <row r="59" spans="2:12" s="37" customFormat="1" hidden="1" x14ac:dyDescent="0.25">
      <c r="B59" s="304"/>
      <c r="C59" s="147"/>
      <c r="G59" s="304"/>
      <c r="L59" s="304"/>
    </row>
    <row r="60" spans="2:12" s="37" customFormat="1" hidden="1" x14ac:dyDescent="0.25">
      <c r="B60" s="304"/>
      <c r="C60" s="147"/>
      <c r="G60" s="304"/>
      <c r="L60" s="304"/>
    </row>
    <row r="61" spans="2:12" s="37" customFormat="1" hidden="1" x14ac:dyDescent="0.25">
      <c r="B61" s="304"/>
      <c r="C61" s="147"/>
      <c r="G61" s="304"/>
      <c r="L61" s="304"/>
    </row>
    <row r="62" spans="2:12" s="37" customFormat="1" hidden="1" x14ac:dyDescent="0.25">
      <c r="B62" s="304"/>
      <c r="C62" s="147"/>
      <c r="G62" s="304"/>
      <c r="L62" s="304"/>
    </row>
    <row r="63" spans="2:12" s="37" customFormat="1" hidden="1" x14ac:dyDescent="0.25">
      <c r="B63" s="304"/>
      <c r="C63" s="147"/>
      <c r="G63" s="304"/>
      <c r="L63" s="304"/>
    </row>
    <row r="64" spans="2:12" s="37" customFormat="1" hidden="1" x14ac:dyDescent="0.25">
      <c r="B64" s="304"/>
      <c r="C64" s="147"/>
      <c r="G64" s="304"/>
      <c r="L64" s="304"/>
    </row>
    <row r="65" spans="2:12" s="37" customFormat="1" hidden="1" x14ac:dyDescent="0.25">
      <c r="B65" s="304"/>
      <c r="C65" s="147"/>
      <c r="G65" s="304"/>
      <c r="L65" s="304"/>
    </row>
    <row r="66" spans="2:12" s="37" customFormat="1" hidden="1" x14ac:dyDescent="0.25">
      <c r="B66" s="304"/>
      <c r="C66" s="147"/>
      <c r="G66" s="304"/>
      <c r="L66" s="304"/>
    </row>
    <row r="67" spans="2:12" s="37" customFormat="1" hidden="1" x14ac:dyDescent="0.25">
      <c r="B67" s="304"/>
      <c r="C67" s="147"/>
      <c r="G67" s="304"/>
      <c r="L67" s="304"/>
    </row>
    <row r="68" spans="2:12" s="37" customFormat="1" hidden="1" x14ac:dyDescent="0.25">
      <c r="B68" s="304"/>
      <c r="C68" s="147"/>
      <c r="G68" s="304"/>
      <c r="L68" s="304"/>
    </row>
    <row r="69" spans="2:12" s="37" customFormat="1" hidden="1" x14ac:dyDescent="0.25">
      <c r="B69" s="304"/>
      <c r="C69" s="147"/>
      <c r="G69" s="304"/>
      <c r="L69" s="304"/>
    </row>
    <row r="70" spans="2:12" s="37" customFormat="1" hidden="1" x14ac:dyDescent="0.25">
      <c r="B70" s="304"/>
      <c r="C70" s="147"/>
      <c r="G70" s="304"/>
      <c r="L70" s="304"/>
    </row>
    <row r="71" spans="2:12" s="37" customFormat="1" hidden="1" x14ac:dyDescent="0.25">
      <c r="B71" s="304"/>
      <c r="C71" s="147"/>
      <c r="G71" s="304"/>
      <c r="L71" s="304"/>
    </row>
    <row r="72" spans="2:12" s="37" customFormat="1" hidden="1" x14ac:dyDescent="0.25">
      <c r="B72" s="304"/>
      <c r="C72" s="147"/>
      <c r="G72" s="304"/>
      <c r="L72" s="304"/>
    </row>
    <row r="73" spans="2:12" s="37" customFormat="1" hidden="1" x14ac:dyDescent="0.25">
      <c r="B73" s="304"/>
      <c r="C73" s="147"/>
      <c r="G73" s="304"/>
      <c r="L73" s="304"/>
    </row>
    <row r="74" spans="2:12" s="37" customFormat="1" hidden="1" x14ac:dyDescent="0.25">
      <c r="B74" s="304"/>
      <c r="C74" s="147"/>
      <c r="G74" s="304"/>
      <c r="L74" s="304"/>
    </row>
    <row r="75" spans="2:12" s="37" customFormat="1" hidden="1" x14ac:dyDescent="0.25">
      <c r="B75" s="304"/>
      <c r="C75" s="147"/>
      <c r="G75" s="304"/>
      <c r="L75" s="304"/>
    </row>
    <row r="76" spans="2:12" s="37" customFormat="1" hidden="1" x14ac:dyDescent="0.25">
      <c r="B76" s="304"/>
      <c r="C76" s="147"/>
      <c r="G76" s="304"/>
      <c r="L76" s="304"/>
    </row>
    <row r="77" spans="2:12" s="37" customFormat="1" hidden="1" x14ac:dyDescent="0.25">
      <c r="B77" s="304"/>
      <c r="C77" s="147"/>
      <c r="G77" s="304"/>
      <c r="L77" s="304"/>
    </row>
    <row r="78" spans="2:12" s="37" customFormat="1" hidden="1" x14ac:dyDescent="0.25">
      <c r="B78" s="304"/>
      <c r="C78" s="147"/>
      <c r="G78" s="304"/>
      <c r="L78" s="304"/>
    </row>
    <row r="79" spans="2:12" s="37" customFormat="1" hidden="1" x14ac:dyDescent="0.25">
      <c r="B79" s="304"/>
      <c r="C79" s="147"/>
      <c r="G79" s="304"/>
      <c r="L79" s="304"/>
    </row>
    <row r="80" spans="2:12" s="37" customFormat="1" hidden="1" x14ac:dyDescent="0.25">
      <c r="B80" s="304"/>
      <c r="C80" s="147"/>
      <c r="G80" s="304"/>
      <c r="L80" s="304"/>
    </row>
    <row r="81" spans="2:12" s="37" customFormat="1" hidden="1" x14ac:dyDescent="0.25">
      <c r="B81" s="304"/>
      <c r="C81" s="147"/>
      <c r="G81" s="304"/>
      <c r="L81" s="304"/>
    </row>
    <row r="82" spans="2:12" s="37" customFormat="1" hidden="1" x14ac:dyDescent="0.25">
      <c r="B82" s="304"/>
      <c r="C82" s="147"/>
      <c r="G82" s="304"/>
      <c r="L82" s="304"/>
    </row>
    <row r="83" spans="2:12" s="37" customFormat="1" hidden="1" x14ac:dyDescent="0.25">
      <c r="B83" s="304"/>
      <c r="C83" s="147"/>
      <c r="G83" s="304"/>
      <c r="L83" s="304"/>
    </row>
    <row r="84" spans="2:12" s="37" customFormat="1" hidden="1" x14ac:dyDescent="0.25">
      <c r="B84" s="304"/>
      <c r="C84" s="147"/>
      <c r="G84" s="304"/>
      <c r="L84" s="304"/>
    </row>
    <row r="85" spans="2:12" s="37" customFormat="1" hidden="1" x14ac:dyDescent="0.25">
      <c r="B85" s="304"/>
      <c r="C85" s="147"/>
      <c r="G85" s="304"/>
      <c r="L85" s="304"/>
    </row>
    <row r="86" spans="2:12" s="37" customFormat="1" hidden="1" x14ac:dyDescent="0.25">
      <c r="B86" s="304"/>
      <c r="C86" s="147"/>
      <c r="G86" s="304"/>
      <c r="L86" s="304"/>
    </row>
    <row r="87" spans="2:12" s="37" customFormat="1" hidden="1" x14ac:dyDescent="0.25">
      <c r="B87" s="304"/>
      <c r="C87" s="147"/>
      <c r="G87" s="304"/>
      <c r="L87" s="304"/>
    </row>
    <row r="88" spans="2:12" s="37" customFormat="1" hidden="1" x14ac:dyDescent="0.25">
      <c r="B88" s="304"/>
      <c r="C88" s="147"/>
      <c r="G88" s="304"/>
      <c r="L88" s="304"/>
    </row>
    <row r="89" spans="2:12" s="37" customFormat="1" hidden="1" x14ac:dyDescent="0.25">
      <c r="B89" s="304"/>
      <c r="C89" s="147"/>
      <c r="G89" s="304"/>
      <c r="L89" s="304"/>
    </row>
    <row r="90" spans="2:12" s="37" customFormat="1" hidden="1" x14ac:dyDescent="0.25">
      <c r="B90" s="304"/>
      <c r="C90" s="147"/>
      <c r="G90" s="304"/>
      <c r="L90" s="304"/>
    </row>
    <row r="91" spans="2:12" s="37" customFormat="1" hidden="1" x14ac:dyDescent="0.25">
      <c r="B91" s="304"/>
      <c r="C91" s="147"/>
      <c r="G91" s="304"/>
      <c r="L91" s="304"/>
    </row>
    <row r="92" spans="2:12" s="37" customFormat="1" hidden="1" x14ac:dyDescent="0.25">
      <c r="B92" s="304"/>
      <c r="C92" s="147"/>
      <c r="G92" s="304"/>
      <c r="L92" s="304"/>
    </row>
    <row r="93" spans="2:12" s="37" customFormat="1" hidden="1" x14ac:dyDescent="0.25">
      <c r="B93" s="304"/>
      <c r="C93" s="147"/>
      <c r="G93" s="304"/>
      <c r="L93" s="304"/>
    </row>
    <row r="94" spans="2:12" s="37" customFormat="1" hidden="1" x14ac:dyDescent="0.25">
      <c r="B94" s="304"/>
      <c r="C94" s="147"/>
      <c r="G94" s="304"/>
      <c r="L94" s="304"/>
    </row>
    <row r="95" spans="2:12" s="37" customFormat="1" hidden="1" x14ac:dyDescent="0.25">
      <c r="B95" s="304"/>
      <c r="C95" s="147"/>
      <c r="G95" s="304"/>
      <c r="L95" s="304"/>
    </row>
    <row r="96" spans="2:12" s="37" customFormat="1" hidden="1" x14ac:dyDescent="0.25">
      <c r="B96" s="304"/>
      <c r="C96" s="147"/>
      <c r="G96" s="304"/>
      <c r="L96" s="304"/>
    </row>
    <row r="97" spans="2:12" s="37" customFormat="1" hidden="1" x14ac:dyDescent="0.25">
      <c r="B97" s="304"/>
      <c r="C97" s="147"/>
      <c r="G97" s="304"/>
      <c r="L97" s="304"/>
    </row>
    <row r="98" spans="2:12" s="37" customFormat="1" hidden="1" x14ac:dyDescent="0.25">
      <c r="B98" s="304"/>
      <c r="C98" s="147"/>
      <c r="G98" s="304"/>
      <c r="L98" s="304"/>
    </row>
    <row r="99" spans="2:12" s="37" customFormat="1" hidden="1" x14ac:dyDescent="0.25">
      <c r="B99" s="304"/>
      <c r="C99" s="147"/>
      <c r="G99" s="304"/>
      <c r="L99" s="304"/>
    </row>
    <row r="100" spans="2:12" s="37" customFormat="1" hidden="1" x14ac:dyDescent="0.25">
      <c r="B100" s="304"/>
      <c r="C100" s="147"/>
      <c r="G100" s="304"/>
      <c r="L100" s="304"/>
    </row>
    <row r="101" spans="2:12" s="37" customFormat="1" hidden="1" x14ac:dyDescent="0.25">
      <c r="B101" s="304"/>
      <c r="C101" s="147"/>
      <c r="G101" s="304"/>
      <c r="L101" s="304"/>
    </row>
    <row r="102" spans="2:12" s="37" customFormat="1" hidden="1" x14ac:dyDescent="0.25">
      <c r="B102" s="304"/>
      <c r="C102" s="147"/>
      <c r="G102" s="304"/>
      <c r="L102" s="304"/>
    </row>
    <row r="103" spans="2:12" s="37" customFormat="1" hidden="1" x14ac:dyDescent="0.25">
      <c r="B103" s="304"/>
      <c r="C103" s="147"/>
      <c r="G103" s="304"/>
      <c r="L103" s="304"/>
    </row>
    <row r="104" spans="2:12" s="37" customFormat="1" hidden="1" x14ac:dyDescent="0.25">
      <c r="B104" s="304"/>
      <c r="C104" s="147"/>
      <c r="G104" s="304"/>
      <c r="L104" s="304"/>
    </row>
    <row r="105" spans="2:12" s="37" customFormat="1" hidden="1" x14ac:dyDescent="0.25">
      <c r="B105" s="304"/>
      <c r="C105" s="147"/>
      <c r="G105" s="304"/>
      <c r="L105" s="304"/>
    </row>
    <row r="106" spans="2:12" s="37" customFormat="1" hidden="1" x14ac:dyDescent="0.25">
      <c r="B106" s="304"/>
      <c r="C106" s="147"/>
      <c r="G106" s="304"/>
      <c r="L106" s="304"/>
    </row>
    <row r="107" spans="2:12" s="37" customFormat="1" hidden="1" x14ac:dyDescent="0.25">
      <c r="B107" s="304"/>
      <c r="C107" s="147"/>
      <c r="G107" s="304"/>
      <c r="L107" s="304"/>
    </row>
    <row r="108" spans="2:12" s="37" customFormat="1" hidden="1" x14ac:dyDescent="0.25">
      <c r="B108" s="304"/>
      <c r="C108" s="147"/>
      <c r="G108" s="304"/>
      <c r="L108" s="304"/>
    </row>
    <row r="109" spans="2:12" s="37" customFormat="1" hidden="1" x14ac:dyDescent="0.25">
      <c r="B109" s="304"/>
      <c r="C109" s="147"/>
      <c r="G109" s="304"/>
      <c r="L109" s="304"/>
    </row>
    <row r="110" spans="2:12" s="37" customFormat="1" hidden="1" x14ac:dyDescent="0.25">
      <c r="B110" s="304"/>
      <c r="C110" s="147"/>
      <c r="G110" s="304"/>
      <c r="L110" s="304"/>
    </row>
    <row r="111" spans="2:12" s="37" customFormat="1" hidden="1" x14ac:dyDescent="0.25">
      <c r="B111" s="304"/>
      <c r="C111" s="147"/>
      <c r="G111" s="304"/>
      <c r="L111" s="304"/>
    </row>
    <row r="112" spans="2:12" s="37" customFormat="1" hidden="1" x14ac:dyDescent="0.25">
      <c r="B112" s="304"/>
      <c r="C112" s="147"/>
      <c r="G112" s="304"/>
      <c r="L112" s="304"/>
    </row>
  </sheetData>
  <mergeCells count="17">
    <mergeCell ref="B35:C35"/>
    <mergeCell ref="B38:C38"/>
    <mergeCell ref="B7:U7"/>
    <mergeCell ref="B8:U8"/>
    <mergeCell ref="B9:U9"/>
    <mergeCell ref="B39:C39"/>
    <mergeCell ref="T29:U29"/>
    <mergeCell ref="L29:S29"/>
    <mergeCell ref="L14:U14"/>
    <mergeCell ref="B28:C28"/>
    <mergeCell ref="B14:E14"/>
    <mergeCell ref="G29:H29"/>
    <mergeCell ref="I29:J29"/>
    <mergeCell ref="G14:J14"/>
    <mergeCell ref="B33:C33"/>
    <mergeCell ref="B32:D32"/>
    <mergeCell ref="B34:C3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68C8-D90F-4FFA-845B-9834D06C1D8F}">
  <dimension ref="A1:Y83"/>
  <sheetViews>
    <sheetView tabSelected="1" topLeftCell="B1" zoomScale="83" zoomScaleNormal="100" workbookViewId="0">
      <selection activeCell="H16" sqref="H16"/>
    </sheetView>
  </sheetViews>
  <sheetFormatPr baseColWidth="10" defaultColWidth="0" defaultRowHeight="15" zeroHeight="1" x14ac:dyDescent="0.25"/>
  <cols>
    <col min="1" max="1" width="6.7109375" style="37" customWidth="1"/>
    <col min="2" max="2" width="9.85546875" style="147" customWidth="1"/>
    <col min="3" max="4" width="4.5703125" style="147" customWidth="1"/>
    <col min="5" max="5" width="4.42578125" style="147" customWidth="1"/>
    <col min="6" max="6" width="40.140625" style="37" customWidth="1"/>
    <col min="7" max="7" width="20.5703125" style="231" customWidth="1"/>
    <col min="8" max="8" width="17.7109375" style="231" customWidth="1"/>
    <col min="9" max="9" width="11.42578125" style="37" customWidth="1"/>
    <col min="10" max="25" width="0" style="37" hidden="1"/>
    <col min="26" max="16384" width="11.42578125" hidden="1"/>
  </cols>
  <sheetData>
    <row r="1" spans="2:8" x14ac:dyDescent="0.25"/>
    <row r="2" spans="2:8" x14ac:dyDescent="0.25"/>
    <row r="3" spans="2:8" x14ac:dyDescent="0.25">
      <c r="B3" s="35"/>
      <c r="C3" s="35"/>
      <c r="D3" s="35"/>
      <c r="E3" s="35"/>
      <c r="G3" s="191"/>
      <c r="H3" s="191"/>
    </row>
    <row r="4" spans="2:8" ht="15.75" thickBot="1" x14ac:dyDescent="0.3">
      <c r="B4" s="35"/>
      <c r="C4" s="35"/>
      <c r="D4" s="35"/>
      <c r="E4" s="35"/>
      <c r="H4" s="191"/>
    </row>
    <row r="5" spans="2:8" x14ac:dyDescent="0.25">
      <c r="B5" s="1747" t="s">
        <v>563</v>
      </c>
      <c r="C5" s="1748"/>
      <c r="D5" s="1748"/>
      <c r="E5" s="1748"/>
      <c r="F5" s="1748"/>
      <c r="G5" s="1748"/>
      <c r="H5" s="1749"/>
    </row>
    <row r="6" spans="2:8" ht="15" customHeight="1" x14ac:dyDescent="0.25">
      <c r="B6" s="1066" t="s">
        <v>73</v>
      </c>
      <c r="C6" s="1067"/>
      <c r="D6" s="1067"/>
      <c r="E6" s="1067"/>
      <c r="F6" s="1067"/>
      <c r="G6" s="1067"/>
      <c r="H6" s="1068"/>
    </row>
    <row r="7" spans="2:8" x14ac:dyDescent="0.25">
      <c r="B7" s="1063" t="s">
        <v>503</v>
      </c>
      <c r="C7" s="1064"/>
      <c r="D7" s="1064"/>
      <c r="E7" s="1064"/>
      <c r="F7" s="1064"/>
      <c r="G7" s="1064"/>
      <c r="H7" s="1065"/>
    </row>
    <row r="8" spans="2:8" x14ac:dyDescent="0.25">
      <c r="B8" s="1063" t="s">
        <v>564</v>
      </c>
      <c r="C8" s="1064"/>
      <c r="D8" s="1064"/>
      <c r="E8" s="1064"/>
      <c r="F8" s="1064"/>
      <c r="G8" s="1064"/>
      <c r="H8" s="1065"/>
    </row>
    <row r="9" spans="2:8" x14ac:dyDescent="0.25">
      <c r="B9" s="1750" t="s">
        <v>635</v>
      </c>
      <c r="C9" s="1751"/>
      <c r="D9" s="1751"/>
      <c r="E9" s="1751"/>
      <c r="F9" s="1751"/>
      <c r="G9" s="1751"/>
      <c r="H9" s="1752"/>
    </row>
    <row r="10" spans="2:8" x14ac:dyDescent="0.25">
      <c r="B10" s="184">
        <v>1</v>
      </c>
      <c r="C10" s="34"/>
      <c r="D10" s="34"/>
      <c r="E10" s="34"/>
      <c r="F10" s="96" t="s">
        <v>29</v>
      </c>
      <c r="G10" s="189">
        <f>+G12+G18+G38</f>
        <v>799211988.05173326</v>
      </c>
      <c r="H10" s="190"/>
    </row>
    <row r="11" spans="2:8" x14ac:dyDescent="0.25">
      <c r="B11" s="180"/>
      <c r="C11" s="35"/>
      <c r="D11" s="35"/>
      <c r="E11" s="35"/>
      <c r="G11" s="191"/>
      <c r="H11" s="190"/>
    </row>
    <row r="12" spans="2:8" x14ac:dyDescent="0.25">
      <c r="B12" s="184">
        <v>11</v>
      </c>
      <c r="C12" s="34"/>
      <c r="D12" s="34"/>
      <c r="E12" s="34"/>
      <c r="F12" s="96" t="s">
        <v>533</v>
      </c>
      <c r="G12" s="189">
        <f>+G14</f>
        <v>582351703.05173326</v>
      </c>
      <c r="H12" s="190"/>
    </row>
    <row r="13" spans="2:8" x14ac:dyDescent="0.25">
      <c r="B13" s="180"/>
      <c r="C13" s="35"/>
      <c r="D13" s="35"/>
      <c r="E13" s="35"/>
      <c r="G13" s="191"/>
      <c r="H13" s="190"/>
    </row>
    <row r="14" spans="2:8" x14ac:dyDescent="0.25">
      <c r="B14" s="184">
        <v>1101</v>
      </c>
      <c r="C14" s="34"/>
      <c r="D14" s="34"/>
      <c r="E14" s="34"/>
      <c r="F14" s="96" t="s">
        <v>512</v>
      </c>
      <c r="G14" s="189">
        <f>+H15</f>
        <v>582351703.05173326</v>
      </c>
      <c r="H14" s="190"/>
    </row>
    <row r="15" spans="2:8" x14ac:dyDescent="0.25">
      <c r="B15" s="180">
        <v>1101</v>
      </c>
      <c r="C15" s="35">
        <v>1</v>
      </c>
      <c r="D15" s="35"/>
      <c r="E15" s="35"/>
      <c r="F15" s="37" t="s">
        <v>513</v>
      </c>
      <c r="G15" s="191"/>
      <c r="H15" s="190">
        <f>+H16</f>
        <v>582351703.05173326</v>
      </c>
    </row>
    <row r="16" spans="2:8" x14ac:dyDescent="0.25">
      <c r="B16" s="180">
        <v>1101</v>
      </c>
      <c r="C16" s="35">
        <v>1</v>
      </c>
      <c r="D16" s="35">
        <v>1</v>
      </c>
      <c r="E16" s="35"/>
      <c r="F16" s="37" t="s">
        <v>513</v>
      </c>
      <c r="G16" s="191"/>
      <c r="H16" s="190">
        <f>+'EFECTIVO MENSUAL '!H26</f>
        <v>582351703.05173326</v>
      </c>
    </row>
    <row r="17" spans="1:25" x14ac:dyDescent="0.25">
      <c r="B17" s="180"/>
      <c r="C17" s="35"/>
      <c r="D17" s="35"/>
      <c r="E17" s="35"/>
      <c r="G17" s="191"/>
      <c r="H17" s="190"/>
    </row>
    <row r="18" spans="1:25" s="1" customFormat="1" x14ac:dyDescent="0.25">
      <c r="A18" s="96"/>
      <c r="B18" s="184">
        <v>14</v>
      </c>
      <c r="C18" s="34"/>
      <c r="D18" s="34"/>
      <c r="E18" s="34"/>
      <c r="F18" s="96" t="s">
        <v>534</v>
      </c>
      <c r="G18" s="189">
        <f>+G20</f>
        <v>5509178</v>
      </c>
      <c r="H18" s="192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1:25" s="1" customFormat="1" x14ac:dyDescent="0.25">
      <c r="A19" s="96"/>
      <c r="B19" s="184"/>
      <c r="C19" s="34"/>
      <c r="D19" s="34"/>
      <c r="E19" s="34"/>
      <c r="F19" s="96"/>
      <c r="G19" s="189"/>
      <c r="H19" s="192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5" x14ac:dyDescent="0.25">
      <c r="B20" s="180">
        <v>1410</v>
      </c>
      <c r="C20" s="35"/>
      <c r="D20" s="35"/>
      <c r="E20" s="35"/>
      <c r="F20" s="96" t="s">
        <v>529</v>
      </c>
      <c r="G20" s="189">
        <f>+SUM(H22:H35)-H36</f>
        <v>5509178</v>
      </c>
      <c r="H20" s="190"/>
    </row>
    <row r="21" spans="1:25" x14ac:dyDescent="0.25">
      <c r="B21" s="180">
        <v>1410</v>
      </c>
      <c r="C21" s="35">
        <v>7</v>
      </c>
      <c r="D21" s="35"/>
      <c r="E21" s="35"/>
      <c r="F21" s="37" t="s">
        <v>530</v>
      </c>
      <c r="G21" s="197"/>
      <c r="H21" s="194">
        <f>+SUM(H22:H35)-H36</f>
        <v>5509178</v>
      </c>
    </row>
    <row r="22" spans="1:25" x14ac:dyDescent="0.25">
      <c r="B22" s="180">
        <v>1410</v>
      </c>
      <c r="C22" s="35">
        <v>7</v>
      </c>
      <c r="D22" s="35">
        <v>1</v>
      </c>
      <c r="E22" s="35"/>
      <c r="F22" s="37" t="s">
        <v>144</v>
      </c>
      <c r="G22" s="191"/>
      <c r="H22" s="190">
        <v>1500000</v>
      </c>
    </row>
    <row r="23" spans="1:25" x14ac:dyDescent="0.25">
      <c r="B23" s="180">
        <v>1410</v>
      </c>
      <c r="C23" s="35">
        <v>7</v>
      </c>
      <c r="D23" s="35">
        <v>2</v>
      </c>
      <c r="E23" s="35"/>
      <c r="F23" s="37" t="s">
        <v>145</v>
      </c>
      <c r="G23" s="191"/>
      <c r="H23" s="190">
        <v>340000</v>
      </c>
    </row>
    <row r="24" spans="1:25" x14ac:dyDescent="0.25">
      <c r="B24" s="180">
        <v>1410</v>
      </c>
      <c r="C24" s="35">
        <v>7</v>
      </c>
      <c r="D24" s="35">
        <v>3</v>
      </c>
      <c r="E24" s="35"/>
      <c r="F24" s="37" t="s">
        <v>146</v>
      </c>
      <c r="G24" s="191"/>
      <c r="H24" s="190">
        <v>600000</v>
      </c>
    </row>
    <row r="25" spans="1:25" x14ac:dyDescent="0.25">
      <c r="B25" s="180">
        <v>1410</v>
      </c>
      <c r="C25" s="35">
        <v>7</v>
      </c>
      <c r="D25" s="35">
        <v>4</v>
      </c>
      <c r="E25" s="35"/>
      <c r="F25" s="37" t="s">
        <v>19</v>
      </c>
      <c r="G25" s="191"/>
      <c r="H25" s="190">
        <v>260000</v>
      </c>
    </row>
    <row r="26" spans="1:25" x14ac:dyDescent="0.25">
      <c r="B26" s="180">
        <v>1410</v>
      </c>
      <c r="C26" s="35">
        <v>7</v>
      </c>
      <c r="D26" s="35">
        <v>5</v>
      </c>
      <c r="E26" s="35"/>
      <c r="F26" s="37" t="s">
        <v>147</v>
      </c>
      <c r="G26" s="191"/>
      <c r="H26" s="190">
        <v>248000</v>
      </c>
    </row>
    <row r="27" spans="1:25" x14ac:dyDescent="0.25">
      <c r="B27" s="180">
        <v>1410</v>
      </c>
      <c r="C27" s="35">
        <v>7</v>
      </c>
      <c r="D27" s="35">
        <v>6</v>
      </c>
      <c r="E27" s="35"/>
      <c r="F27" s="37" t="s">
        <v>148</v>
      </c>
      <c r="G27" s="191"/>
      <c r="H27" s="190">
        <v>375000</v>
      </c>
    </row>
    <row r="28" spans="1:25" x14ac:dyDescent="0.25">
      <c r="B28" s="180">
        <v>1410</v>
      </c>
      <c r="C28" s="35">
        <v>7</v>
      </c>
      <c r="D28" s="35">
        <v>7</v>
      </c>
      <c r="E28" s="35"/>
      <c r="F28" s="37" t="s">
        <v>149</v>
      </c>
      <c r="G28" s="191"/>
      <c r="H28" s="190">
        <v>256000</v>
      </c>
    </row>
    <row r="29" spans="1:25" x14ac:dyDescent="0.25">
      <c r="B29" s="180">
        <v>1410</v>
      </c>
      <c r="C29" s="35">
        <v>7</v>
      </c>
      <c r="D29" s="35">
        <v>8</v>
      </c>
      <c r="E29" s="34"/>
      <c r="F29" s="37" t="s">
        <v>150</v>
      </c>
      <c r="G29" s="191"/>
      <c r="H29" s="190">
        <v>140000</v>
      </c>
    </row>
    <row r="30" spans="1:25" x14ac:dyDescent="0.25">
      <c r="B30" s="180">
        <v>1410</v>
      </c>
      <c r="C30" s="35">
        <v>7</v>
      </c>
      <c r="D30" s="35">
        <v>9</v>
      </c>
      <c r="E30" s="34"/>
      <c r="F30" s="37" t="s">
        <v>116</v>
      </c>
      <c r="G30" s="191"/>
      <c r="H30" s="190">
        <v>153000</v>
      </c>
    </row>
    <row r="31" spans="1:25" x14ac:dyDescent="0.25">
      <c r="B31" s="180">
        <v>1410</v>
      </c>
      <c r="C31" s="35">
        <v>7</v>
      </c>
      <c r="D31" s="35">
        <v>10</v>
      </c>
      <c r="E31" s="35"/>
      <c r="F31" s="37" t="s">
        <v>117</v>
      </c>
      <c r="G31" s="191"/>
      <c r="H31" s="190">
        <v>75000</v>
      </c>
    </row>
    <row r="32" spans="1:25" x14ac:dyDescent="0.25">
      <c r="B32" s="180">
        <v>1410</v>
      </c>
      <c r="C32" s="35">
        <v>7</v>
      </c>
      <c r="D32" s="35">
        <v>11</v>
      </c>
      <c r="E32" s="35"/>
      <c r="F32" s="37" t="s">
        <v>107</v>
      </c>
      <c r="G32" s="191"/>
      <c r="H32" s="190">
        <v>700000</v>
      </c>
    </row>
    <row r="33" spans="1:25" x14ac:dyDescent="0.25">
      <c r="B33" s="180">
        <v>1410</v>
      </c>
      <c r="C33" s="35">
        <v>7</v>
      </c>
      <c r="D33" s="35">
        <v>12</v>
      </c>
      <c r="E33" s="35"/>
      <c r="F33" s="37" t="s">
        <v>143</v>
      </c>
      <c r="G33" s="191"/>
      <c r="H33" s="190">
        <v>350000</v>
      </c>
    </row>
    <row r="34" spans="1:25" x14ac:dyDescent="0.25">
      <c r="B34" s="180">
        <v>1410</v>
      </c>
      <c r="C34" s="35">
        <v>7</v>
      </c>
      <c r="D34" s="35">
        <v>13</v>
      </c>
      <c r="E34" s="35"/>
      <c r="F34" s="37" t="s">
        <v>112</v>
      </c>
      <c r="G34" s="191"/>
      <c r="H34" s="190">
        <v>650000</v>
      </c>
    </row>
    <row r="35" spans="1:25" x14ac:dyDescent="0.25">
      <c r="B35" s="180">
        <v>1410</v>
      </c>
      <c r="C35" s="35">
        <v>7</v>
      </c>
      <c r="D35" s="35">
        <v>14</v>
      </c>
      <c r="E35" s="35"/>
      <c r="F35" s="37" t="s">
        <v>197</v>
      </c>
      <c r="G35" s="191"/>
      <c r="H35" s="190">
        <v>23400</v>
      </c>
    </row>
    <row r="36" spans="1:25" x14ac:dyDescent="0.25">
      <c r="B36" s="180">
        <v>1410</v>
      </c>
      <c r="C36" s="35">
        <v>7</v>
      </c>
      <c r="D36" s="35">
        <v>99</v>
      </c>
      <c r="E36" s="35"/>
      <c r="F36" s="37" t="s">
        <v>524</v>
      </c>
      <c r="G36" s="191"/>
      <c r="H36" s="190">
        <v>161222</v>
      </c>
    </row>
    <row r="37" spans="1:25" x14ac:dyDescent="0.25">
      <c r="B37" s="180"/>
      <c r="C37" s="35"/>
      <c r="D37" s="35"/>
      <c r="E37" s="35"/>
      <c r="G37" s="191"/>
      <c r="H37" s="190"/>
    </row>
    <row r="38" spans="1:25" x14ac:dyDescent="0.25">
      <c r="B38" s="184">
        <v>15</v>
      </c>
      <c r="C38" s="34"/>
      <c r="D38" s="34"/>
      <c r="E38" s="34"/>
      <c r="F38" s="96" t="s">
        <v>22</v>
      </c>
      <c r="G38" s="189">
        <f>+G40+G44+G48+G59+G68</f>
        <v>211351107</v>
      </c>
      <c r="H38" s="190"/>
    </row>
    <row r="39" spans="1:25" x14ac:dyDescent="0.25">
      <c r="B39" s="180"/>
      <c r="C39" s="35"/>
      <c r="D39" s="35"/>
      <c r="E39" s="35"/>
      <c r="G39" s="191"/>
      <c r="H39" s="190"/>
    </row>
    <row r="40" spans="1:25" s="1" customFormat="1" x14ac:dyDescent="0.25">
      <c r="A40" s="96"/>
      <c r="B40" s="184">
        <v>1502</v>
      </c>
      <c r="C40" s="34"/>
      <c r="D40" s="34"/>
      <c r="E40" s="34"/>
      <c r="F40" s="96" t="s">
        <v>526</v>
      </c>
      <c r="G40" s="189">
        <f>+H41</f>
        <v>110000000</v>
      </c>
      <c r="H40" s="192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 spans="1:25" x14ac:dyDescent="0.25">
      <c r="B41" s="180">
        <v>1502</v>
      </c>
      <c r="C41" s="35">
        <v>2</v>
      </c>
      <c r="D41" s="35"/>
      <c r="E41" s="35"/>
      <c r="F41" s="37" t="s">
        <v>527</v>
      </c>
      <c r="G41" s="191"/>
      <c r="H41" s="190">
        <f>+H42</f>
        <v>110000000</v>
      </c>
    </row>
    <row r="42" spans="1:25" x14ac:dyDescent="0.25">
      <c r="B42" s="180">
        <v>1502</v>
      </c>
      <c r="C42" s="35">
        <v>2</v>
      </c>
      <c r="D42" s="35">
        <v>2</v>
      </c>
      <c r="E42" s="35">
        <v>2</v>
      </c>
      <c r="F42" s="37" t="s">
        <v>527</v>
      </c>
      <c r="G42" s="191"/>
      <c r="H42" s="190">
        <v>110000000</v>
      </c>
    </row>
    <row r="43" spans="1:25" x14ac:dyDescent="0.25">
      <c r="B43" s="180"/>
      <c r="C43" s="35"/>
      <c r="D43" s="35"/>
      <c r="E43" s="35"/>
      <c r="F43" s="96"/>
      <c r="G43" s="189"/>
      <c r="H43" s="190"/>
    </row>
    <row r="44" spans="1:25" s="1" customFormat="1" x14ac:dyDescent="0.25">
      <c r="A44" s="96"/>
      <c r="B44" s="184">
        <v>1506</v>
      </c>
      <c r="C44" s="34">
        <v>3</v>
      </c>
      <c r="D44" s="34"/>
      <c r="E44" s="34"/>
      <c r="F44" s="96" t="s">
        <v>140</v>
      </c>
      <c r="G44" s="189">
        <f>+H45-H46</f>
        <v>44977778</v>
      </c>
      <c r="H44" s="192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</row>
    <row r="45" spans="1:25" x14ac:dyDescent="0.25">
      <c r="B45" s="180">
        <v>1506</v>
      </c>
      <c r="C45" s="35">
        <v>3</v>
      </c>
      <c r="D45" s="35">
        <v>1</v>
      </c>
      <c r="F45" s="37" t="s">
        <v>141</v>
      </c>
      <c r="G45" s="191"/>
      <c r="H45" s="190">
        <v>45000000</v>
      </c>
    </row>
    <row r="46" spans="1:25" x14ac:dyDescent="0.25">
      <c r="B46" s="180">
        <v>1506</v>
      </c>
      <c r="C46" s="35">
        <v>98</v>
      </c>
      <c r="D46" s="35">
        <v>1</v>
      </c>
      <c r="F46" s="37" t="s">
        <v>524</v>
      </c>
      <c r="G46" s="191"/>
      <c r="H46" s="190">
        <v>22222</v>
      </c>
    </row>
    <row r="47" spans="1:25" x14ac:dyDescent="0.25">
      <c r="B47" s="180"/>
      <c r="C47" s="35"/>
      <c r="D47" s="35"/>
      <c r="G47" s="191"/>
      <c r="H47" s="190"/>
    </row>
    <row r="48" spans="1:25" x14ac:dyDescent="0.25">
      <c r="B48" s="184">
        <v>1507</v>
      </c>
      <c r="C48" s="35"/>
      <c r="D48" s="35"/>
      <c r="E48" s="35"/>
      <c r="F48" s="96" t="s">
        <v>142</v>
      </c>
      <c r="G48" s="189">
        <f>+SUM(H49:H55)-H56</f>
        <v>31511700</v>
      </c>
      <c r="H48" s="190"/>
    </row>
    <row r="49" spans="2:8" x14ac:dyDescent="0.25">
      <c r="B49" s="180">
        <v>1507</v>
      </c>
      <c r="C49" s="35">
        <v>1</v>
      </c>
      <c r="D49" s="35">
        <v>1</v>
      </c>
      <c r="E49" s="35"/>
      <c r="F49" s="37" t="s">
        <v>12</v>
      </c>
      <c r="G49" s="191"/>
      <c r="H49" s="190">
        <v>8000000</v>
      </c>
    </row>
    <row r="50" spans="2:8" x14ac:dyDescent="0.25">
      <c r="B50" s="180">
        <v>1507</v>
      </c>
      <c r="C50" s="35">
        <v>1</v>
      </c>
      <c r="D50" s="35">
        <v>2</v>
      </c>
      <c r="E50" s="35"/>
      <c r="F50" s="37" t="s">
        <v>13</v>
      </c>
      <c r="G50" s="191"/>
      <c r="H50" s="190">
        <v>12300000</v>
      </c>
    </row>
    <row r="51" spans="2:8" x14ac:dyDescent="0.25">
      <c r="B51" s="180">
        <v>1507</v>
      </c>
      <c r="C51" s="35">
        <v>1</v>
      </c>
      <c r="D51" s="35">
        <v>3</v>
      </c>
      <c r="E51" s="35"/>
      <c r="F51" s="37" t="s">
        <v>14</v>
      </c>
      <c r="G51" s="191"/>
      <c r="H51" s="190">
        <v>6000000</v>
      </c>
    </row>
    <row r="52" spans="2:8" x14ac:dyDescent="0.25">
      <c r="B52" s="180">
        <v>1507</v>
      </c>
      <c r="C52" s="35">
        <v>1</v>
      </c>
      <c r="D52" s="35">
        <v>4</v>
      </c>
      <c r="E52" s="35"/>
      <c r="F52" s="37" t="s">
        <v>15</v>
      </c>
      <c r="G52" s="191"/>
      <c r="H52" s="190">
        <v>4200000</v>
      </c>
    </row>
    <row r="53" spans="2:8" x14ac:dyDescent="0.25">
      <c r="B53" s="180">
        <v>1507</v>
      </c>
      <c r="C53" s="35">
        <v>1</v>
      </c>
      <c r="D53" s="35">
        <v>5</v>
      </c>
      <c r="E53" s="35"/>
      <c r="F53" s="37" t="s">
        <v>17</v>
      </c>
      <c r="G53" s="191"/>
      <c r="H53" s="190">
        <v>240000</v>
      </c>
    </row>
    <row r="54" spans="2:8" x14ac:dyDescent="0.25">
      <c r="B54" s="180">
        <v>1507</v>
      </c>
      <c r="C54" s="35">
        <v>1</v>
      </c>
      <c r="D54" s="35">
        <v>6</v>
      </c>
      <c r="E54" s="35"/>
      <c r="F54" s="37" t="s">
        <v>18</v>
      </c>
      <c r="G54" s="191"/>
      <c r="H54" s="190">
        <v>700000</v>
      </c>
    </row>
    <row r="55" spans="2:8" x14ac:dyDescent="0.25">
      <c r="B55" s="180">
        <v>1507</v>
      </c>
      <c r="C55" s="35">
        <v>1</v>
      </c>
      <c r="D55" s="35">
        <v>7</v>
      </c>
      <c r="E55" s="35"/>
      <c r="F55" s="37" t="s">
        <v>174</v>
      </c>
      <c r="G55" s="191"/>
      <c r="H55" s="190">
        <v>390000</v>
      </c>
    </row>
    <row r="56" spans="2:8" x14ac:dyDescent="0.25">
      <c r="B56" s="180">
        <v>1507</v>
      </c>
      <c r="C56" s="35">
        <v>98</v>
      </c>
      <c r="D56" s="35"/>
      <c r="E56" s="35"/>
      <c r="F56" s="37" t="s">
        <v>524</v>
      </c>
      <c r="G56" s="191"/>
      <c r="H56" s="190">
        <v>318300</v>
      </c>
    </row>
    <row r="57" spans="2:8" x14ac:dyDescent="0.25">
      <c r="B57" s="180"/>
      <c r="C57" s="35"/>
      <c r="D57" s="35"/>
      <c r="G57" s="191"/>
      <c r="H57" s="190"/>
    </row>
    <row r="58" spans="2:8" ht="14.25" customHeight="1" x14ac:dyDescent="0.25">
      <c r="B58" s="180">
        <v>1505</v>
      </c>
      <c r="C58" s="35">
        <v>8</v>
      </c>
      <c r="D58" s="35"/>
      <c r="E58" s="35"/>
      <c r="F58" s="37" t="s">
        <v>170</v>
      </c>
      <c r="G58" s="191"/>
      <c r="H58" s="190"/>
    </row>
    <row r="59" spans="2:8" x14ac:dyDescent="0.25">
      <c r="B59" s="180">
        <v>1505</v>
      </c>
      <c r="C59" s="35">
        <v>8</v>
      </c>
      <c r="D59" s="35">
        <v>1</v>
      </c>
      <c r="E59" s="35"/>
      <c r="F59" s="96" t="s">
        <v>528</v>
      </c>
      <c r="G59" s="189">
        <f>+SUM(H60:H65)-H66</f>
        <v>3581760</v>
      </c>
      <c r="H59" s="190"/>
    </row>
    <row r="60" spans="2:8" x14ac:dyDescent="0.25">
      <c r="B60" s="180">
        <v>1505</v>
      </c>
      <c r="C60" s="35">
        <v>8</v>
      </c>
      <c r="D60" s="35">
        <v>1</v>
      </c>
      <c r="E60" s="35">
        <v>1</v>
      </c>
      <c r="F60" s="37" t="s">
        <v>164</v>
      </c>
      <c r="G60" s="191"/>
      <c r="H60" s="190">
        <v>350000</v>
      </c>
    </row>
    <row r="61" spans="2:8" x14ac:dyDescent="0.25">
      <c r="B61" s="180">
        <v>1505</v>
      </c>
      <c r="C61" s="35">
        <v>8</v>
      </c>
      <c r="D61" s="35">
        <v>1</v>
      </c>
      <c r="E61" s="35">
        <v>2</v>
      </c>
      <c r="F61" s="37" t="s">
        <v>165</v>
      </c>
      <c r="G61" s="191"/>
      <c r="H61" s="190">
        <v>460000</v>
      </c>
    </row>
    <row r="62" spans="2:8" x14ac:dyDescent="0.25">
      <c r="B62" s="180">
        <v>1505</v>
      </c>
      <c r="C62" s="35">
        <v>8</v>
      </c>
      <c r="D62" s="35">
        <v>1</v>
      </c>
      <c r="E62" s="35">
        <v>3</v>
      </c>
      <c r="F62" s="37" t="s">
        <v>167</v>
      </c>
      <c r="G62" s="191"/>
      <c r="H62" s="190">
        <v>1750000</v>
      </c>
    </row>
    <row r="63" spans="2:8" x14ac:dyDescent="0.25">
      <c r="B63" s="180">
        <v>1505</v>
      </c>
      <c r="C63" s="35">
        <v>8</v>
      </c>
      <c r="D63" s="35">
        <v>1</v>
      </c>
      <c r="E63" s="35">
        <v>4</v>
      </c>
      <c r="F63" s="37" t="s">
        <v>166</v>
      </c>
      <c r="G63" s="191"/>
      <c r="H63" s="190">
        <v>345000</v>
      </c>
    </row>
    <row r="64" spans="2:8" x14ac:dyDescent="0.25">
      <c r="B64" s="180">
        <v>1505</v>
      </c>
      <c r="C64" s="35">
        <v>8</v>
      </c>
      <c r="D64" s="35">
        <v>1</v>
      </c>
      <c r="E64" s="35">
        <v>5</v>
      </c>
      <c r="F64" s="37" t="s">
        <v>168</v>
      </c>
      <c r="G64" s="191"/>
      <c r="H64" s="190">
        <v>287000</v>
      </c>
    </row>
    <row r="65" spans="2:8" x14ac:dyDescent="0.25">
      <c r="B65" s="180">
        <v>1505</v>
      </c>
      <c r="C65" s="35">
        <v>8</v>
      </c>
      <c r="D65" s="35">
        <v>1</v>
      </c>
      <c r="E65" s="35">
        <v>6</v>
      </c>
      <c r="F65" s="37" t="s">
        <v>171</v>
      </c>
      <c r="G65" s="191"/>
      <c r="H65" s="190">
        <v>539000</v>
      </c>
    </row>
    <row r="66" spans="2:8" x14ac:dyDescent="0.25">
      <c r="B66" s="180">
        <v>1505</v>
      </c>
      <c r="C66" s="35">
        <v>8</v>
      </c>
      <c r="D66" s="35">
        <v>98</v>
      </c>
      <c r="E66" s="35"/>
      <c r="F66" s="37" t="s">
        <v>524</v>
      </c>
      <c r="G66" s="191"/>
      <c r="H66" s="190">
        <v>149240</v>
      </c>
    </row>
    <row r="67" spans="2:8" x14ac:dyDescent="0.25">
      <c r="B67" s="180"/>
      <c r="C67" s="35"/>
      <c r="D67" s="35"/>
      <c r="E67" s="35"/>
      <c r="G67" s="191"/>
      <c r="H67" s="190"/>
    </row>
    <row r="68" spans="2:8" x14ac:dyDescent="0.25">
      <c r="B68" s="184">
        <v>1524</v>
      </c>
      <c r="C68" s="34"/>
      <c r="D68" s="34"/>
      <c r="E68" s="34"/>
      <c r="F68" s="96" t="s">
        <v>531</v>
      </c>
      <c r="G68" s="189">
        <f>+H69</f>
        <v>21279869</v>
      </c>
      <c r="H68" s="190"/>
    </row>
    <row r="69" spans="2:8" x14ac:dyDescent="0.25">
      <c r="B69" s="180">
        <v>1524</v>
      </c>
      <c r="C69" s="35">
        <v>2</v>
      </c>
      <c r="D69" s="35"/>
      <c r="E69" s="35"/>
      <c r="F69" s="37" t="s">
        <v>532</v>
      </c>
      <c r="G69" s="191"/>
      <c r="H69" s="190">
        <f>+H70</f>
        <v>21279869</v>
      </c>
    </row>
    <row r="70" spans="2:8" x14ac:dyDescent="0.25">
      <c r="B70" s="180">
        <v>1524</v>
      </c>
      <c r="C70" s="35">
        <v>2</v>
      </c>
      <c r="D70" s="35">
        <v>1</v>
      </c>
      <c r="E70" s="35"/>
      <c r="F70" s="37" t="s">
        <v>525</v>
      </c>
      <c r="G70" s="191"/>
      <c r="H70" s="190">
        <v>21279869</v>
      </c>
    </row>
    <row r="71" spans="2:8" x14ac:dyDescent="0.25">
      <c r="B71" s="180"/>
      <c r="C71" s="35"/>
      <c r="D71" s="35"/>
      <c r="E71" s="35"/>
      <c r="G71" s="191"/>
      <c r="H71" s="190"/>
    </row>
    <row r="72" spans="2:8" x14ac:dyDescent="0.25">
      <c r="B72" s="184">
        <v>3</v>
      </c>
      <c r="C72" s="35"/>
      <c r="D72" s="35"/>
      <c r="E72" s="35"/>
      <c r="F72" s="96" t="s">
        <v>25</v>
      </c>
      <c r="G72" s="189"/>
      <c r="H72" s="192">
        <f>+G73+G77</f>
        <v>799211987.99153781</v>
      </c>
    </row>
    <row r="73" spans="2:8" x14ac:dyDescent="0.25">
      <c r="B73" s="180">
        <v>31</v>
      </c>
      <c r="C73" s="35"/>
      <c r="D73" s="35"/>
      <c r="E73" s="35"/>
      <c r="F73" s="37" t="s">
        <v>26</v>
      </c>
      <c r="G73" s="191">
        <v>86231400</v>
      </c>
      <c r="H73" s="190"/>
    </row>
    <row r="74" spans="2:8" x14ac:dyDescent="0.25">
      <c r="B74" s="180">
        <v>3101</v>
      </c>
      <c r="C74" s="35"/>
      <c r="D74" s="35"/>
      <c r="E74" s="35"/>
      <c r="F74" s="37" t="s">
        <v>535</v>
      </c>
      <c r="G74" s="191">
        <f>+G75</f>
        <v>86231400</v>
      </c>
      <c r="H74" s="190"/>
    </row>
    <row r="75" spans="2:8" x14ac:dyDescent="0.25">
      <c r="B75" s="180">
        <v>3101</v>
      </c>
      <c r="C75" s="35">
        <v>1</v>
      </c>
      <c r="D75" s="35">
        <v>1</v>
      </c>
      <c r="E75" s="35"/>
      <c r="F75" s="37" t="s">
        <v>536</v>
      </c>
      <c r="G75" s="191">
        <v>86231400</v>
      </c>
      <c r="H75" s="190"/>
    </row>
    <row r="76" spans="2:8" x14ac:dyDescent="0.25">
      <c r="B76" s="180"/>
      <c r="C76" s="35"/>
      <c r="D76" s="35"/>
      <c r="E76" s="35"/>
      <c r="G76" s="191"/>
      <c r="H76" s="190"/>
    </row>
    <row r="77" spans="2:8" x14ac:dyDescent="0.25">
      <c r="B77" s="200">
        <v>36</v>
      </c>
      <c r="F77" s="37" t="s">
        <v>538</v>
      </c>
      <c r="G77" s="191">
        <f>+G78</f>
        <v>712980587.99153781</v>
      </c>
      <c r="H77" s="190"/>
    </row>
    <row r="78" spans="2:8" x14ac:dyDescent="0.25">
      <c r="B78" s="200">
        <v>3601</v>
      </c>
      <c r="F78" s="37" t="s">
        <v>537</v>
      </c>
      <c r="G78" s="191">
        <f>+'ESTADO DE RESULTADO '!G93</f>
        <v>712980587.99153781</v>
      </c>
      <c r="H78" s="190"/>
    </row>
    <row r="79" spans="2:8" x14ac:dyDescent="0.25">
      <c r="B79" s="200"/>
      <c r="G79" s="191"/>
      <c r="H79" s="190"/>
    </row>
    <row r="80" spans="2:8" ht="15.75" thickBot="1" x14ac:dyDescent="0.3">
      <c r="B80" s="201"/>
      <c r="C80" s="202"/>
      <c r="D80" s="202"/>
      <c r="E80" s="202"/>
      <c r="F80" s="188" t="s">
        <v>478</v>
      </c>
      <c r="G80" s="198">
        <f>+G10</f>
        <v>799211988.05173326</v>
      </c>
      <c r="H80" s="199">
        <f>+H72</f>
        <v>799211987.99153781</v>
      </c>
    </row>
    <row r="81" x14ac:dyDescent="0.25"/>
    <row r="82" x14ac:dyDescent="0.25"/>
    <row r="83" x14ac:dyDescent="0.25"/>
  </sheetData>
  <mergeCells count="5">
    <mergeCell ref="B5:H5"/>
    <mergeCell ref="B6:H6"/>
    <mergeCell ref="B7:H7"/>
    <mergeCell ref="B8:H8"/>
    <mergeCell ref="B9:H9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6D8B-4286-47E0-9B85-F356858124EC}">
  <dimension ref="A1:AB111"/>
  <sheetViews>
    <sheetView topLeftCell="A70" zoomScale="90" zoomScaleNormal="90" workbookViewId="0">
      <selection activeCell="G93" sqref="G93"/>
    </sheetView>
  </sheetViews>
  <sheetFormatPr baseColWidth="10" defaultColWidth="0" defaultRowHeight="15" zeroHeight="1" x14ac:dyDescent="0.25"/>
  <cols>
    <col min="1" max="1" width="11.42578125" style="37" customWidth="1"/>
    <col min="2" max="2" width="7.5703125" customWidth="1"/>
    <col min="3" max="3" width="5" customWidth="1"/>
    <col min="4" max="4" width="3" customWidth="1"/>
    <col min="5" max="5" width="39.85546875" customWidth="1"/>
    <col min="6" max="6" width="19.85546875" style="146" customWidth="1"/>
    <col min="7" max="7" width="19.85546875" style="133" customWidth="1"/>
    <col min="8" max="8" width="11.42578125" style="37" customWidth="1"/>
    <col min="9" max="9" width="16.7109375" style="37" hidden="1"/>
    <col min="10" max="28" width="0" style="37" hidden="1"/>
    <col min="29" max="16384" width="11.42578125" hidden="1"/>
  </cols>
  <sheetData>
    <row r="1" spans="1:28" s="37" customFormat="1" x14ac:dyDescent="0.25">
      <c r="F1" s="231"/>
      <c r="G1" s="205"/>
    </row>
    <row r="2" spans="1:28" s="37" customFormat="1" x14ac:dyDescent="0.25">
      <c r="F2" s="231"/>
      <c r="G2" s="205"/>
    </row>
    <row r="3" spans="1:28" s="37" customFormat="1" ht="15.75" thickBot="1" x14ac:dyDescent="0.3">
      <c r="F3" s="231"/>
      <c r="G3" s="205"/>
    </row>
    <row r="4" spans="1:28" x14ac:dyDescent="0.25">
      <c r="B4" s="1747" t="s">
        <v>457</v>
      </c>
      <c r="C4" s="1748"/>
      <c r="D4" s="1748"/>
      <c r="E4" s="1748"/>
      <c r="F4" s="1748"/>
      <c r="G4" s="1749"/>
    </row>
    <row r="5" spans="1:28" ht="15" customHeight="1" x14ac:dyDescent="0.25">
      <c r="B5" s="1066" t="s">
        <v>73</v>
      </c>
      <c r="C5" s="1067"/>
      <c r="D5" s="1067"/>
      <c r="E5" s="1067"/>
      <c r="F5" s="1067"/>
      <c r="G5" s="1068"/>
    </row>
    <row r="6" spans="1:28" x14ac:dyDescent="0.25">
      <c r="B6" s="1063" t="s">
        <v>503</v>
      </c>
      <c r="C6" s="1064"/>
      <c r="D6" s="1064"/>
      <c r="E6" s="1064"/>
      <c r="F6" s="1064"/>
      <c r="G6" s="1065"/>
    </row>
    <row r="7" spans="1:28" x14ac:dyDescent="0.25">
      <c r="B7" s="1063" t="s">
        <v>562</v>
      </c>
      <c r="C7" s="1064"/>
      <c r="D7" s="1064"/>
      <c r="E7" s="1064"/>
      <c r="F7" s="1064"/>
      <c r="G7" s="1065"/>
    </row>
    <row r="8" spans="1:28" x14ac:dyDescent="0.25">
      <c r="B8" s="1750" t="s">
        <v>635</v>
      </c>
      <c r="C8" s="1751"/>
      <c r="D8" s="1751"/>
      <c r="E8" s="1751"/>
      <c r="F8" s="1751"/>
      <c r="G8" s="1752"/>
    </row>
    <row r="9" spans="1:28" x14ac:dyDescent="0.25">
      <c r="B9" s="180"/>
      <c r="C9" s="35"/>
      <c r="D9" s="35"/>
      <c r="E9" s="37"/>
      <c r="F9" s="191"/>
      <c r="G9" s="183"/>
    </row>
    <row r="10" spans="1:28" s="145" customFormat="1" x14ac:dyDescent="0.25">
      <c r="A10" s="177"/>
      <c r="B10" s="181">
        <v>4</v>
      </c>
      <c r="C10" s="176"/>
      <c r="D10" s="176"/>
      <c r="E10" s="177" t="s">
        <v>458</v>
      </c>
      <c r="F10" s="203"/>
      <c r="G10" s="182">
        <f>+G12</f>
        <v>2169660000</v>
      </c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8" x14ac:dyDescent="0.25">
      <c r="B11" s="180"/>
      <c r="C11" s="35"/>
      <c r="D11" s="35"/>
      <c r="E11" s="37"/>
      <c r="F11" s="191"/>
      <c r="G11" s="183"/>
    </row>
    <row r="12" spans="1:28" x14ac:dyDescent="0.25">
      <c r="B12" s="180">
        <v>41</v>
      </c>
      <c r="C12" s="35"/>
      <c r="D12" s="35"/>
      <c r="E12" s="37" t="s">
        <v>459</v>
      </c>
      <c r="F12" s="191"/>
      <c r="G12" s="183">
        <f>+F16+F17</f>
        <v>2169660000</v>
      </c>
    </row>
    <row r="13" spans="1:28" x14ac:dyDescent="0.25">
      <c r="B13" s="180"/>
      <c r="C13" s="35"/>
      <c r="D13" s="35"/>
      <c r="E13" s="37"/>
      <c r="F13" s="191"/>
      <c r="G13" s="183"/>
    </row>
    <row r="14" spans="1:28" ht="13.5" customHeight="1" x14ac:dyDescent="0.25">
      <c r="B14" s="184">
        <v>4104</v>
      </c>
      <c r="C14" s="34"/>
      <c r="D14" s="34"/>
      <c r="E14" s="96" t="s">
        <v>481</v>
      </c>
      <c r="F14" s="189"/>
      <c r="G14" s="204">
        <f>+G15</f>
        <v>2169660000</v>
      </c>
    </row>
    <row r="15" spans="1:28" ht="30" x14ac:dyDescent="0.25">
      <c r="B15" s="180">
        <v>4104</v>
      </c>
      <c r="C15" s="35">
        <v>1</v>
      </c>
      <c r="D15" s="35"/>
      <c r="E15" s="178" t="s">
        <v>482</v>
      </c>
      <c r="F15" s="191"/>
      <c r="G15" s="183">
        <f>+F16+F17</f>
        <v>2169660000</v>
      </c>
    </row>
    <row r="16" spans="1:28" x14ac:dyDescent="0.25">
      <c r="B16" s="180">
        <v>4104</v>
      </c>
      <c r="C16" s="35">
        <v>1</v>
      </c>
      <c r="D16" s="35">
        <v>1</v>
      </c>
      <c r="E16" s="37" t="s">
        <v>479</v>
      </c>
      <c r="F16" s="205">
        <f>+'VTA- UTILIDAD ANUAL '!S21</f>
        <v>2094060000</v>
      </c>
      <c r="G16" s="183"/>
    </row>
    <row r="17" spans="1:28" x14ac:dyDescent="0.25">
      <c r="B17" s="180">
        <v>4104</v>
      </c>
      <c r="C17" s="35">
        <v>1</v>
      </c>
      <c r="D17" s="35">
        <v>2</v>
      </c>
      <c r="E17" s="37" t="s">
        <v>480</v>
      </c>
      <c r="F17" s="205">
        <f>+'VTA- UTILIDAD ANUAL '!V21</f>
        <v>75600000</v>
      </c>
      <c r="G17" s="183"/>
    </row>
    <row r="18" spans="1:28" x14ac:dyDescent="0.25">
      <c r="B18" s="180"/>
      <c r="C18" s="35"/>
      <c r="D18" s="35"/>
      <c r="E18" s="37"/>
      <c r="F18" s="191"/>
      <c r="G18" s="183"/>
    </row>
    <row r="19" spans="1:28" x14ac:dyDescent="0.25">
      <c r="B19" s="180"/>
      <c r="C19" s="35"/>
      <c r="D19" s="35"/>
      <c r="E19" s="37"/>
      <c r="F19" s="191"/>
      <c r="G19" s="183"/>
    </row>
    <row r="20" spans="1:28" x14ac:dyDescent="0.25">
      <c r="B20" s="180"/>
      <c r="C20" s="35"/>
      <c r="D20" s="35"/>
      <c r="E20" s="37"/>
      <c r="F20" s="191"/>
      <c r="G20" s="183"/>
    </row>
    <row r="21" spans="1:28" s="1" customFormat="1" x14ac:dyDescent="0.25">
      <c r="A21" s="96"/>
      <c r="B21" s="184">
        <v>5</v>
      </c>
      <c r="C21" s="34"/>
      <c r="D21" s="34"/>
      <c r="E21" s="96" t="s">
        <v>483</v>
      </c>
      <c r="F21" s="206"/>
      <c r="G21" s="192">
        <f>+F24+G48+G54+G64+G71</f>
        <v>163178296.94826666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</row>
    <row r="22" spans="1:28" x14ac:dyDescent="0.25">
      <c r="B22" s="180"/>
      <c r="C22" s="35"/>
      <c r="D22" s="35"/>
      <c r="E22" s="37"/>
      <c r="F22" s="191"/>
      <c r="G22" s="183"/>
    </row>
    <row r="23" spans="1:28" x14ac:dyDescent="0.25">
      <c r="B23" s="180">
        <v>51</v>
      </c>
      <c r="C23" s="35"/>
      <c r="D23" s="35"/>
      <c r="E23" s="37" t="s">
        <v>484</v>
      </c>
      <c r="F23" s="205"/>
      <c r="G23" s="192">
        <f>+F24</f>
        <v>72046766.281599998</v>
      </c>
    </row>
    <row r="24" spans="1:28" s="145" customFormat="1" x14ac:dyDescent="0.25">
      <c r="A24" s="177"/>
      <c r="B24" s="185">
        <v>51</v>
      </c>
      <c r="C24" s="179"/>
      <c r="D24" s="179"/>
      <c r="E24" s="37" t="s">
        <v>484</v>
      </c>
      <c r="F24" s="197">
        <f>+F25+F27+F29+F31+F33+F35+F37+F39+F43+F45+F41</f>
        <v>72046766.281599998</v>
      </c>
      <c r="G24" s="182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</row>
    <row r="25" spans="1:28" x14ac:dyDescent="0.25">
      <c r="B25" s="180">
        <v>5101</v>
      </c>
      <c r="C25" s="35"/>
      <c r="D25" s="35"/>
      <c r="E25" s="37" t="s">
        <v>485</v>
      </c>
      <c r="F25" s="191">
        <f>+F26</f>
        <v>44160000</v>
      </c>
      <c r="G25" s="183"/>
    </row>
    <row r="26" spans="1:28" x14ac:dyDescent="0.25">
      <c r="B26" s="180">
        <v>5101</v>
      </c>
      <c r="C26" s="35">
        <v>1</v>
      </c>
      <c r="D26" s="35">
        <v>2</v>
      </c>
      <c r="E26" s="37" t="s">
        <v>460</v>
      </c>
      <c r="F26" s="191">
        <f>+'NOMINA   MENSUAL'!I24*12</f>
        <v>44160000</v>
      </c>
      <c r="G26" s="183"/>
    </row>
    <row r="27" spans="1:28" x14ac:dyDescent="0.25">
      <c r="B27" s="180">
        <v>5101</v>
      </c>
      <c r="C27" s="35">
        <v>8</v>
      </c>
      <c r="D27" s="35"/>
      <c r="E27" s="37" t="s">
        <v>461</v>
      </c>
      <c r="F27" s="191">
        <f>+F28</f>
        <v>2812176</v>
      </c>
      <c r="G27" s="183"/>
    </row>
    <row r="28" spans="1:28" x14ac:dyDescent="0.25">
      <c r="B28" s="180">
        <v>5101</v>
      </c>
      <c r="C28" s="35">
        <v>8</v>
      </c>
      <c r="D28" s="35">
        <v>1</v>
      </c>
      <c r="E28" s="37" t="s">
        <v>462</v>
      </c>
      <c r="F28" s="191">
        <f>+'NOMINA   MENSUAL'!H16*12</f>
        <v>2812176</v>
      </c>
      <c r="G28" s="183"/>
    </row>
    <row r="29" spans="1:28" x14ac:dyDescent="0.25">
      <c r="B29" s="180">
        <v>5101</v>
      </c>
      <c r="C29" s="35">
        <v>9</v>
      </c>
      <c r="D29" s="35"/>
      <c r="E29" s="37" t="s">
        <v>463</v>
      </c>
      <c r="F29" s="191">
        <f>+F30</f>
        <v>4232654.2608000003</v>
      </c>
      <c r="G29" s="183"/>
    </row>
    <row r="30" spans="1:28" x14ac:dyDescent="0.25">
      <c r="B30" s="180">
        <v>5101</v>
      </c>
      <c r="C30" s="35">
        <v>9</v>
      </c>
      <c r="D30" s="35">
        <v>1</v>
      </c>
      <c r="E30" s="37" t="s">
        <v>463</v>
      </c>
      <c r="F30" s="191">
        <f>+'GASTOS ANUALES'!E75</f>
        <v>4232654.2608000003</v>
      </c>
      <c r="G30" s="183"/>
    </row>
    <row r="31" spans="1:28" x14ac:dyDescent="0.25">
      <c r="B31" s="180">
        <v>5101</v>
      </c>
      <c r="C31" s="35">
        <v>10</v>
      </c>
      <c r="D31" s="35"/>
      <c r="E31" s="37" t="s">
        <v>464</v>
      </c>
      <c r="F31" s="191">
        <f>+F32</f>
        <v>508121.76</v>
      </c>
      <c r="G31" s="183"/>
    </row>
    <row r="32" spans="1:28" x14ac:dyDescent="0.25">
      <c r="B32" s="180">
        <v>5101</v>
      </c>
      <c r="C32" s="35">
        <v>10</v>
      </c>
      <c r="D32" s="35">
        <v>1</v>
      </c>
      <c r="E32" s="37" t="s">
        <v>465</v>
      </c>
      <c r="F32" s="191">
        <f>+'GASTOS ANUALES'!E76</f>
        <v>508121.76</v>
      </c>
      <c r="G32" s="183"/>
    </row>
    <row r="33" spans="1:28" x14ac:dyDescent="0.25">
      <c r="B33" s="180">
        <v>5101</v>
      </c>
      <c r="C33" s="35">
        <v>11</v>
      </c>
      <c r="D33" s="35"/>
      <c r="E33" s="37" t="s">
        <v>466</v>
      </c>
      <c r="F33" s="191">
        <f>+F34</f>
        <v>4232654.2608000003</v>
      </c>
      <c r="G33" s="183"/>
    </row>
    <row r="34" spans="1:28" x14ac:dyDescent="0.25">
      <c r="B34" s="180">
        <v>5101</v>
      </c>
      <c r="C34" s="35">
        <v>11</v>
      </c>
      <c r="D34" s="35">
        <v>1</v>
      </c>
      <c r="E34" s="37" t="s">
        <v>467</v>
      </c>
      <c r="F34" s="191">
        <f>+'GASTOS ANUALES'!E77</f>
        <v>4232654.2608000003</v>
      </c>
      <c r="G34" s="183"/>
    </row>
    <row r="35" spans="1:28" x14ac:dyDescent="0.25">
      <c r="B35" s="180">
        <v>5101</v>
      </c>
      <c r="C35" s="35">
        <v>12</v>
      </c>
      <c r="D35" s="35"/>
      <c r="E35" s="37" t="s">
        <v>468</v>
      </c>
      <c r="F35" s="191">
        <f>+F36</f>
        <v>2001600</v>
      </c>
      <c r="G35" s="183"/>
    </row>
    <row r="36" spans="1:28" x14ac:dyDescent="0.25">
      <c r="B36" s="180">
        <v>5101</v>
      </c>
      <c r="C36" s="35">
        <v>12</v>
      </c>
      <c r="D36" s="35">
        <v>1</v>
      </c>
      <c r="E36" s="37" t="s">
        <v>469</v>
      </c>
      <c r="F36" s="191">
        <f>+'GASTOS ANUALES'!E78</f>
        <v>2001600</v>
      </c>
      <c r="G36" s="183"/>
    </row>
    <row r="37" spans="1:28" x14ac:dyDescent="0.25">
      <c r="B37" s="180">
        <v>5101</v>
      </c>
      <c r="C37" s="35">
        <v>16</v>
      </c>
      <c r="D37" s="35"/>
      <c r="E37" s="37" t="s">
        <v>505</v>
      </c>
      <c r="F37" s="191">
        <f>+F38</f>
        <v>2089000</v>
      </c>
      <c r="G37" s="183"/>
    </row>
    <row r="38" spans="1:28" x14ac:dyDescent="0.25">
      <c r="B38" s="180">
        <v>5101</v>
      </c>
      <c r="C38" s="35">
        <v>16</v>
      </c>
      <c r="D38" s="35">
        <v>1</v>
      </c>
      <c r="E38" s="37" t="s">
        <v>505</v>
      </c>
      <c r="F38" s="191">
        <f>+'GASTOS ANUALES'!E18</f>
        <v>2089000</v>
      </c>
      <c r="G38" s="183"/>
    </row>
    <row r="39" spans="1:28" ht="30" x14ac:dyDescent="0.25">
      <c r="B39" s="180">
        <v>5101</v>
      </c>
      <c r="C39" s="35">
        <v>26</v>
      </c>
      <c r="D39" s="35"/>
      <c r="E39" s="178" t="s">
        <v>504</v>
      </c>
      <c r="F39" s="191">
        <f>+F40</f>
        <v>250560</v>
      </c>
      <c r="G39" s="183"/>
    </row>
    <row r="40" spans="1:28" ht="30" x14ac:dyDescent="0.25">
      <c r="B40" s="180">
        <v>5101</v>
      </c>
      <c r="C40" s="35">
        <v>26</v>
      </c>
      <c r="D40" s="35">
        <v>1</v>
      </c>
      <c r="E40" s="178" t="s">
        <v>504</v>
      </c>
      <c r="F40" s="191">
        <f>+'GASTOS ANUALES'!E71</f>
        <v>250560</v>
      </c>
      <c r="G40" s="183"/>
    </row>
    <row r="41" spans="1:28" ht="30" x14ac:dyDescent="0.25">
      <c r="B41" s="180">
        <v>5101</v>
      </c>
      <c r="C41" s="35">
        <v>27</v>
      </c>
      <c r="D41" s="35"/>
      <c r="E41" s="178" t="s">
        <v>508</v>
      </c>
      <c r="F41" s="191">
        <f>+F42</f>
        <v>4080000</v>
      </c>
      <c r="G41" s="183"/>
    </row>
    <row r="42" spans="1:28" ht="30" x14ac:dyDescent="0.25">
      <c r="B42" s="180">
        <v>5101</v>
      </c>
      <c r="C42" s="35">
        <v>27</v>
      </c>
      <c r="D42" s="35">
        <v>1</v>
      </c>
      <c r="E42" s="178" t="s">
        <v>508</v>
      </c>
      <c r="F42" s="191">
        <f>+'GASTOS ANUALES'!E69</f>
        <v>4080000</v>
      </c>
      <c r="G42" s="183"/>
    </row>
    <row r="43" spans="1:28" x14ac:dyDescent="0.25">
      <c r="B43" s="180">
        <v>5101</v>
      </c>
      <c r="C43" s="35">
        <v>28</v>
      </c>
      <c r="D43" s="35"/>
      <c r="E43" s="37" t="s">
        <v>506</v>
      </c>
      <c r="F43" s="191">
        <f>+F44</f>
        <v>5760000</v>
      </c>
      <c r="G43" s="183"/>
    </row>
    <row r="44" spans="1:28" x14ac:dyDescent="0.25">
      <c r="B44" s="180">
        <v>5101</v>
      </c>
      <c r="C44" s="35">
        <v>28</v>
      </c>
      <c r="D44" s="35">
        <v>1</v>
      </c>
      <c r="E44" s="37" t="s">
        <v>506</v>
      </c>
      <c r="F44" s="191">
        <f>+'GASTOS ANUALES'!E70</f>
        <v>5760000</v>
      </c>
      <c r="G44" s="183"/>
    </row>
    <row r="45" spans="1:28" x14ac:dyDescent="0.25">
      <c r="B45" s="180">
        <v>5101</v>
      </c>
      <c r="C45" s="35">
        <v>29</v>
      </c>
      <c r="D45" s="35"/>
      <c r="E45" s="37" t="s">
        <v>507</v>
      </c>
      <c r="F45" s="191">
        <f>+F46</f>
        <v>1920000</v>
      </c>
      <c r="G45" s="183"/>
    </row>
    <row r="46" spans="1:28" x14ac:dyDescent="0.25">
      <c r="B46" s="180">
        <v>5101</v>
      </c>
      <c r="C46" s="35">
        <v>29</v>
      </c>
      <c r="D46" s="35">
        <v>1</v>
      </c>
      <c r="E46" s="37" t="s">
        <v>470</v>
      </c>
      <c r="F46" s="191">
        <f>+'GASTOS ANUALES'!E74</f>
        <v>1920000</v>
      </c>
      <c r="G46" s="183"/>
    </row>
    <row r="47" spans="1:28" ht="18" customHeight="1" x14ac:dyDescent="0.25">
      <c r="B47" s="180"/>
      <c r="C47" s="35"/>
      <c r="D47" s="35"/>
      <c r="E47" s="37"/>
      <c r="F47" s="191"/>
      <c r="G47" s="183"/>
    </row>
    <row r="48" spans="1:28" s="145" customFormat="1" x14ac:dyDescent="0.25">
      <c r="A48" s="177"/>
      <c r="B48" s="181">
        <v>5103</v>
      </c>
      <c r="C48" s="176"/>
      <c r="D48" s="176"/>
      <c r="E48" s="177" t="s">
        <v>471</v>
      </c>
      <c r="F48" s="207"/>
      <c r="G48" s="208">
        <f>+F49+F51</f>
        <v>63305416.666666664</v>
      </c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</row>
    <row r="49" spans="1:28" x14ac:dyDescent="0.25">
      <c r="B49" s="180">
        <v>5103</v>
      </c>
      <c r="C49" s="35">
        <v>3</v>
      </c>
      <c r="D49" s="35"/>
      <c r="E49" s="37" t="s">
        <v>509</v>
      </c>
      <c r="F49" s="191">
        <f>+F50</f>
        <v>185416.66666666657</v>
      </c>
      <c r="G49" s="183"/>
    </row>
    <row r="50" spans="1:28" x14ac:dyDescent="0.25">
      <c r="B50" s="180">
        <v>5103</v>
      </c>
      <c r="C50" s="35">
        <v>3</v>
      </c>
      <c r="D50" s="35">
        <v>1</v>
      </c>
      <c r="E50" s="37" t="s">
        <v>487</v>
      </c>
      <c r="F50" s="191">
        <f>+CIF!Q37</f>
        <v>185416.66666666657</v>
      </c>
      <c r="G50" s="183"/>
    </row>
    <row r="51" spans="1:28" x14ac:dyDescent="0.25">
      <c r="B51" s="180">
        <v>5103</v>
      </c>
      <c r="C51" s="35">
        <v>95</v>
      </c>
      <c r="D51" s="35"/>
      <c r="E51" s="37" t="s">
        <v>476</v>
      </c>
      <c r="F51" s="191">
        <f>+F52</f>
        <v>63120000</v>
      </c>
      <c r="G51" s="183"/>
    </row>
    <row r="52" spans="1:28" x14ac:dyDescent="0.25">
      <c r="B52" s="180">
        <v>5103</v>
      </c>
      <c r="C52" s="35">
        <v>95</v>
      </c>
      <c r="D52" s="35">
        <v>1</v>
      </c>
      <c r="E52" s="37" t="s">
        <v>490</v>
      </c>
      <c r="F52" s="191">
        <f>+CIF!Q39</f>
        <v>63120000</v>
      </c>
      <c r="G52" s="183"/>
    </row>
    <row r="53" spans="1:28" x14ac:dyDescent="0.25">
      <c r="B53" s="180"/>
      <c r="C53" s="35"/>
      <c r="D53" s="35"/>
      <c r="E53" s="37"/>
      <c r="F53" s="191"/>
      <c r="G53" s="183"/>
    </row>
    <row r="54" spans="1:28" s="145" customFormat="1" x14ac:dyDescent="0.25">
      <c r="A54" s="177"/>
      <c r="B54" s="181">
        <v>5107</v>
      </c>
      <c r="C54" s="176"/>
      <c r="D54" s="176"/>
      <c r="E54" s="177" t="s">
        <v>472</v>
      </c>
      <c r="F54" s="207"/>
      <c r="G54" s="208">
        <f>+F55+F57+F59+F61</f>
        <v>13971389</v>
      </c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</row>
    <row r="55" spans="1:28" x14ac:dyDescent="0.25">
      <c r="B55" s="180">
        <v>5107</v>
      </c>
      <c r="C55" s="35">
        <v>4</v>
      </c>
      <c r="D55" s="35"/>
      <c r="E55" s="37" t="s">
        <v>491</v>
      </c>
      <c r="F55" s="191">
        <f>+F56</f>
        <v>5579162</v>
      </c>
      <c r="G55" s="183"/>
    </row>
    <row r="56" spans="1:28" x14ac:dyDescent="0.25">
      <c r="B56" s="180">
        <v>5107</v>
      </c>
      <c r="C56" s="35">
        <v>4</v>
      </c>
      <c r="D56" s="35">
        <v>1</v>
      </c>
      <c r="E56" s="37" t="s">
        <v>491</v>
      </c>
      <c r="F56" s="191">
        <f>+CIF!O29</f>
        <v>5579162</v>
      </c>
      <c r="G56" s="183"/>
    </row>
    <row r="57" spans="1:28" x14ac:dyDescent="0.25">
      <c r="B57" s="180">
        <v>5107</v>
      </c>
      <c r="C57" s="35">
        <v>6</v>
      </c>
      <c r="D57" s="35"/>
      <c r="E57" s="37" t="s">
        <v>477</v>
      </c>
      <c r="F57" s="191">
        <f>+F58</f>
        <v>6664227</v>
      </c>
      <c r="G57" s="183"/>
    </row>
    <row r="58" spans="1:28" x14ac:dyDescent="0.25">
      <c r="B58" s="180">
        <v>5107</v>
      </c>
      <c r="C58" s="35">
        <v>6</v>
      </c>
      <c r="D58" s="35">
        <v>1</v>
      </c>
      <c r="E58" s="37" t="s">
        <v>477</v>
      </c>
      <c r="F58" s="191">
        <f>+CIF!O30</f>
        <v>6664227</v>
      </c>
      <c r="G58" s="183"/>
    </row>
    <row r="59" spans="1:28" x14ac:dyDescent="0.25">
      <c r="B59" s="180">
        <v>5107</v>
      </c>
      <c r="C59" s="35">
        <v>7</v>
      </c>
      <c r="D59" s="35"/>
      <c r="E59" s="37" t="s">
        <v>493</v>
      </c>
      <c r="F59" s="191">
        <f>+F60</f>
        <v>828000</v>
      </c>
      <c r="G59" s="183"/>
    </row>
    <row r="60" spans="1:28" ht="14.25" customHeight="1" x14ac:dyDescent="0.25">
      <c r="B60" s="180">
        <v>5107</v>
      </c>
      <c r="C60" s="35">
        <v>7</v>
      </c>
      <c r="D60" s="35">
        <v>1</v>
      </c>
      <c r="E60" s="37" t="s">
        <v>494</v>
      </c>
      <c r="F60" s="191">
        <f>+CIF!O31</f>
        <v>828000</v>
      </c>
      <c r="G60" s="183"/>
    </row>
    <row r="61" spans="1:28" ht="14.25" customHeight="1" x14ac:dyDescent="0.25">
      <c r="B61" s="180">
        <v>5107</v>
      </c>
      <c r="C61" s="35">
        <v>12</v>
      </c>
      <c r="D61" s="35"/>
      <c r="E61" s="37" t="s">
        <v>510</v>
      </c>
      <c r="F61" s="191">
        <f>+F62</f>
        <v>900000</v>
      </c>
      <c r="G61" s="183"/>
    </row>
    <row r="62" spans="1:28" ht="14.25" customHeight="1" x14ac:dyDescent="0.25">
      <c r="B62" s="180">
        <v>5107</v>
      </c>
      <c r="C62" s="35">
        <v>12</v>
      </c>
      <c r="D62" s="35">
        <v>1</v>
      </c>
      <c r="E62" s="37" t="s">
        <v>492</v>
      </c>
      <c r="F62" s="191">
        <f>+CIF!O32</f>
        <v>900000</v>
      </c>
      <c r="G62" s="183"/>
    </row>
    <row r="63" spans="1:28" x14ac:dyDescent="0.25">
      <c r="B63" s="180"/>
      <c r="C63" s="35"/>
      <c r="D63" s="35"/>
      <c r="E63" s="37"/>
      <c r="F63" s="191"/>
      <c r="G63" s="183"/>
    </row>
    <row r="64" spans="1:28" s="145" customFormat="1" x14ac:dyDescent="0.25">
      <c r="A64" s="177"/>
      <c r="B64" s="181">
        <v>5108</v>
      </c>
      <c r="C64" s="176"/>
      <c r="D64" s="176"/>
      <c r="E64" s="177" t="s">
        <v>473</v>
      </c>
      <c r="F64" s="207"/>
      <c r="G64" s="208">
        <f>+F65</f>
        <v>350624.99999999994</v>
      </c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</row>
    <row r="65" spans="2:7" x14ac:dyDescent="0.25">
      <c r="B65" s="180">
        <v>5108</v>
      </c>
      <c r="C65" s="35"/>
      <c r="D65" s="35"/>
      <c r="E65" s="37" t="s">
        <v>473</v>
      </c>
      <c r="F65" s="191">
        <f>+F68+F66</f>
        <v>350624.99999999994</v>
      </c>
      <c r="G65" s="183"/>
    </row>
    <row r="66" spans="2:7" x14ac:dyDescent="0.25">
      <c r="B66" s="180">
        <v>5108</v>
      </c>
      <c r="C66" s="35">
        <v>3</v>
      </c>
      <c r="D66" s="35"/>
      <c r="E66" s="37" t="s">
        <v>488</v>
      </c>
      <c r="F66" s="191">
        <f>+F67</f>
        <v>220416.66666666657</v>
      </c>
      <c r="G66" s="183"/>
    </row>
    <row r="67" spans="2:7" x14ac:dyDescent="0.25">
      <c r="B67" s="180">
        <v>5108</v>
      </c>
      <c r="C67" s="35">
        <v>3</v>
      </c>
      <c r="D67" s="35">
        <v>1</v>
      </c>
      <c r="E67" s="37" t="s">
        <v>489</v>
      </c>
      <c r="F67" s="191">
        <f>+CIF!Q41</f>
        <v>220416.66666666657</v>
      </c>
      <c r="G67" s="183"/>
    </row>
    <row r="68" spans="2:7" x14ac:dyDescent="0.25">
      <c r="B68" s="180">
        <v>5108</v>
      </c>
      <c r="C68" s="35">
        <v>3</v>
      </c>
      <c r="D68" s="35"/>
      <c r="E68" s="37" t="s">
        <v>191</v>
      </c>
      <c r="F68" s="191">
        <f>+F69</f>
        <v>130208.33333333337</v>
      </c>
      <c r="G68" s="183"/>
    </row>
    <row r="69" spans="2:7" x14ac:dyDescent="0.25">
      <c r="B69" s="180">
        <v>5108</v>
      </c>
      <c r="C69" s="35">
        <v>3</v>
      </c>
      <c r="D69" s="35">
        <v>2</v>
      </c>
      <c r="E69" s="37" t="s">
        <v>191</v>
      </c>
      <c r="F69" s="191">
        <f>+CIF!Q38</f>
        <v>130208.33333333337</v>
      </c>
      <c r="G69" s="183"/>
    </row>
    <row r="70" spans="2:7" x14ac:dyDescent="0.25">
      <c r="B70" s="180"/>
      <c r="C70" s="35"/>
      <c r="D70" s="35"/>
      <c r="E70" s="37"/>
      <c r="F70" s="191"/>
      <c r="G70" s="183"/>
    </row>
    <row r="71" spans="2:7" x14ac:dyDescent="0.25">
      <c r="B71" s="181" t="s">
        <v>511</v>
      </c>
      <c r="C71" s="176"/>
      <c r="D71" s="176"/>
      <c r="E71" s="177" t="s">
        <v>474</v>
      </c>
      <c r="F71" s="191"/>
      <c r="G71" s="208">
        <f>+F74+F72+F78+F76</f>
        <v>13504100</v>
      </c>
    </row>
    <row r="72" spans="2:7" x14ac:dyDescent="0.25">
      <c r="B72" s="180">
        <v>5195</v>
      </c>
      <c r="C72" s="35">
        <v>5</v>
      </c>
      <c r="D72" s="35"/>
      <c r="E72" s="37" t="s">
        <v>495</v>
      </c>
      <c r="F72" s="191">
        <f>+F73</f>
        <v>2870500</v>
      </c>
      <c r="G72" s="183"/>
    </row>
    <row r="73" spans="2:7" x14ac:dyDescent="0.25">
      <c r="B73" s="180">
        <v>5195</v>
      </c>
      <c r="C73" s="35">
        <v>5</v>
      </c>
      <c r="D73" s="35">
        <v>1</v>
      </c>
      <c r="E73" s="37" t="s">
        <v>495</v>
      </c>
      <c r="F73" s="191">
        <f>+'GASTOS ANUALES'!E48</f>
        <v>2870500</v>
      </c>
      <c r="G73" s="183"/>
    </row>
    <row r="74" spans="2:7" x14ac:dyDescent="0.25">
      <c r="B74" s="180">
        <v>5114</v>
      </c>
      <c r="C74" s="35">
        <v>6</v>
      </c>
      <c r="D74" s="35"/>
      <c r="E74" s="37" t="s">
        <v>475</v>
      </c>
      <c r="F74" s="191">
        <f>+F75</f>
        <v>1292600</v>
      </c>
      <c r="G74" s="183"/>
    </row>
    <row r="75" spans="2:7" x14ac:dyDescent="0.25">
      <c r="B75" s="180">
        <v>5195</v>
      </c>
      <c r="C75" s="35">
        <v>6</v>
      </c>
      <c r="D75" s="35">
        <v>1</v>
      </c>
      <c r="E75" s="37" t="s">
        <v>475</v>
      </c>
      <c r="F75" s="191">
        <f>+'GASTOS ANUALES'!E65</f>
        <v>1292600</v>
      </c>
      <c r="G75" s="183"/>
    </row>
    <row r="76" spans="2:7" x14ac:dyDescent="0.25">
      <c r="B76" s="180">
        <v>5195</v>
      </c>
      <c r="C76" s="35">
        <v>9</v>
      </c>
      <c r="D76" s="35"/>
      <c r="E76" s="37" t="s">
        <v>497</v>
      </c>
      <c r="F76" s="191">
        <f>+F77</f>
        <v>4925000</v>
      </c>
      <c r="G76" s="183"/>
    </row>
    <row r="77" spans="2:7" x14ac:dyDescent="0.25">
      <c r="B77" s="180">
        <v>5195</v>
      </c>
      <c r="C77" s="35">
        <v>9</v>
      </c>
      <c r="D77" s="35">
        <v>1</v>
      </c>
      <c r="E77" s="37" t="s">
        <v>497</v>
      </c>
      <c r="F77" s="191">
        <f>+CIF!Q40</f>
        <v>4925000</v>
      </c>
      <c r="G77" s="183"/>
    </row>
    <row r="78" spans="2:7" x14ac:dyDescent="0.25">
      <c r="B78" s="180">
        <v>5195</v>
      </c>
      <c r="C78" s="35">
        <v>16</v>
      </c>
      <c r="D78" s="35"/>
      <c r="E78" s="37" t="s">
        <v>476</v>
      </c>
      <c r="F78" s="191">
        <f>+F79</f>
        <v>4416000</v>
      </c>
      <c r="G78" s="183"/>
    </row>
    <row r="79" spans="2:7" x14ac:dyDescent="0.25">
      <c r="B79" s="180">
        <v>5195</v>
      </c>
      <c r="C79" s="35">
        <v>16</v>
      </c>
      <c r="D79" s="35">
        <v>1</v>
      </c>
      <c r="E79" s="37" t="s">
        <v>496</v>
      </c>
      <c r="F79" s="191">
        <f>+'GASTOS ANUALES'!I27*12</f>
        <v>4416000</v>
      </c>
      <c r="G79" s="183"/>
    </row>
    <row r="80" spans="2:7" x14ac:dyDescent="0.25">
      <c r="B80" s="180"/>
      <c r="C80" s="35"/>
      <c r="D80" s="35"/>
      <c r="E80" s="37"/>
      <c r="F80" s="191"/>
      <c r="G80" s="183"/>
    </row>
    <row r="81" spans="1:28" s="145" customFormat="1" x14ac:dyDescent="0.25">
      <c r="A81" s="177"/>
      <c r="B81" s="181">
        <v>6</v>
      </c>
      <c r="C81" s="176"/>
      <c r="D81" s="176"/>
      <c r="E81" s="177" t="s">
        <v>498</v>
      </c>
      <c r="F81" s="203"/>
      <c r="G81" s="182">
        <f>+F82+G87</f>
        <v>1293501115.0601954</v>
      </c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</row>
    <row r="82" spans="1:28" x14ac:dyDescent="0.25">
      <c r="B82" s="180">
        <v>6104</v>
      </c>
      <c r="C82" s="35"/>
      <c r="D82" s="35"/>
      <c r="E82" s="37" t="s">
        <v>499</v>
      </c>
      <c r="F82" s="205">
        <f>+F83</f>
        <v>1168661448.7600398</v>
      </c>
      <c r="G82" s="183"/>
    </row>
    <row r="83" spans="1:28" ht="30" x14ac:dyDescent="0.25">
      <c r="B83" s="180">
        <v>6104</v>
      </c>
      <c r="C83" s="35">
        <v>1</v>
      </c>
      <c r="D83" s="35"/>
      <c r="E83" s="178" t="s">
        <v>482</v>
      </c>
      <c r="F83" s="205">
        <f>+F84+F85</f>
        <v>1168661448.7600398</v>
      </c>
      <c r="G83" s="183"/>
    </row>
    <row r="84" spans="1:28" x14ac:dyDescent="0.25">
      <c r="B84" s="180">
        <v>6104</v>
      </c>
      <c r="C84" s="35">
        <v>1</v>
      </c>
      <c r="D84" s="35">
        <v>1</v>
      </c>
      <c r="E84" s="37" t="s">
        <v>500</v>
      </c>
      <c r="F84" s="205">
        <f>SUM('VTA- UTILIDAD ANUAL '!D49:E49)</f>
        <v>1126824435.8568139</v>
      </c>
      <c r="G84" s="183"/>
    </row>
    <row r="85" spans="1:28" x14ac:dyDescent="0.25">
      <c r="B85" s="180">
        <v>6104</v>
      </c>
      <c r="C85" s="35">
        <v>1</v>
      </c>
      <c r="D85" s="35">
        <v>2</v>
      </c>
      <c r="E85" s="37" t="s">
        <v>501</v>
      </c>
      <c r="F85" s="205">
        <f>SUM('VTA- UTILIDAD ANUAL '!D50:E50)</f>
        <v>41837012.903225794</v>
      </c>
      <c r="G85" s="183"/>
    </row>
    <row r="86" spans="1:28" x14ac:dyDescent="0.25">
      <c r="B86" s="180"/>
      <c r="C86" s="35"/>
      <c r="D86" s="35"/>
      <c r="E86" s="37"/>
      <c r="F86" s="205"/>
      <c r="G86" s="183"/>
    </row>
    <row r="87" spans="1:28" x14ac:dyDescent="0.25">
      <c r="B87" s="184">
        <v>7</v>
      </c>
      <c r="C87" s="35"/>
      <c r="D87" s="35"/>
      <c r="E87" s="96" t="s">
        <v>566</v>
      </c>
      <c r="F87" s="205"/>
      <c r="G87" s="204">
        <f>+F88+F90</f>
        <v>124839666.30015555</v>
      </c>
    </row>
    <row r="88" spans="1:28" x14ac:dyDescent="0.25">
      <c r="B88" s="180">
        <v>7201</v>
      </c>
      <c r="C88" s="35"/>
      <c r="D88" s="35"/>
      <c r="E88" s="37" t="s">
        <v>567</v>
      </c>
      <c r="F88" s="205">
        <f>+F89</f>
        <v>77440056.477899998</v>
      </c>
      <c r="G88" s="183"/>
    </row>
    <row r="89" spans="1:28" x14ac:dyDescent="0.25">
      <c r="B89" s="180">
        <v>7201</v>
      </c>
      <c r="C89" s="35">
        <v>1</v>
      </c>
      <c r="D89" s="35"/>
      <c r="E89" s="37" t="s">
        <v>565</v>
      </c>
      <c r="F89" s="205">
        <f>+SUM(' R. MATRIZ ANUAL '!P60:P61)</f>
        <v>77440056.477899998</v>
      </c>
      <c r="G89" s="183"/>
    </row>
    <row r="90" spans="1:28" x14ac:dyDescent="0.25">
      <c r="B90" s="180">
        <v>7301</v>
      </c>
      <c r="C90" s="35"/>
      <c r="D90" s="35"/>
      <c r="E90" s="37" t="s">
        <v>568</v>
      </c>
      <c r="F90" s="205">
        <f>+F91</f>
        <v>47399609.822255552</v>
      </c>
      <c r="G90" s="183"/>
    </row>
    <row r="91" spans="1:28" x14ac:dyDescent="0.25">
      <c r="B91" s="180">
        <v>7301</v>
      </c>
      <c r="C91" s="35">
        <v>1</v>
      </c>
      <c r="D91" s="35"/>
      <c r="E91" s="37" t="s">
        <v>568</v>
      </c>
      <c r="F91" s="205" cm="1">
        <f t="array" ref="F91">+SUM(' R. MATRIZ ANUAL '!J60:J61+' R. MATRIZ ANUAL '!V60:V61)</f>
        <v>47399609.822255552</v>
      </c>
      <c r="G91" s="183"/>
    </row>
    <row r="92" spans="1:28" x14ac:dyDescent="0.25">
      <c r="B92" s="180"/>
      <c r="C92" s="35"/>
      <c r="D92" s="35"/>
      <c r="E92" s="37"/>
      <c r="F92" s="191"/>
      <c r="G92" s="183"/>
    </row>
    <row r="93" spans="1:28" ht="18" x14ac:dyDescent="0.4">
      <c r="B93" s="1063" t="s">
        <v>502</v>
      </c>
      <c r="C93" s="1064"/>
      <c r="D93" s="1064"/>
      <c r="E93" s="1064"/>
      <c r="F93" s="189"/>
      <c r="G93" s="209">
        <f>+G10-(G21+G81)</f>
        <v>712980587.99153781</v>
      </c>
      <c r="I93" s="348"/>
    </row>
    <row r="94" spans="1:28" ht="15.75" thickBot="1" x14ac:dyDescent="0.3">
      <c r="B94" s="186"/>
      <c r="C94" s="187"/>
      <c r="D94" s="187"/>
      <c r="E94" s="188"/>
      <c r="F94" s="198"/>
      <c r="G94" s="210"/>
    </row>
    <row r="95" spans="1:28" s="37" customFormat="1" x14ac:dyDescent="0.25">
      <c r="F95" s="231"/>
      <c r="G95" s="205"/>
    </row>
    <row r="96" spans="1:28" s="37" customFormat="1" x14ac:dyDescent="0.25">
      <c r="F96" s="231"/>
      <c r="G96" s="205"/>
    </row>
    <row r="97" spans="6:7" s="37" customFormat="1" hidden="1" x14ac:dyDescent="0.25">
      <c r="F97" s="231"/>
      <c r="G97" s="205"/>
    </row>
    <row r="98" spans="6:7" s="37" customFormat="1" hidden="1" x14ac:dyDescent="0.25">
      <c r="F98" s="231"/>
      <c r="G98" s="205"/>
    </row>
    <row r="99" spans="6:7" s="37" customFormat="1" hidden="1" x14ac:dyDescent="0.25">
      <c r="F99" s="231"/>
      <c r="G99" s="205"/>
    </row>
    <row r="100" spans="6:7" s="37" customFormat="1" hidden="1" x14ac:dyDescent="0.25">
      <c r="F100" s="231"/>
      <c r="G100" s="205"/>
    </row>
    <row r="101" spans="6:7" s="37" customFormat="1" hidden="1" x14ac:dyDescent="0.25">
      <c r="F101" s="231"/>
      <c r="G101" s="205"/>
    </row>
    <row r="102" spans="6:7" s="37" customFormat="1" hidden="1" x14ac:dyDescent="0.25">
      <c r="F102" s="231"/>
      <c r="G102" s="205"/>
    </row>
    <row r="103" spans="6:7" s="37" customFormat="1" hidden="1" x14ac:dyDescent="0.25">
      <c r="F103" s="231"/>
      <c r="G103" s="205"/>
    </row>
    <row r="104" spans="6:7" s="37" customFormat="1" hidden="1" x14ac:dyDescent="0.25">
      <c r="F104" s="231"/>
      <c r="G104" s="205"/>
    </row>
    <row r="105" spans="6:7" s="37" customFormat="1" hidden="1" x14ac:dyDescent="0.25">
      <c r="F105" s="231"/>
      <c r="G105" s="205"/>
    </row>
    <row r="106" spans="6:7" s="37" customFormat="1" hidden="1" x14ac:dyDescent="0.25">
      <c r="F106" s="231"/>
      <c r="G106" s="205"/>
    </row>
    <row r="107" spans="6:7" s="37" customFormat="1" hidden="1" x14ac:dyDescent="0.25">
      <c r="F107" s="231"/>
      <c r="G107" s="205"/>
    </row>
    <row r="108" spans="6:7" s="37" customFormat="1" hidden="1" x14ac:dyDescent="0.25">
      <c r="F108" s="231"/>
      <c r="G108" s="205"/>
    </row>
    <row r="109" spans="6:7" s="37" customFormat="1" hidden="1" x14ac:dyDescent="0.25">
      <c r="F109" s="231"/>
      <c r="G109" s="205"/>
    </row>
    <row r="110" spans="6:7" s="37" customFormat="1" hidden="1" x14ac:dyDescent="0.25">
      <c r="F110" s="231"/>
      <c r="G110" s="205"/>
    </row>
    <row r="111" spans="6:7" s="37" customFormat="1" hidden="1" x14ac:dyDescent="0.25">
      <c r="F111" s="231"/>
      <c r="G111" s="205"/>
    </row>
  </sheetData>
  <mergeCells count="6">
    <mergeCell ref="B93:E93"/>
    <mergeCell ref="B8:G8"/>
    <mergeCell ref="B4:G4"/>
    <mergeCell ref="B5:G5"/>
    <mergeCell ref="B6:G6"/>
    <mergeCell ref="B7:G7"/>
  </mergeCells>
  <pageMargins left="0.7" right="0.7" top="0.75" bottom="0.75" header="0.3" footer="0.3"/>
  <pageSetup orientation="portrait" horizontalDpi="4294967293" verticalDpi="0" r:id="rId1"/>
  <ignoredErrors>
    <ignoredError sqref="F28 F44 F40 F38 F36 F34 F32 F30 F42 F50 F56 F58 F60 F65 F67 F73 F75 F77 F24 F26 F8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PLANOS</vt:lpstr>
      <vt:lpstr>ESTADO DE SITUANCION F INICIAL </vt:lpstr>
      <vt:lpstr>MATRIZ ABC</vt:lpstr>
      <vt:lpstr> R. MATRIZ DIARIA </vt:lpstr>
      <vt:lpstr> R. MATRIZ MENSUAL </vt:lpstr>
      <vt:lpstr> R. MATRIZ ANUAL </vt:lpstr>
      <vt:lpstr>DEPRECIACION</vt:lpstr>
      <vt:lpstr>CIF</vt:lpstr>
      <vt:lpstr>GASTOS ANUALES</vt:lpstr>
      <vt:lpstr>COMPRA DE MP ANUAL</vt:lpstr>
      <vt:lpstr>COSTO DE PRODUCTO DIARIO </vt:lpstr>
      <vt:lpstr>COSTO DE PRODUCTO  ANUAL</vt:lpstr>
      <vt:lpstr>VTA- UTILIDAD ANUAL </vt:lpstr>
      <vt:lpstr>EFECTIVO MENSUAL </vt:lpstr>
      <vt:lpstr>NOMINA   MENSUAL</vt:lpstr>
      <vt:lpstr>NOMINA ANUAL</vt:lpstr>
      <vt:lpstr>R.COSTOS ANUALES</vt:lpstr>
      <vt:lpstr>ESTADO SITUACION FINANCIERA</vt:lpstr>
      <vt:lpstr>ESTADO DE RESULTADO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Bustamante Anrango</dc:creator>
  <cp:lastModifiedBy>Lenovo</cp:lastModifiedBy>
  <dcterms:created xsi:type="dcterms:W3CDTF">2022-08-15T12:07:50Z</dcterms:created>
  <dcterms:modified xsi:type="dcterms:W3CDTF">2023-03-13T03:43:31Z</dcterms:modified>
</cp:coreProperties>
</file>